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G:\3022_Library\2. Informasjonsressurser\Samlinger\Studentoppgaver\MSc\2017\1758954\"/>
    </mc:Choice>
  </mc:AlternateContent>
  <bookViews>
    <workbookView xWindow="0" yWindow="0" windowWidth="25605" windowHeight="14280" firstSheet="1" activeTab="6"/>
  </bookViews>
  <sheets>
    <sheet name="Index" sheetId="2" r:id="rId1"/>
    <sheet name="SImple Return" sheetId="1" r:id="rId2"/>
    <sheet name="LN Return" sheetId="5" r:id="rId3"/>
    <sheet name="Graphs" sheetId="11" r:id="rId4"/>
    <sheet name="Weights Base" sheetId="16" r:id="rId5"/>
    <sheet name="Weights Markets" sheetId="17" r:id="rId6"/>
    <sheet name="Wights Sector" sheetId="18" r:id="rId7"/>
    <sheet name="Continents Sector" sheetId="6" r:id="rId8"/>
    <sheet name="Continents Market Cap" sheetId="9" r:id="rId9"/>
    <sheet name="Sector Market Cap" sheetId="10" r:id="rId10"/>
    <sheet name="Benchmark portfolio" sheetId="15" r:id="rId11"/>
    <sheet name="Subsector spanning" sheetId="12" r:id="rId12"/>
    <sheet name="Markets spanning" sheetId="13" r:id="rId13"/>
  </sheets>
  <externalReferences>
    <externalReference r:id="rId14"/>
  </externalReferences>
  <definedNames>
    <definedName name="_xlnm._FilterDatabase" localSheetId="10" hidden="1">'Benchmark portfolio'!#REF!</definedName>
    <definedName name="_xlnm._FilterDatabase" localSheetId="0" hidden="1">Index!$A$1:$N$732</definedName>
  </definedName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31" i="17" l="1"/>
  <c r="L31" i="17"/>
  <c r="M30" i="17"/>
  <c r="L30" i="17"/>
  <c r="M29" i="17"/>
  <c r="L29" i="17"/>
  <c r="M28" i="17"/>
  <c r="L28" i="17"/>
  <c r="M27" i="17"/>
  <c r="L27" i="17"/>
  <c r="M26" i="17"/>
  <c r="L26" i="17"/>
  <c r="M25" i="17"/>
  <c r="L25" i="17"/>
  <c r="M24" i="17"/>
  <c r="L24" i="17"/>
  <c r="M23" i="17"/>
  <c r="L23" i="17"/>
  <c r="M22" i="17"/>
  <c r="L22" i="17"/>
  <c r="K14" i="16"/>
  <c r="J14" i="16"/>
  <c r="I14" i="16"/>
  <c r="B14" i="16"/>
  <c r="A14" i="16"/>
  <c r="K13" i="16"/>
  <c r="J13" i="16"/>
  <c r="I13" i="16"/>
  <c r="B13" i="16"/>
  <c r="A13" i="16"/>
  <c r="K12" i="16"/>
  <c r="J12" i="16"/>
  <c r="I12" i="16"/>
  <c r="B12" i="16"/>
  <c r="A12" i="16"/>
  <c r="K11" i="16"/>
  <c r="J11" i="16"/>
  <c r="I11" i="16"/>
  <c r="B11" i="16"/>
  <c r="A11" i="16"/>
  <c r="K10" i="16"/>
  <c r="J10" i="16"/>
  <c r="I10" i="16"/>
  <c r="B10" i="16"/>
  <c r="A10" i="16"/>
  <c r="K9" i="16"/>
  <c r="J9" i="16"/>
  <c r="I9" i="16"/>
  <c r="B9" i="16"/>
  <c r="A9" i="16"/>
  <c r="K8" i="16"/>
  <c r="J8" i="16"/>
  <c r="I8" i="16"/>
  <c r="B8" i="16"/>
  <c r="A8" i="16"/>
  <c r="K7" i="16"/>
  <c r="J7" i="16"/>
  <c r="I7" i="16"/>
  <c r="B7" i="16"/>
  <c r="A7" i="16"/>
  <c r="K6" i="16"/>
  <c r="J6" i="16"/>
  <c r="I6" i="16"/>
  <c r="B6" i="16"/>
  <c r="A6" i="16"/>
  <c r="K5" i="16"/>
  <c r="J5" i="16"/>
  <c r="I5" i="16"/>
  <c r="B5" i="16"/>
  <c r="A5" i="16"/>
  <c r="D4" i="15"/>
  <c r="D5" i="15" s="1"/>
  <c r="E4" i="15"/>
  <c r="F4" i="15"/>
  <c r="G4" i="15" s="1"/>
  <c r="H5" i="15" s="1"/>
  <c r="E5" i="15"/>
  <c r="E6" i="15" s="1"/>
  <c r="E7" i="15" s="1"/>
  <c r="E8" i="15" s="1"/>
  <c r="E9" i="15" s="1"/>
  <c r="F5" i="15"/>
  <c r="F6" i="15" s="1"/>
  <c r="F7" i="15" s="1"/>
  <c r="F8" i="15" s="1"/>
  <c r="F9" i="15" s="1"/>
  <c r="F10" i="15" s="1"/>
  <c r="F11" i="15" s="1"/>
  <c r="F12" i="15" s="1"/>
  <c r="F13" i="15" s="1"/>
  <c r="F14" i="15" s="1"/>
  <c r="F15" i="15" s="1"/>
  <c r="F16" i="15" s="1"/>
  <c r="F17" i="15" s="1"/>
  <c r="F18" i="15" s="1"/>
  <c r="F19" i="15" s="1"/>
  <c r="F20" i="15" s="1"/>
  <c r="F21" i="15" s="1"/>
  <c r="F22" i="15" s="1"/>
  <c r="F23" i="15" s="1"/>
  <c r="F24" i="15" s="1"/>
  <c r="F25" i="15" s="1"/>
  <c r="F26" i="15" s="1"/>
  <c r="F27" i="15" s="1"/>
  <c r="F28" i="15" s="1"/>
  <c r="F29" i="15" s="1"/>
  <c r="F30" i="15" s="1"/>
  <c r="F31" i="15" s="1"/>
  <c r="F32" i="15" s="1"/>
  <c r="F33" i="15" s="1"/>
  <c r="F34" i="15" s="1"/>
  <c r="F35" i="15" s="1"/>
  <c r="F36" i="15" s="1"/>
  <c r="D6" i="15"/>
  <c r="D7" i="15"/>
  <c r="E10" i="15"/>
  <c r="E11" i="15" s="1"/>
  <c r="E12" i="15" s="1"/>
  <c r="E13" i="15" s="1"/>
  <c r="E14" i="15" s="1"/>
  <c r="E15" i="15" s="1"/>
  <c r="E16" i="15" s="1"/>
  <c r="E17" i="15" s="1"/>
  <c r="E18" i="15"/>
  <c r="E19" i="15" s="1"/>
  <c r="E20" i="15" s="1"/>
  <c r="E21" i="15" s="1"/>
  <c r="E22" i="15" s="1"/>
  <c r="E23" i="15" s="1"/>
  <c r="E24" i="15" s="1"/>
  <c r="E25" i="15" s="1"/>
  <c r="E26" i="15" s="1"/>
  <c r="E27" i="15" s="1"/>
  <c r="E28" i="15" s="1"/>
  <c r="E29" i="15" s="1"/>
  <c r="E30" i="15" s="1"/>
  <c r="E31" i="15" s="1"/>
  <c r="E32" i="15" s="1"/>
  <c r="E33" i="15" s="1"/>
  <c r="E34" i="15" s="1"/>
  <c r="E35" i="15" s="1"/>
  <c r="E36" i="15" s="1"/>
  <c r="E37" i="15" s="1"/>
  <c r="E38" i="15" s="1"/>
  <c r="E39" i="15" s="1"/>
  <c r="E40" i="15" s="1"/>
  <c r="E41" i="15" s="1"/>
  <c r="E42" i="15" s="1"/>
  <c r="E43" i="15" s="1"/>
  <c r="E44" i="15" s="1"/>
  <c r="E45" i="15" s="1"/>
  <c r="E46" i="15" s="1"/>
  <c r="E47" i="15" s="1"/>
  <c r="E48" i="15" s="1"/>
  <c r="E49" i="15" s="1"/>
  <c r="F37" i="15"/>
  <c r="F38" i="15" s="1"/>
  <c r="F39" i="15" s="1"/>
  <c r="F40" i="15" s="1"/>
  <c r="F41" i="15" s="1"/>
  <c r="F42" i="15" s="1"/>
  <c r="F43" i="15" s="1"/>
  <c r="F44" i="15" s="1"/>
  <c r="F45" i="15" s="1"/>
  <c r="F46" i="15" s="1"/>
  <c r="F47" i="15" s="1"/>
  <c r="F48" i="15" s="1"/>
  <c r="F49" i="15" s="1"/>
  <c r="F50" i="15" s="1"/>
  <c r="F51" i="15" s="1"/>
  <c r="F52" i="15" s="1"/>
  <c r="F53" i="15" s="1"/>
  <c r="F54" i="15" s="1"/>
  <c r="F55" i="15" s="1"/>
  <c r="F56" i="15" s="1"/>
  <c r="F57" i="15" s="1"/>
  <c r="F58" i="15" s="1"/>
  <c r="F59" i="15" s="1"/>
  <c r="F60" i="15" s="1"/>
  <c r="F61" i="15" s="1"/>
  <c r="F62" i="15" s="1"/>
  <c r="F63" i="15" s="1"/>
  <c r="F64" i="15" s="1"/>
  <c r="F65" i="15" s="1"/>
  <c r="F66" i="15" s="1"/>
  <c r="F67" i="15" s="1"/>
  <c r="F68" i="15" s="1"/>
  <c r="F69" i="15" s="1"/>
  <c r="F70" i="15" s="1"/>
  <c r="F71" i="15" s="1"/>
  <c r="F72" i="15" s="1"/>
  <c r="F73" i="15" s="1"/>
  <c r="F74" i="15" s="1"/>
  <c r="F75" i="15" s="1"/>
  <c r="F76" i="15" s="1"/>
  <c r="F77" i="15" s="1"/>
  <c r="F78" i="15" s="1"/>
  <c r="F79" i="15" s="1"/>
  <c r="F80" i="15" s="1"/>
  <c r="F81" i="15" s="1"/>
  <c r="F82" i="15" s="1"/>
  <c r="F83" i="15" s="1"/>
  <c r="F84" i="15" s="1"/>
  <c r="F85" i="15" s="1"/>
  <c r="F86" i="15" s="1"/>
  <c r="F87" i="15" s="1"/>
  <c r="F88" i="15" s="1"/>
  <c r="F89" i="15" s="1"/>
  <c r="F90" i="15" s="1"/>
  <c r="F91" i="15" s="1"/>
  <c r="F92" i="15" s="1"/>
  <c r="F93" i="15" s="1"/>
  <c r="F94" i="15" s="1"/>
  <c r="F95" i="15" s="1"/>
  <c r="F96" i="15" s="1"/>
  <c r="F97" i="15" s="1"/>
  <c r="F98" i="15" s="1"/>
  <c r="F99" i="15" s="1"/>
  <c r="F100" i="15" s="1"/>
  <c r="F101" i="15" s="1"/>
  <c r="F102" i="15" s="1"/>
  <c r="F103" i="15" s="1"/>
  <c r="F104" i="15" s="1"/>
  <c r="F105" i="15" s="1"/>
  <c r="F106" i="15" s="1"/>
  <c r="F107" i="15" s="1"/>
  <c r="F108" i="15" s="1"/>
  <c r="F109" i="15" s="1"/>
  <c r="F110" i="15" s="1"/>
  <c r="F111" i="15" s="1"/>
  <c r="F112" i="15" s="1"/>
  <c r="F113" i="15" s="1"/>
  <c r="F114" i="15" s="1"/>
  <c r="F115" i="15" s="1"/>
  <c r="F116" i="15" s="1"/>
  <c r="F117" i="15" s="1"/>
  <c r="F118" i="15" s="1"/>
  <c r="F119" i="15" s="1"/>
  <c r="F120" i="15" s="1"/>
  <c r="F121" i="15" s="1"/>
  <c r="F122" i="15" s="1"/>
  <c r="F123" i="15" s="1"/>
  <c r="F124" i="15" s="1"/>
  <c r="F125" i="15" s="1"/>
  <c r="F126" i="15" s="1"/>
  <c r="F127" i="15" s="1"/>
  <c r="F128" i="15" s="1"/>
  <c r="F129" i="15" s="1"/>
  <c r="F130" i="15" s="1"/>
  <c r="F131" i="15" s="1"/>
  <c r="F132" i="15" s="1"/>
  <c r="F133" i="15" s="1"/>
  <c r="F134" i="15" s="1"/>
  <c r="F135" i="15" s="1"/>
  <c r="F136" i="15" s="1"/>
  <c r="F137" i="15" s="1"/>
  <c r="F138" i="15" s="1"/>
  <c r="F139" i="15" s="1"/>
  <c r="F140" i="15" s="1"/>
  <c r="F141" i="15" s="1"/>
  <c r="F142" i="15" s="1"/>
  <c r="F143" i="15" s="1"/>
  <c r="F144" i="15" s="1"/>
  <c r="F145" i="15" s="1"/>
  <c r="F146" i="15" s="1"/>
  <c r="F147" i="15" s="1"/>
  <c r="F148" i="15" s="1"/>
  <c r="F149" i="15" s="1"/>
  <c r="F150" i="15" s="1"/>
  <c r="F151" i="15" s="1"/>
  <c r="E50" i="15"/>
  <c r="E51" i="15" s="1"/>
  <c r="E52" i="15" s="1"/>
  <c r="E53" i="15" s="1"/>
  <c r="E54" i="15" s="1"/>
  <c r="E55" i="15" s="1"/>
  <c r="E56" i="15" s="1"/>
  <c r="E57" i="15" s="1"/>
  <c r="E58" i="15" s="1"/>
  <c r="E59" i="15" s="1"/>
  <c r="E60" i="15" s="1"/>
  <c r="E61" i="15" s="1"/>
  <c r="E62" i="15" s="1"/>
  <c r="E63" i="15" s="1"/>
  <c r="E64" i="15" s="1"/>
  <c r="E65" i="15" s="1"/>
  <c r="E66" i="15" s="1"/>
  <c r="E67" i="15" s="1"/>
  <c r="E68" i="15" s="1"/>
  <c r="E69" i="15" s="1"/>
  <c r="E70" i="15" s="1"/>
  <c r="E71" i="15" s="1"/>
  <c r="E72" i="15" s="1"/>
  <c r="E73" i="15" s="1"/>
  <c r="E74" i="15"/>
  <c r="E75" i="15" s="1"/>
  <c r="E76" i="15" s="1"/>
  <c r="E77" i="15" s="1"/>
  <c r="E78" i="15" s="1"/>
  <c r="E79" i="15" s="1"/>
  <c r="E80" i="15" s="1"/>
  <c r="E81" i="15" s="1"/>
  <c r="E82" i="15" s="1"/>
  <c r="E83" i="15" s="1"/>
  <c r="E84" i="15" s="1"/>
  <c r="E85" i="15" s="1"/>
  <c r="E86" i="15" s="1"/>
  <c r="E87" i="15" s="1"/>
  <c r="E88" i="15" s="1"/>
  <c r="E89" i="15" s="1"/>
  <c r="E90" i="15" s="1"/>
  <c r="E91" i="15" s="1"/>
  <c r="E92" i="15" s="1"/>
  <c r="E93" i="15" s="1"/>
  <c r="E94" i="15" s="1"/>
  <c r="E95" i="15" s="1"/>
  <c r="E96" i="15" s="1"/>
  <c r="E97" i="15" s="1"/>
  <c r="E98" i="15" s="1"/>
  <c r="E99" i="15" s="1"/>
  <c r="E100" i="15" s="1"/>
  <c r="E101" i="15" s="1"/>
  <c r="E102" i="15" s="1"/>
  <c r="E103" i="15" s="1"/>
  <c r="E104" i="15" s="1"/>
  <c r="E105" i="15" s="1"/>
  <c r="E106" i="15" s="1"/>
  <c r="E107" i="15" s="1"/>
  <c r="E108" i="15" s="1"/>
  <c r="E109" i="15" s="1"/>
  <c r="E110" i="15" s="1"/>
  <c r="E111" i="15" s="1"/>
  <c r="E112" i="15" s="1"/>
  <c r="E113" i="15" s="1"/>
  <c r="E114" i="15"/>
  <c r="E115" i="15" s="1"/>
  <c r="E116" i="15" s="1"/>
  <c r="E117" i="15" s="1"/>
  <c r="E118" i="15" s="1"/>
  <c r="E119" i="15" s="1"/>
  <c r="E120" i="15" s="1"/>
  <c r="E121" i="15" s="1"/>
  <c r="E122" i="15" s="1"/>
  <c r="E123" i="15" s="1"/>
  <c r="E124" i="15" s="1"/>
  <c r="E125" i="15" s="1"/>
  <c r="E126" i="15" s="1"/>
  <c r="E127" i="15" s="1"/>
  <c r="E128" i="15" s="1"/>
  <c r="E129" i="15" s="1"/>
  <c r="E130" i="15" s="1"/>
  <c r="E131" i="15" s="1"/>
  <c r="E132" i="15" s="1"/>
  <c r="E133" i="15" s="1"/>
  <c r="E134" i="15" s="1"/>
  <c r="E135" i="15" s="1"/>
  <c r="E136" i="15" s="1"/>
  <c r="E137" i="15" s="1"/>
  <c r="E138" i="15" s="1"/>
  <c r="E139" i="15" s="1"/>
  <c r="E140" i="15" s="1"/>
  <c r="E141" i="15" s="1"/>
  <c r="E142" i="15" s="1"/>
  <c r="E143" i="15" s="1"/>
  <c r="E144" i="15" s="1"/>
  <c r="E145" i="15" s="1"/>
  <c r="E146" i="15" s="1"/>
  <c r="E147" i="15" s="1"/>
  <c r="E148" i="15" s="1"/>
  <c r="E149" i="15" s="1"/>
  <c r="E150" i="15" s="1"/>
  <c r="E151" i="15" s="1"/>
  <c r="E152" i="15" s="1"/>
  <c r="E153" i="15" s="1"/>
  <c r="E154" i="15" s="1"/>
  <c r="E155" i="15" s="1"/>
  <c r="E156" i="15" s="1"/>
  <c r="E157" i="15" s="1"/>
  <c r="E158" i="15" s="1"/>
  <c r="E159" i="15" s="1"/>
  <c r="E160" i="15" s="1"/>
  <c r="E161" i="15" s="1"/>
  <c r="E162" i="15" s="1"/>
  <c r="E163" i="15" s="1"/>
  <c r="E164" i="15" s="1"/>
  <c r="E165" i="15" s="1"/>
  <c r="E166" i="15" s="1"/>
  <c r="E167" i="15" s="1"/>
  <c r="E168" i="15" s="1"/>
  <c r="E169" i="15" s="1"/>
  <c r="E170" i="15" s="1"/>
  <c r="E171" i="15" s="1"/>
  <c r="E172" i="15" s="1"/>
  <c r="E173" i="15" s="1"/>
  <c r="E174" i="15" s="1"/>
  <c r="E175" i="15" s="1"/>
  <c r="E176" i="15" s="1"/>
  <c r="E177" i="15" s="1"/>
  <c r="E178" i="15" s="1"/>
  <c r="E179" i="15" s="1"/>
  <c r="E180" i="15" s="1"/>
  <c r="E181" i="15" s="1"/>
  <c r="E182" i="15" s="1"/>
  <c r="E183" i="15" s="1"/>
  <c r="E184" i="15" s="1"/>
  <c r="E185" i="15" s="1"/>
  <c r="E186" i="15" s="1"/>
  <c r="E187" i="15" s="1"/>
  <c r="E188" i="15" s="1"/>
  <c r="E189" i="15" s="1"/>
  <c r="E190" i="15" s="1"/>
  <c r="E191" i="15" s="1"/>
  <c r="E192" i="15" s="1"/>
  <c r="E193" i="15" s="1"/>
  <c r="E194" i="15" s="1"/>
  <c r="E195" i="15" s="1"/>
  <c r="E196" i="15" s="1"/>
  <c r="E197" i="15" s="1"/>
  <c r="E198" i="15" s="1"/>
  <c r="E199" i="15" s="1"/>
  <c r="E200" i="15" s="1"/>
  <c r="E201" i="15" s="1"/>
  <c r="E202" i="15" s="1"/>
  <c r="E203" i="15" s="1"/>
  <c r="E204" i="15" s="1"/>
  <c r="E205" i="15" s="1"/>
  <c r="E206" i="15" s="1"/>
  <c r="E207" i="15" s="1"/>
  <c r="E208" i="15" s="1"/>
  <c r="E209" i="15" s="1"/>
  <c r="E210" i="15" s="1"/>
  <c r="E211" i="15" s="1"/>
  <c r="E212" i="15" s="1"/>
  <c r="E213" i="15" s="1"/>
  <c r="E214" i="15" s="1"/>
  <c r="E215" i="15" s="1"/>
  <c r="E216" i="15" s="1"/>
  <c r="E217" i="15" s="1"/>
  <c r="E218" i="15" s="1"/>
  <c r="E219" i="15" s="1"/>
  <c r="E220" i="15" s="1"/>
  <c r="E221" i="15" s="1"/>
  <c r="E222" i="15" s="1"/>
  <c r="E223" i="15" s="1"/>
  <c r="E224" i="15" s="1"/>
  <c r="E225" i="15" s="1"/>
  <c r="E226" i="15" s="1"/>
  <c r="E227" i="15" s="1"/>
  <c r="E228" i="15" s="1"/>
  <c r="E229" i="15" s="1"/>
  <c r="E230" i="15" s="1"/>
  <c r="E231" i="15" s="1"/>
  <c r="E232" i="15" s="1"/>
  <c r="E233" i="15" s="1"/>
  <c r="E234" i="15" s="1"/>
  <c r="E235" i="15" s="1"/>
  <c r="E236" i="15" s="1"/>
  <c r="E237" i="15" s="1"/>
  <c r="E238" i="15" s="1"/>
  <c r="E239" i="15" s="1"/>
  <c r="E240" i="15" s="1"/>
  <c r="E241" i="15" s="1"/>
  <c r="E242" i="15" s="1"/>
  <c r="E243" i="15" s="1"/>
  <c r="E244" i="15" s="1"/>
  <c r="E245" i="15" s="1"/>
  <c r="E246" i="15" s="1"/>
  <c r="E247" i="15" s="1"/>
  <c r="E248" i="15" s="1"/>
  <c r="E249" i="15" s="1"/>
  <c r="E250" i="15" s="1"/>
  <c r="E251" i="15" s="1"/>
  <c r="E252" i="15" s="1"/>
  <c r="E253" i="15" s="1"/>
  <c r="E254" i="15" s="1"/>
  <c r="E255" i="15" s="1"/>
  <c r="E256" i="15" s="1"/>
  <c r="E257" i="15" s="1"/>
  <c r="E258" i="15" s="1"/>
  <c r="E259" i="15" s="1"/>
  <c r="E260" i="15" s="1"/>
  <c r="E261" i="15" s="1"/>
  <c r="E262" i="15" s="1"/>
  <c r="E263" i="15" s="1"/>
  <c r="E264" i="15" s="1"/>
  <c r="E265" i="15" s="1"/>
  <c r="E266" i="15" s="1"/>
  <c r="E267" i="15" s="1"/>
  <c r="E268" i="15" s="1"/>
  <c r="E269" i="15" s="1"/>
  <c r="E270" i="15" s="1"/>
  <c r="E271" i="15" s="1"/>
  <c r="E272" i="15" s="1"/>
  <c r="E273" i="15" s="1"/>
  <c r="E274" i="15" s="1"/>
  <c r="E275" i="15" s="1"/>
  <c r="E276" i="15" s="1"/>
  <c r="E277" i="15" s="1"/>
  <c r="E278" i="15" s="1"/>
  <c r="E279" i="15" s="1"/>
  <c r="E280" i="15" s="1"/>
  <c r="E281" i="15" s="1"/>
  <c r="E282" i="15" s="1"/>
  <c r="E283" i="15" s="1"/>
  <c r="E284" i="15" s="1"/>
  <c r="E285" i="15" s="1"/>
  <c r="E286" i="15" s="1"/>
  <c r="E287" i="15" s="1"/>
  <c r="E288" i="15" s="1"/>
  <c r="E289" i="15" s="1"/>
  <c r="E290" i="15" s="1"/>
  <c r="E291" i="15" s="1"/>
  <c r="E292" i="15" s="1"/>
  <c r="E293" i="15" s="1"/>
  <c r="E294" i="15" s="1"/>
  <c r="E295" i="15" s="1"/>
  <c r="E296" i="15" s="1"/>
  <c r="E297" i="15" s="1"/>
  <c r="E298" i="15" s="1"/>
  <c r="E299" i="15" s="1"/>
  <c r="E300" i="15" s="1"/>
  <c r="E301" i="15" s="1"/>
  <c r="E302" i="15" s="1"/>
  <c r="E303" i="15" s="1"/>
  <c r="E304" i="15" s="1"/>
  <c r="E305" i="15" s="1"/>
  <c r="E306" i="15" s="1"/>
  <c r="E307" i="15" s="1"/>
  <c r="E308" i="15" s="1"/>
  <c r="E309" i="15" s="1"/>
  <c r="E310" i="15" s="1"/>
  <c r="E311" i="15" s="1"/>
  <c r="E312" i="15" s="1"/>
  <c r="E313" i="15" s="1"/>
  <c r="E314" i="15" s="1"/>
  <c r="E315" i="15" s="1"/>
  <c r="E316" i="15" s="1"/>
  <c r="E317" i="15" s="1"/>
  <c r="E318" i="15" s="1"/>
  <c r="E319" i="15" s="1"/>
  <c r="E320" i="15" s="1"/>
  <c r="E321" i="15" s="1"/>
  <c r="E322" i="15" s="1"/>
  <c r="E323" i="15" s="1"/>
  <c r="E324" i="15" s="1"/>
  <c r="E325" i="15" s="1"/>
  <c r="E326" i="15" s="1"/>
  <c r="E327" i="15" s="1"/>
  <c r="E328" i="15" s="1"/>
  <c r="E329" i="15" s="1"/>
  <c r="E330" i="15" s="1"/>
  <c r="E331" i="15" s="1"/>
  <c r="E332" i="15" s="1"/>
  <c r="E333" i="15" s="1"/>
  <c r="E334" i="15" s="1"/>
  <c r="E335" i="15" s="1"/>
  <c r="E336" i="15" s="1"/>
  <c r="E337" i="15" s="1"/>
  <c r="E338" i="15" s="1"/>
  <c r="E339" i="15" s="1"/>
  <c r="E340" i="15" s="1"/>
  <c r="E341" i="15" s="1"/>
  <c r="E342" i="15" s="1"/>
  <c r="E343" i="15" s="1"/>
  <c r="E344" i="15" s="1"/>
  <c r="E345" i="15" s="1"/>
  <c r="E346" i="15" s="1"/>
  <c r="E347" i="15" s="1"/>
  <c r="E348" i="15" s="1"/>
  <c r="E349" i="15" s="1"/>
  <c r="E350" i="15" s="1"/>
  <c r="E351" i="15" s="1"/>
  <c r="E352" i="15" s="1"/>
  <c r="E353" i="15" s="1"/>
  <c r="E354" i="15" s="1"/>
  <c r="E355" i="15" s="1"/>
  <c r="E356" i="15" s="1"/>
  <c r="E357" i="15" s="1"/>
  <c r="E358" i="15" s="1"/>
  <c r="E359" i="15" s="1"/>
  <c r="E360" i="15" s="1"/>
  <c r="E361" i="15" s="1"/>
  <c r="E362" i="15" s="1"/>
  <c r="E363" i="15" s="1"/>
  <c r="E364" i="15" s="1"/>
  <c r="E365" i="15" s="1"/>
  <c r="E366" i="15" s="1"/>
  <c r="E367" i="15" s="1"/>
  <c r="E368" i="15" s="1"/>
  <c r="E369" i="15" s="1"/>
  <c r="E370" i="15" s="1"/>
  <c r="E371" i="15" s="1"/>
  <c r="E372" i="15" s="1"/>
  <c r="E373" i="15" s="1"/>
  <c r="E374" i="15" s="1"/>
  <c r="E375" i="15" s="1"/>
  <c r="E376" i="15" s="1"/>
  <c r="E377" i="15" s="1"/>
  <c r="E378" i="15" s="1"/>
  <c r="E379" i="15" s="1"/>
  <c r="E380" i="15" s="1"/>
  <c r="E381" i="15" s="1"/>
  <c r="E382" i="15" s="1"/>
  <c r="E383" i="15" s="1"/>
  <c r="E384" i="15" s="1"/>
  <c r="E385" i="15" s="1"/>
  <c r="E386" i="15" s="1"/>
  <c r="E387" i="15" s="1"/>
  <c r="E388" i="15" s="1"/>
  <c r="E389" i="15" s="1"/>
  <c r="E390" i="15" s="1"/>
  <c r="E391" i="15" s="1"/>
  <c r="E392" i="15" s="1"/>
  <c r="E393" i="15" s="1"/>
  <c r="E394" i="15" s="1"/>
  <c r="E395" i="15" s="1"/>
  <c r="E396" i="15" s="1"/>
  <c r="E397" i="15" s="1"/>
  <c r="E398" i="15" s="1"/>
  <c r="E399" i="15" s="1"/>
  <c r="E400" i="15" s="1"/>
  <c r="E401" i="15" s="1"/>
  <c r="E402" i="15" s="1"/>
  <c r="E403" i="15" s="1"/>
  <c r="E404" i="15" s="1"/>
  <c r="E405" i="15" s="1"/>
  <c r="E406" i="15" s="1"/>
  <c r="E407" i="15" s="1"/>
  <c r="E408" i="15" s="1"/>
  <c r="E409" i="15" s="1"/>
  <c r="E410" i="15" s="1"/>
  <c r="E411" i="15" s="1"/>
  <c r="E412" i="15" s="1"/>
  <c r="E413" i="15" s="1"/>
  <c r="E414" i="15" s="1"/>
  <c r="E415" i="15" s="1"/>
  <c r="E416" i="15" s="1"/>
  <c r="E417" i="15" s="1"/>
  <c r="E418" i="15" s="1"/>
  <c r="E419" i="15" s="1"/>
  <c r="E420" i="15" s="1"/>
  <c r="E421" i="15" s="1"/>
  <c r="E422" i="15" s="1"/>
  <c r="E423" i="15" s="1"/>
  <c r="E424" i="15" s="1"/>
  <c r="E425" i="15" s="1"/>
  <c r="E426" i="15" s="1"/>
  <c r="E427" i="15" s="1"/>
  <c r="E428" i="15" s="1"/>
  <c r="E429" i="15" s="1"/>
  <c r="E430" i="15" s="1"/>
  <c r="E431" i="15" s="1"/>
  <c r="E432" i="15" s="1"/>
  <c r="E433" i="15" s="1"/>
  <c r="E434" i="15" s="1"/>
  <c r="E435" i="15" s="1"/>
  <c r="E436" i="15" s="1"/>
  <c r="E437" i="15" s="1"/>
  <c r="E438" i="15" s="1"/>
  <c r="E439" i="15" s="1"/>
  <c r="E440" i="15" s="1"/>
  <c r="E441" i="15" s="1"/>
  <c r="E442" i="15" s="1"/>
  <c r="E443" i="15" s="1"/>
  <c r="E444" i="15" s="1"/>
  <c r="E445" i="15" s="1"/>
  <c r="E446" i="15" s="1"/>
  <c r="E447" i="15" s="1"/>
  <c r="E448" i="15" s="1"/>
  <c r="E449" i="15" s="1"/>
  <c r="E450" i="15" s="1"/>
  <c r="E451" i="15" s="1"/>
  <c r="E452" i="15" s="1"/>
  <c r="E453" i="15" s="1"/>
  <c r="E454" i="15" s="1"/>
  <c r="E455" i="15" s="1"/>
  <c r="E456" i="15" s="1"/>
  <c r="E457" i="15" s="1"/>
  <c r="E458" i="15" s="1"/>
  <c r="E459" i="15" s="1"/>
  <c r="E460" i="15" s="1"/>
  <c r="E461" i="15" s="1"/>
  <c r="E462" i="15" s="1"/>
  <c r="E463" i="15" s="1"/>
  <c r="E464" i="15" s="1"/>
  <c r="E465" i="15" s="1"/>
  <c r="E466" i="15" s="1"/>
  <c r="E467" i="15" s="1"/>
  <c r="E468" i="15" s="1"/>
  <c r="E469" i="15" s="1"/>
  <c r="E470" i="15" s="1"/>
  <c r="E471" i="15" s="1"/>
  <c r="E472" i="15" s="1"/>
  <c r="E473" i="15" s="1"/>
  <c r="E474" i="15" s="1"/>
  <c r="E475" i="15" s="1"/>
  <c r="E476" i="15" s="1"/>
  <c r="E477" i="15" s="1"/>
  <c r="E478" i="15" s="1"/>
  <c r="E479" i="15" s="1"/>
  <c r="E480" i="15" s="1"/>
  <c r="E481" i="15" s="1"/>
  <c r="E482" i="15" s="1"/>
  <c r="E483" i="15" s="1"/>
  <c r="E484" i="15" s="1"/>
  <c r="E485" i="15" s="1"/>
  <c r="E486" i="15" s="1"/>
  <c r="E487" i="15" s="1"/>
  <c r="E488" i="15" s="1"/>
  <c r="E489" i="15" s="1"/>
  <c r="E490" i="15" s="1"/>
  <c r="E491" i="15" s="1"/>
  <c r="E492" i="15" s="1"/>
  <c r="E493" i="15" s="1"/>
  <c r="E494" i="15" s="1"/>
  <c r="E495" i="15" s="1"/>
  <c r="E496" i="15" s="1"/>
  <c r="E497" i="15" s="1"/>
  <c r="E498" i="15" s="1"/>
  <c r="E499" i="15" s="1"/>
  <c r="E500" i="15" s="1"/>
  <c r="E501" i="15" s="1"/>
  <c r="E502" i="15" s="1"/>
  <c r="E503" i="15" s="1"/>
  <c r="E504" i="15" s="1"/>
  <c r="E505" i="15" s="1"/>
  <c r="E506" i="15" s="1"/>
  <c r="E507" i="15" s="1"/>
  <c r="E508" i="15" s="1"/>
  <c r="E509" i="15" s="1"/>
  <c r="E510" i="15" s="1"/>
  <c r="E511" i="15" s="1"/>
  <c r="E512" i="15" s="1"/>
  <c r="E513" i="15" s="1"/>
  <c r="E514" i="15" s="1"/>
  <c r="E515" i="15" s="1"/>
  <c r="E516" i="15" s="1"/>
  <c r="E517" i="15" s="1"/>
  <c r="E518" i="15" s="1"/>
  <c r="E519" i="15" s="1"/>
  <c r="E520" i="15" s="1"/>
  <c r="E521" i="15" s="1"/>
  <c r="E522" i="15" s="1"/>
  <c r="E523" i="15" s="1"/>
  <c r="E524" i="15" s="1"/>
  <c r="E525" i="15" s="1"/>
  <c r="E526" i="15" s="1"/>
  <c r="E527" i="15" s="1"/>
  <c r="E528" i="15" s="1"/>
  <c r="E529" i="15" s="1"/>
  <c r="E530" i="15" s="1"/>
  <c r="E531" i="15" s="1"/>
  <c r="E532" i="15" s="1"/>
  <c r="E533" i="15" s="1"/>
  <c r="E534" i="15" s="1"/>
  <c r="E535" i="15" s="1"/>
  <c r="E536" i="15" s="1"/>
  <c r="E537" i="15" s="1"/>
  <c r="E538" i="15" s="1"/>
  <c r="E539" i="15" s="1"/>
  <c r="E540" i="15" s="1"/>
  <c r="E541" i="15" s="1"/>
  <c r="E542" i="15" s="1"/>
  <c r="E543" i="15" s="1"/>
  <c r="E544" i="15" s="1"/>
  <c r="E545" i="15" s="1"/>
  <c r="E546" i="15" s="1"/>
  <c r="E547" i="15" s="1"/>
  <c r="E548" i="15" s="1"/>
  <c r="E549" i="15" s="1"/>
  <c r="E550" i="15" s="1"/>
  <c r="E551" i="15" s="1"/>
  <c r="E552" i="15" s="1"/>
  <c r="E553" i="15" s="1"/>
  <c r="E554" i="15" s="1"/>
  <c r="E555" i="15" s="1"/>
  <c r="E556" i="15" s="1"/>
  <c r="E557" i="15" s="1"/>
  <c r="E558" i="15" s="1"/>
  <c r="E559" i="15" s="1"/>
  <c r="E560" i="15" s="1"/>
  <c r="E561" i="15" s="1"/>
  <c r="E562" i="15" s="1"/>
  <c r="E563" i="15" s="1"/>
  <c r="E564" i="15" s="1"/>
  <c r="E565" i="15" s="1"/>
  <c r="E566" i="15" s="1"/>
  <c r="E567" i="15" s="1"/>
  <c r="E568" i="15" s="1"/>
  <c r="E569" i="15" s="1"/>
  <c r="E570" i="15" s="1"/>
  <c r="E571" i="15" s="1"/>
  <c r="E572" i="15" s="1"/>
  <c r="E573" i="15" s="1"/>
  <c r="E574" i="15" s="1"/>
  <c r="E575" i="15" s="1"/>
  <c r="E576" i="15" s="1"/>
  <c r="E577" i="15" s="1"/>
  <c r="E578" i="15" s="1"/>
  <c r="E579" i="15" s="1"/>
  <c r="E580" i="15" s="1"/>
  <c r="E581" i="15" s="1"/>
  <c r="E582" i="15" s="1"/>
  <c r="E583" i="15" s="1"/>
  <c r="E584" i="15" s="1"/>
  <c r="E585" i="15" s="1"/>
  <c r="E586" i="15" s="1"/>
  <c r="E587" i="15" s="1"/>
  <c r="E588" i="15" s="1"/>
  <c r="E589" i="15" s="1"/>
  <c r="E590" i="15" s="1"/>
  <c r="E591" i="15" s="1"/>
  <c r="E592" i="15" s="1"/>
  <c r="E593" i="15" s="1"/>
  <c r="E594" i="15" s="1"/>
  <c r="E595" i="15" s="1"/>
  <c r="E596" i="15" s="1"/>
  <c r="E597" i="15" s="1"/>
  <c r="E598" i="15" s="1"/>
  <c r="E599" i="15" s="1"/>
  <c r="E600" i="15" s="1"/>
  <c r="E601" i="15" s="1"/>
  <c r="E602" i="15" s="1"/>
  <c r="E603" i="15" s="1"/>
  <c r="E604" i="15" s="1"/>
  <c r="E605" i="15" s="1"/>
  <c r="E606" i="15" s="1"/>
  <c r="E607" i="15" s="1"/>
  <c r="E608" i="15" s="1"/>
  <c r="E609" i="15" s="1"/>
  <c r="E610" i="15" s="1"/>
  <c r="E611" i="15" s="1"/>
  <c r="E612" i="15" s="1"/>
  <c r="E613" i="15" s="1"/>
  <c r="E614" i="15" s="1"/>
  <c r="E615" i="15" s="1"/>
  <c r="E616" i="15" s="1"/>
  <c r="E617" i="15" s="1"/>
  <c r="E618" i="15" s="1"/>
  <c r="E619" i="15" s="1"/>
  <c r="E620" i="15" s="1"/>
  <c r="E621" i="15" s="1"/>
  <c r="E622" i="15" s="1"/>
  <c r="E623" i="15" s="1"/>
  <c r="E624" i="15" s="1"/>
  <c r="E625" i="15" s="1"/>
  <c r="E626" i="15" s="1"/>
  <c r="E627" i="15" s="1"/>
  <c r="E628" i="15" s="1"/>
  <c r="E629" i="15" s="1"/>
  <c r="E630" i="15" s="1"/>
  <c r="E631" i="15" s="1"/>
  <c r="E632" i="15" s="1"/>
  <c r="E633" i="15" s="1"/>
  <c r="E634" i="15" s="1"/>
  <c r="E635" i="15" s="1"/>
  <c r="E636" i="15" s="1"/>
  <c r="E637" i="15" s="1"/>
  <c r="E638" i="15" s="1"/>
  <c r="E639" i="15" s="1"/>
  <c r="E640" i="15" s="1"/>
  <c r="E641" i="15" s="1"/>
  <c r="E642" i="15" s="1"/>
  <c r="E643" i="15" s="1"/>
  <c r="E644" i="15" s="1"/>
  <c r="E645" i="15" s="1"/>
  <c r="E646" i="15" s="1"/>
  <c r="E647" i="15" s="1"/>
  <c r="E648" i="15" s="1"/>
  <c r="E649" i="15" s="1"/>
  <c r="E650" i="15" s="1"/>
  <c r="E651" i="15" s="1"/>
  <c r="E652" i="15" s="1"/>
  <c r="E653" i="15" s="1"/>
  <c r="E654" i="15" s="1"/>
  <c r="E655" i="15" s="1"/>
  <c r="E656" i="15" s="1"/>
  <c r="E657" i="15" s="1"/>
  <c r="E658" i="15" s="1"/>
  <c r="E659" i="15" s="1"/>
  <c r="E660" i="15" s="1"/>
  <c r="E661" i="15" s="1"/>
  <c r="E662" i="15" s="1"/>
  <c r="E663" i="15" s="1"/>
  <c r="E664" i="15" s="1"/>
  <c r="E665" i="15" s="1"/>
  <c r="E666" i="15" s="1"/>
  <c r="E667" i="15" s="1"/>
  <c r="E668" i="15" s="1"/>
  <c r="E669" i="15" s="1"/>
  <c r="E670" i="15" s="1"/>
  <c r="E671" i="15" s="1"/>
  <c r="E672" i="15" s="1"/>
  <c r="E673" i="15" s="1"/>
  <c r="E674" i="15" s="1"/>
  <c r="E675" i="15" s="1"/>
  <c r="E676" i="15" s="1"/>
  <c r="E677" i="15" s="1"/>
  <c r="E678" i="15" s="1"/>
  <c r="E679" i="15" s="1"/>
  <c r="E680" i="15" s="1"/>
  <c r="E681" i="15" s="1"/>
  <c r="E682" i="15" s="1"/>
  <c r="E683" i="15" s="1"/>
  <c r="E684" i="15" s="1"/>
  <c r="E685" i="15" s="1"/>
  <c r="E686" i="15" s="1"/>
  <c r="E687" i="15" s="1"/>
  <c r="E688" i="15" s="1"/>
  <c r="E689" i="15" s="1"/>
  <c r="E690" i="15" s="1"/>
  <c r="E691" i="15" s="1"/>
  <c r="E692" i="15" s="1"/>
  <c r="E693" i="15" s="1"/>
  <c r="E694" i="15" s="1"/>
  <c r="E695" i="15" s="1"/>
  <c r="E696" i="15" s="1"/>
  <c r="E697" i="15" s="1"/>
  <c r="E698" i="15" s="1"/>
  <c r="E699" i="15" s="1"/>
  <c r="E700" i="15" s="1"/>
  <c r="E701" i="15" s="1"/>
  <c r="E702" i="15" s="1"/>
  <c r="E703" i="15" s="1"/>
  <c r="E704" i="15" s="1"/>
  <c r="E705" i="15" s="1"/>
  <c r="F152" i="15"/>
  <c r="F153" i="15" s="1"/>
  <c r="F154" i="15" s="1"/>
  <c r="F155" i="15" s="1"/>
  <c r="F156" i="15" s="1"/>
  <c r="F157" i="15" s="1"/>
  <c r="F158" i="15" s="1"/>
  <c r="F159" i="15" s="1"/>
  <c r="F160" i="15" s="1"/>
  <c r="F161" i="15" s="1"/>
  <c r="F162" i="15" s="1"/>
  <c r="F163" i="15" s="1"/>
  <c r="F164" i="15" s="1"/>
  <c r="F165" i="15" s="1"/>
  <c r="F166" i="15"/>
  <c r="F167" i="15" s="1"/>
  <c r="F168" i="15" s="1"/>
  <c r="F169" i="15" s="1"/>
  <c r="F170" i="15" s="1"/>
  <c r="F171" i="15" s="1"/>
  <c r="F172" i="15" s="1"/>
  <c r="F173" i="15" s="1"/>
  <c r="F174" i="15" s="1"/>
  <c r="F175" i="15" s="1"/>
  <c r="F176" i="15" s="1"/>
  <c r="F177" i="15" s="1"/>
  <c r="F178" i="15" s="1"/>
  <c r="F179" i="15" s="1"/>
  <c r="F180" i="15" s="1"/>
  <c r="F181" i="15" s="1"/>
  <c r="F182" i="15" s="1"/>
  <c r="F183" i="15" s="1"/>
  <c r="F184" i="15" s="1"/>
  <c r="F185" i="15" s="1"/>
  <c r="F186" i="15" s="1"/>
  <c r="F187" i="15" s="1"/>
  <c r="F188" i="15" s="1"/>
  <c r="F189" i="15" s="1"/>
  <c r="F190" i="15" s="1"/>
  <c r="F191" i="15" s="1"/>
  <c r="F192" i="15" s="1"/>
  <c r="F193" i="15" s="1"/>
  <c r="F194" i="15" s="1"/>
  <c r="F195" i="15" s="1"/>
  <c r="F196" i="15" s="1"/>
  <c r="F197" i="15" s="1"/>
  <c r="F198" i="15" s="1"/>
  <c r="F199" i="15" s="1"/>
  <c r="F200" i="15" s="1"/>
  <c r="F201" i="15" s="1"/>
  <c r="F202" i="15" s="1"/>
  <c r="F203" i="15" s="1"/>
  <c r="F204" i="15" s="1"/>
  <c r="F205" i="15" s="1"/>
  <c r="F206" i="15" s="1"/>
  <c r="F207" i="15" s="1"/>
  <c r="F208" i="15" s="1"/>
  <c r="F209" i="15" s="1"/>
  <c r="F210" i="15" s="1"/>
  <c r="F211" i="15" s="1"/>
  <c r="F212" i="15" s="1"/>
  <c r="F213" i="15" s="1"/>
  <c r="F214" i="15" s="1"/>
  <c r="F215" i="15" s="1"/>
  <c r="F216" i="15" s="1"/>
  <c r="F217" i="15" s="1"/>
  <c r="F218" i="15" s="1"/>
  <c r="F219" i="15" s="1"/>
  <c r="F220" i="15" s="1"/>
  <c r="F221" i="15" s="1"/>
  <c r="F222" i="15" s="1"/>
  <c r="F223" i="15" s="1"/>
  <c r="F224" i="15" s="1"/>
  <c r="F225" i="15" s="1"/>
  <c r="F226" i="15" s="1"/>
  <c r="F227" i="15" s="1"/>
  <c r="F228" i="15" s="1"/>
  <c r="F229" i="15" s="1"/>
  <c r="F230" i="15" s="1"/>
  <c r="F231" i="15" s="1"/>
  <c r="F232" i="15" s="1"/>
  <c r="F233" i="15" s="1"/>
  <c r="F234" i="15" s="1"/>
  <c r="F235" i="15" s="1"/>
  <c r="F236" i="15" s="1"/>
  <c r="F237" i="15" s="1"/>
  <c r="F238" i="15" s="1"/>
  <c r="F239" i="15" s="1"/>
  <c r="F240" i="15" s="1"/>
  <c r="F241" i="15" s="1"/>
  <c r="F242" i="15" s="1"/>
  <c r="F243" i="15" s="1"/>
  <c r="F244" i="15" s="1"/>
  <c r="F245" i="15" s="1"/>
  <c r="F246" i="15" s="1"/>
  <c r="F247" i="15" s="1"/>
  <c r="F248" i="15" s="1"/>
  <c r="F249" i="15" s="1"/>
  <c r="F250" i="15" s="1"/>
  <c r="F251" i="15" s="1"/>
  <c r="F252" i="15" s="1"/>
  <c r="F253" i="15" s="1"/>
  <c r="F254" i="15" s="1"/>
  <c r="F255" i="15" s="1"/>
  <c r="F256" i="15" s="1"/>
  <c r="F257" i="15" s="1"/>
  <c r="F258" i="15" s="1"/>
  <c r="F259" i="15" s="1"/>
  <c r="F260" i="15" s="1"/>
  <c r="F261" i="15" s="1"/>
  <c r="F262" i="15" s="1"/>
  <c r="F263" i="15" s="1"/>
  <c r="F264" i="15" s="1"/>
  <c r="F265" i="15" s="1"/>
  <c r="F266" i="15" s="1"/>
  <c r="F267" i="15" s="1"/>
  <c r="F268" i="15" s="1"/>
  <c r="F269" i="15" s="1"/>
  <c r="F270" i="15" s="1"/>
  <c r="F271" i="15" s="1"/>
  <c r="F272" i="15" s="1"/>
  <c r="F273" i="15" s="1"/>
  <c r="F274" i="15" s="1"/>
  <c r="F275" i="15" s="1"/>
  <c r="F276" i="15" s="1"/>
  <c r="F277" i="15" s="1"/>
  <c r="F278" i="15" s="1"/>
  <c r="F279" i="15" s="1"/>
  <c r="F280" i="15" s="1"/>
  <c r="F281" i="15" s="1"/>
  <c r="F282" i="15" s="1"/>
  <c r="F283" i="15" s="1"/>
  <c r="F284" i="15" s="1"/>
  <c r="F285" i="15" s="1"/>
  <c r="F286" i="15" s="1"/>
  <c r="F287" i="15" s="1"/>
  <c r="F288" i="15" s="1"/>
  <c r="F289" i="15" s="1"/>
  <c r="F290" i="15" s="1"/>
  <c r="F291" i="15" s="1"/>
  <c r="F292" i="15" s="1"/>
  <c r="F293" i="15" s="1"/>
  <c r="F294" i="15" s="1"/>
  <c r="F295" i="15" s="1"/>
  <c r="F296" i="15" s="1"/>
  <c r="F297" i="15" s="1"/>
  <c r="F298" i="15" s="1"/>
  <c r="F299" i="15" s="1"/>
  <c r="F300" i="15" s="1"/>
  <c r="F301" i="15" s="1"/>
  <c r="F302" i="15" s="1"/>
  <c r="F303" i="15" s="1"/>
  <c r="F304" i="15" s="1"/>
  <c r="F305" i="15" s="1"/>
  <c r="F306" i="15" s="1"/>
  <c r="F307" i="15" s="1"/>
  <c r="F308" i="15" s="1"/>
  <c r="F309" i="15" s="1"/>
  <c r="F310" i="15" s="1"/>
  <c r="F311" i="15" s="1"/>
  <c r="F312" i="15" s="1"/>
  <c r="F313" i="15" s="1"/>
  <c r="F314" i="15" s="1"/>
  <c r="F315" i="15" s="1"/>
  <c r="F316" i="15" s="1"/>
  <c r="F317" i="15" s="1"/>
  <c r="F318" i="15" s="1"/>
  <c r="F319" i="15" s="1"/>
  <c r="F320" i="15" s="1"/>
  <c r="F321" i="15" s="1"/>
  <c r="F322" i="15" s="1"/>
  <c r="F323" i="15" s="1"/>
  <c r="F324" i="15" s="1"/>
  <c r="F325" i="15" s="1"/>
  <c r="F326" i="15" s="1"/>
  <c r="F327" i="15" s="1"/>
  <c r="F328" i="15" s="1"/>
  <c r="F329" i="15" s="1"/>
  <c r="F330" i="15" s="1"/>
  <c r="F331" i="15" s="1"/>
  <c r="F332" i="15" s="1"/>
  <c r="F333" i="15" s="1"/>
  <c r="F334" i="15" s="1"/>
  <c r="F335" i="15" s="1"/>
  <c r="F336" i="15" s="1"/>
  <c r="F337" i="15" s="1"/>
  <c r="F338" i="15" s="1"/>
  <c r="F339" i="15" s="1"/>
  <c r="F340" i="15" s="1"/>
  <c r="F341" i="15" s="1"/>
  <c r="F342" i="15" s="1"/>
  <c r="F343" i="15" s="1"/>
  <c r="F344" i="15" s="1"/>
  <c r="F345" i="15" s="1"/>
  <c r="F346" i="15" s="1"/>
  <c r="F347" i="15" s="1"/>
  <c r="F348" i="15" s="1"/>
  <c r="F349" i="15" s="1"/>
  <c r="F350" i="15" s="1"/>
  <c r="F351" i="15" s="1"/>
  <c r="F352" i="15" s="1"/>
  <c r="F353" i="15" s="1"/>
  <c r="F354" i="15" s="1"/>
  <c r="F355" i="15" s="1"/>
  <c r="F356" i="15" s="1"/>
  <c r="F357" i="15" s="1"/>
  <c r="F358" i="15" s="1"/>
  <c r="F359" i="15" s="1"/>
  <c r="F360" i="15" s="1"/>
  <c r="F361" i="15" s="1"/>
  <c r="F362" i="15" s="1"/>
  <c r="F363" i="15" s="1"/>
  <c r="F364" i="15" s="1"/>
  <c r="F365" i="15" s="1"/>
  <c r="F366" i="15" s="1"/>
  <c r="F367" i="15" s="1"/>
  <c r="F368" i="15" s="1"/>
  <c r="F369" i="15" s="1"/>
  <c r="F370" i="15" s="1"/>
  <c r="F371" i="15" s="1"/>
  <c r="F372" i="15" s="1"/>
  <c r="F373" i="15" s="1"/>
  <c r="F374" i="15" s="1"/>
  <c r="F375" i="15" s="1"/>
  <c r="F376" i="15" s="1"/>
  <c r="F377" i="15" s="1"/>
  <c r="F378" i="15" s="1"/>
  <c r="F379" i="15" s="1"/>
  <c r="F380" i="15" s="1"/>
  <c r="F381" i="15" s="1"/>
  <c r="F382" i="15" s="1"/>
  <c r="F383" i="15" s="1"/>
  <c r="F384" i="15" s="1"/>
  <c r="F385" i="15" s="1"/>
  <c r="F386" i="15" s="1"/>
  <c r="F387" i="15" s="1"/>
  <c r="F388" i="15" s="1"/>
  <c r="F389" i="15" s="1"/>
  <c r="F390" i="15" s="1"/>
  <c r="F391" i="15" s="1"/>
  <c r="F392" i="15" s="1"/>
  <c r="F393" i="15" s="1"/>
  <c r="F394" i="15" s="1"/>
  <c r="F395" i="15" s="1"/>
  <c r="F396" i="15" s="1"/>
  <c r="F397" i="15" s="1"/>
  <c r="F398" i="15" s="1"/>
  <c r="F399" i="15" s="1"/>
  <c r="F400" i="15" s="1"/>
  <c r="F401" i="15" s="1"/>
  <c r="F402" i="15" s="1"/>
  <c r="F403" i="15" s="1"/>
  <c r="F404" i="15" s="1"/>
  <c r="F405" i="15" s="1"/>
  <c r="F406" i="15" s="1"/>
  <c r="F407" i="15" s="1"/>
  <c r="F408" i="15" s="1"/>
  <c r="F409" i="15" s="1"/>
  <c r="F410" i="15" s="1"/>
  <c r="F411" i="15" s="1"/>
  <c r="F412" i="15" s="1"/>
  <c r="F413" i="15" s="1"/>
  <c r="F414" i="15" s="1"/>
  <c r="F415" i="15" s="1"/>
  <c r="F416" i="15" s="1"/>
  <c r="F417" i="15" s="1"/>
  <c r="F418" i="15" s="1"/>
  <c r="F419" i="15" s="1"/>
  <c r="F420" i="15" s="1"/>
  <c r="F421" i="15" s="1"/>
  <c r="F422" i="15" s="1"/>
  <c r="F423" i="15" s="1"/>
  <c r="F424" i="15" s="1"/>
  <c r="F425" i="15" s="1"/>
  <c r="F426" i="15" s="1"/>
  <c r="F427" i="15" s="1"/>
  <c r="F428" i="15" s="1"/>
  <c r="F429" i="15" s="1"/>
  <c r="F430" i="15" s="1"/>
  <c r="F431" i="15" s="1"/>
  <c r="F432" i="15" s="1"/>
  <c r="F433" i="15" s="1"/>
  <c r="F434" i="15" s="1"/>
  <c r="F435" i="15" s="1"/>
  <c r="F436" i="15" s="1"/>
  <c r="F437" i="15" s="1"/>
  <c r="F438" i="15" s="1"/>
  <c r="F439" i="15" s="1"/>
  <c r="F440" i="15" s="1"/>
  <c r="F441" i="15" s="1"/>
  <c r="F442" i="15" s="1"/>
  <c r="F443" i="15" s="1"/>
  <c r="F444" i="15" s="1"/>
  <c r="F445" i="15" s="1"/>
  <c r="F446" i="15" s="1"/>
  <c r="F447" i="15" s="1"/>
  <c r="F448" i="15" s="1"/>
  <c r="F449" i="15" s="1"/>
  <c r="F450" i="15" s="1"/>
  <c r="F451" i="15" s="1"/>
  <c r="F452" i="15" s="1"/>
  <c r="F453" i="15" s="1"/>
  <c r="F454" i="15" s="1"/>
  <c r="F455" i="15" s="1"/>
  <c r="F456" i="15" s="1"/>
  <c r="F457" i="15" s="1"/>
  <c r="F458" i="15" s="1"/>
  <c r="F459" i="15" s="1"/>
  <c r="F460" i="15" s="1"/>
  <c r="F461" i="15" s="1"/>
  <c r="F462" i="15" s="1"/>
  <c r="F463" i="15" s="1"/>
  <c r="F464" i="15" s="1"/>
  <c r="F465" i="15" s="1"/>
  <c r="F466" i="15" s="1"/>
  <c r="F467" i="15" s="1"/>
  <c r="F468" i="15" s="1"/>
  <c r="F469" i="15" s="1"/>
  <c r="F470" i="15" s="1"/>
  <c r="F471" i="15" s="1"/>
  <c r="F472" i="15" s="1"/>
  <c r="F473" i="15" s="1"/>
  <c r="F474" i="15" s="1"/>
  <c r="F475" i="15" s="1"/>
  <c r="F476" i="15" s="1"/>
  <c r="F477" i="15" s="1"/>
  <c r="F478" i="15" s="1"/>
  <c r="F479" i="15" s="1"/>
  <c r="F480" i="15" s="1"/>
  <c r="F481" i="15" s="1"/>
  <c r="F482" i="15" s="1"/>
  <c r="F483" i="15" s="1"/>
  <c r="F484" i="15" s="1"/>
  <c r="F485" i="15" s="1"/>
  <c r="F486" i="15" s="1"/>
  <c r="F487" i="15" s="1"/>
  <c r="F488" i="15" s="1"/>
  <c r="F489" i="15" s="1"/>
  <c r="F490" i="15" s="1"/>
  <c r="F491" i="15" s="1"/>
  <c r="F492" i="15" s="1"/>
  <c r="F493" i="15" s="1"/>
  <c r="F494" i="15" s="1"/>
  <c r="F495" i="15" s="1"/>
  <c r="F496" i="15" s="1"/>
  <c r="F497" i="15" s="1"/>
  <c r="F498" i="15" s="1"/>
  <c r="F499" i="15" s="1"/>
  <c r="F500" i="15" s="1"/>
  <c r="F501" i="15" s="1"/>
  <c r="F502" i="15" s="1"/>
  <c r="F503" i="15" s="1"/>
  <c r="F504" i="15" s="1"/>
  <c r="F505" i="15" s="1"/>
  <c r="F506" i="15" s="1"/>
  <c r="F507" i="15" s="1"/>
  <c r="F508" i="15" s="1"/>
  <c r="F509" i="15" s="1"/>
  <c r="F510" i="15" s="1"/>
  <c r="F511" i="15" s="1"/>
  <c r="F512" i="15" s="1"/>
  <c r="F513" i="15" s="1"/>
  <c r="F514" i="15" s="1"/>
  <c r="F515" i="15" s="1"/>
  <c r="F516" i="15" s="1"/>
  <c r="F517" i="15" s="1"/>
  <c r="F518" i="15" s="1"/>
  <c r="F519" i="15" s="1"/>
  <c r="F520" i="15" s="1"/>
  <c r="F521" i="15" s="1"/>
  <c r="F522" i="15" s="1"/>
  <c r="F523" i="15" s="1"/>
  <c r="F524" i="15" s="1"/>
  <c r="F525" i="15" s="1"/>
  <c r="F526" i="15" s="1"/>
  <c r="F527" i="15" s="1"/>
  <c r="F528" i="15" s="1"/>
  <c r="F529" i="15" s="1"/>
  <c r="F530" i="15" s="1"/>
  <c r="F531" i="15" s="1"/>
  <c r="F532" i="15" s="1"/>
  <c r="F533" i="15" s="1"/>
  <c r="F534" i="15" s="1"/>
  <c r="F535" i="15" s="1"/>
  <c r="F536" i="15" s="1"/>
  <c r="F537" i="15" s="1"/>
  <c r="F538" i="15" s="1"/>
  <c r="F539" i="15" s="1"/>
  <c r="F540" i="15" s="1"/>
  <c r="F541" i="15" s="1"/>
  <c r="F542" i="15" s="1"/>
  <c r="F543" i="15" s="1"/>
  <c r="F544" i="15" s="1"/>
  <c r="F545" i="15" s="1"/>
  <c r="F546" i="15" s="1"/>
  <c r="F547" i="15" s="1"/>
  <c r="F548" i="15" s="1"/>
  <c r="F549" i="15" s="1"/>
  <c r="F550" i="15" s="1"/>
  <c r="F551" i="15" s="1"/>
  <c r="F552" i="15" s="1"/>
  <c r="F553" i="15" s="1"/>
  <c r="F554" i="15" s="1"/>
  <c r="F555" i="15" s="1"/>
  <c r="F556" i="15" s="1"/>
  <c r="F557" i="15" s="1"/>
  <c r="F558" i="15" s="1"/>
  <c r="F559" i="15" s="1"/>
  <c r="F560" i="15" s="1"/>
  <c r="F561" i="15" s="1"/>
  <c r="F562" i="15" s="1"/>
  <c r="F563" i="15" s="1"/>
  <c r="F564" i="15" s="1"/>
  <c r="F565" i="15" s="1"/>
  <c r="F566" i="15" s="1"/>
  <c r="F567" i="15" s="1"/>
  <c r="F568" i="15" s="1"/>
  <c r="F569" i="15" s="1"/>
  <c r="F570" i="15" s="1"/>
  <c r="F571" i="15" s="1"/>
  <c r="F572" i="15" s="1"/>
  <c r="F573" i="15" s="1"/>
  <c r="F574" i="15" s="1"/>
  <c r="F575" i="15" s="1"/>
  <c r="F576" i="15" s="1"/>
  <c r="F577" i="15" s="1"/>
  <c r="F578" i="15" s="1"/>
  <c r="F579" i="15" s="1"/>
  <c r="F580" i="15" s="1"/>
  <c r="F581" i="15" s="1"/>
  <c r="F582" i="15" s="1"/>
  <c r="F583" i="15" s="1"/>
  <c r="F584" i="15" s="1"/>
  <c r="F585" i="15" s="1"/>
  <c r="F586" i="15" s="1"/>
  <c r="F587" i="15" s="1"/>
  <c r="F588" i="15" s="1"/>
  <c r="F589" i="15" s="1"/>
  <c r="F590" i="15" s="1"/>
  <c r="F591" i="15" s="1"/>
  <c r="F592" i="15" s="1"/>
  <c r="F593" i="15" s="1"/>
  <c r="F594" i="15" s="1"/>
  <c r="F595" i="15" s="1"/>
  <c r="F596" i="15" s="1"/>
  <c r="F597" i="15" s="1"/>
  <c r="F598" i="15" s="1"/>
  <c r="F599" i="15" s="1"/>
  <c r="F600" i="15" s="1"/>
  <c r="F601" i="15" s="1"/>
  <c r="F602" i="15" s="1"/>
  <c r="F603" i="15" s="1"/>
  <c r="F604" i="15" s="1"/>
  <c r="F605" i="15" s="1"/>
  <c r="F606" i="15" s="1"/>
  <c r="F607" i="15" s="1"/>
  <c r="F608" i="15" s="1"/>
  <c r="F609" i="15" s="1"/>
  <c r="F610" i="15" s="1"/>
  <c r="F611" i="15" s="1"/>
  <c r="F612" i="15" s="1"/>
  <c r="F613" i="15" s="1"/>
  <c r="F614" i="15" s="1"/>
  <c r="F615" i="15" s="1"/>
  <c r="F616" i="15" s="1"/>
  <c r="F617" i="15" s="1"/>
  <c r="F618" i="15" s="1"/>
  <c r="F619" i="15" s="1"/>
  <c r="F620" i="15" s="1"/>
  <c r="F621" i="15" s="1"/>
  <c r="F622" i="15" s="1"/>
  <c r="F623" i="15" s="1"/>
  <c r="F624" i="15" s="1"/>
  <c r="F625" i="15" s="1"/>
  <c r="F626" i="15" s="1"/>
  <c r="F627" i="15" s="1"/>
  <c r="F628" i="15" s="1"/>
  <c r="F629" i="15" s="1"/>
  <c r="F630" i="15" s="1"/>
  <c r="F631" i="15" s="1"/>
  <c r="F632" i="15" s="1"/>
  <c r="F633" i="15" s="1"/>
  <c r="F634" i="15" s="1"/>
  <c r="F635" i="15" s="1"/>
  <c r="F636" i="15" s="1"/>
  <c r="F637" i="15" s="1"/>
  <c r="F638" i="15" s="1"/>
  <c r="F639" i="15" s="1"/>
  <c r="F640" i="15" s="1"/>
  <c r="F641" i="15" s="1"/>
  <c r="F642" i="15" s="1"/>
  <c r="F643" i="15" s="1"/>
  <c r="F644" i="15" s="1"/>
  <c r="F645" i="15" s="1"/>
  <c r="F646" i="15" s="1"/>
  <c r="F647" i="15" s="1"/>
  <c r="F648" i="15" s="1"/>
  <c r="F649" i="15" s="1"/>
  <c r="F650" i="15" s="1"/>
  <c r="F651" i="15" s="1"/>
  <c r="F652" i="15" s="1"/>
  <c r="F653" i="15" s="1"/>
  <c r="F654" i="15" s="1"/>
  <c r="F655" i="15" s="1"/>
  <c r="F656" i="15" s="1"/>
  <c r="F657" i="15" s="1"/>
  <c r="F658" i="15" s="1"/>
  <c r="F659" i="15" s="1"/>
  <c r="F660" i="15" s="1"/>
  <c r="F661" i="15" s="1"/>
  <c r="F662" i="15" s="1"/>
  <c r="F663" i="15" s="1"/>
  <c r="F664" i="15" s="1"/>
  <c r="F665" i="15" s="1"/>
  <c r="F666" i="15" s="1"/>
  <c r="F667" i="15" s="1"/>
  <c r="F668" i="15" s="1"/>
  <c r="F669" i="15" s="1"/>
  <c r="F670" i="15" s="1"/>
  <c r="F671" i="15" s="1"/>
  <c r="F672" i="15" s="1"/>
  <c r="F673" i="15" s="1"/>
  <c r="F674" i="15" s="1"/>
  <c r="F675" i="15" s="1"/>
  <c r="F676" i="15" s="1"/>
  <c r="F677" i="15" s="1"/>
  <c r="F678" i="15" s="1"/>
  <c r="F679" i="15" s="1"/>
  <c r="F680" i="15" s="1"/>
  <c r="F681" i="15" s="1"/>
  <c r="F682" i="15" s="1"/>
  <c r="F683" i="15" s="1"/>
  <c r="F684" i="15" s="1"/>
  <c r="F685" i="15" s="1"/>
  <c r="F686" i="15" s="1"/>
  <c r="F687" i="15" s="1"/>
  <c r="F688" i="15" s="1"/>
  <c r="F689" i="15" s="1"/>
  <c r="F690" i="15" s="1"/>
  <c r="F691" i="15" s="1"/>
  <c r="F692" i="15" s="1"/>
  <c r="F693" i="15" s="1"/>
  <c r="F694" i="15" s="1"/>
  <c r="F695" i="15" s="1"/>
  <c r="F696" i="15" s="1"/>
  <c r="F697" i="15" s="1"/>
  <c r="F698" i="15" s="1"/>
  <c r="F699" i="15" s="1"/>
  <c r="F700" i="15" s="1"/>
  <c r="F701" i="15" s="1"/>
  <c r="F702" i="15" s="1"/>
  <c r="F703" i="15" s="1"/>
  <c r="F704" i="15" s="1"/>
  <c r="F705" i="15" s="1"/>
  <c r="F706" i="15" s="1"/>
  <c r="F707" i="15" s="1"/>
  <c r="F708" i="15" s="1"/>
  <c r="E706" i="15"/>
  <c r="E707" i="15" s="1"/>
  <c r="E708" i="15" s="1"/>
  <c r="E709" i="15" s="1"/>
  <c r="E710" i="15" s="1"/>
  <c r="E711" i="15" s="1"/>
  <c r="E712" i="15" s="1"/>
  <c r="E713" i="15" s="1"/>
  <c r="E714" i="15" s="1"/>
  <c r="E715" i="15" s="1"/>
  <c r="E716" i="15" s="1"/>
  <c r="E717" i="15" s="1"/>
  <c r="E718" i="15" s="1"/>
  <c r="E719" i="15" s="1"/>
  <c r="E720" i="15" s="1"/>
  <c r="E721" i="15" s="1"/>
  <c r="E722" i="15" s="1"/>
  <c r="E723" i="15" s="1"/>
  <c r="E724" i="15" s="1"/>
  <c r="E725" i="15" s="1"/>
  <c r="E726" i="15" s="1"/>
  <c r="E727" i="15" s="1"/>
  <c r="E728" i="15" s="1"/>
  <c r="E729" i="15" s="1"/>
  <c r="E730" i="15" s="1"/>
  <c r="E731" i="15" s="1"/>
  <c r="E732" i="15" s="1"/>
  <c r="E733" i="15" s="1"/>
  <c r="E734" i="15" s="1"/>
  <c r="F709" i="15"/>
  <c r="F710" i="15" s="1"/>
  <c r="F711" i="15" s="1"/>
  <c r="F712" i="15" s="1"/>
  <c r="F713" i="15" s="1"/>
  <c r="F714" i="15" s="1"/>
  <c r="F715" i="15" s="1"/>
  <c r="F716" i="15" s="1"/>
  <c r="F717" i="15" s="1"/>
  <c r="F718" i="15" s="1"/>
  <c r="F719" i="15" s="1"/>
  <c r="F720" i="15" s="1"/>
  <c r="F721" i="15" s="1"/>
  <c r="F722" i="15" s="1"/>
  <c r="F723" i="15" s="1"/>
  <c r="F724" i="15" s="1"/>
  <c r="F725" i="15" s="1"/>
  <c r="F726" i="15" s="1"/>
  <c r="F727" i="15" s="1"/>
  <c r="F728" i="15" s="1"/>
  <c r="F729" i="15" s="1"/>
  <c r="F730" i="15" s="1"/>
  <c r="F731" i="15" s="1"/>
  <c r="F732" i="15" s="1"/>
  <c r="F733" i="15" s="1"/>
  <c r="F734" i="15" s="1"/>
  <c r="I5" i="15"/>
  <c r="S5" i="15"/>
  <c r="B735" i="13"/>
  <c r="C735" i="13" s="1"/>
  <c r="B734" i="13"/>
  <c r="C734" i="13" s="1"/>
  <c r="B733" i="13"/>
  <c r="C733" i="13" s="1"/>
  <c r="B732" i="13"/>
  <c r="C732" i="13" s="1"/>
  <c r="B731" i="13"/>
  <c r="C731" i="13" s="1"/>
  <c r="B730" i="13"/>
  <c r="C730" i="13" s="1"/>
  <c r="B729" i="13"/>
  <c r="C729" i="13" s="1"/>
  <c r="B728" i="13"/>
  <c r="C728" i="13" s="1"/>
  <c r="B727" i="13"/>
  <c r="C727" i="13" s="1"/>
  <c r="B726" i="13"/>
  <c r="C726" i="13" s="1"/>
  <c r="B725" i="13"/>
  <c r="C725" i="13" s="1"/>
  <c r="B724" i="13"/>
  <c r="C724" i="13" s="1"/>
  <c r="B723" i="13"/>
  <c r="C723" i="13" s="1"/>
  <c r="B722" i="13"/>
  <c r="C722" i="13" s="1"/>
  <c r="B721" i="13"/>
  <c r="C721" i="13" s="1"/>
  <c r="B720" i="13"/>
  <c r="C720" i="13" s="1"/>
  <c r="B719" i="13"/>
  <c r="C719" i="13" s="1"/>
  <c r="B718" i="13"/>
  <c r="C718" i="13"/>
  <c r="B717" i="13"/>
  <c r="C717" i="13" s="1"/>
  <c r="B716" i="13"/>
  <c r="C716" i="13" s="1"/>
  <c r="B715" i="13"/>
  <c r="C715" i="13" s="1"/>
  <c r="B714" i="13"/>
  <c r="C714" i="13" s="1"/>
  <c r="B713" i="13"/>
  <c r="C713" i="13" s="1"/>
  <c r="B712" i="13"/>
  <c r="C712" i="13"/>
  <c r="B711" i="13"/>
  <c r="C711" i="13" s="1"/>
  <c r="B710" i="13"/>
  <c r="C710" i="13"/>
  <c r="B709" i="13"/>
  <c r="C709" i="13" s="1"/>
  <c r="B708" i="13"/>
  <c r="C708" i="13" s="1"/>
  <c r="B707" i="13"/>
  <c r="C707" i="13" s="1"/>
  <c r="B706" i="13"/>
  <c r="C706" i="13" s="1"/>
  <c r="B705" i="13"/>
  <c r="C705" i="13" s="1"/>
  <c r="B704" i="13"/>
  <c r="C704" i="13"/>
  <c r="B703" i="13"/>
  <c r="C703" i="13" s="1"/>
  <c r="B702" i="13"/>
  <c r="C702" i="13"/>
  <c r="B701" i="13"/>
  <c r="C701" i="13" s="1"/>
  <c r="B700" i="13"/>
  <c r="C700" i="13" s="1"/>
  <c r="B699" i="13"/>
  <c r="C699" i="13" s="1"/>
  <c r="B698" i="13"/>
  <c r="C698" i="13" s="1"/>
  <c r="B697" i="13"/>
  <c r="C697" i="13" s="1"/>
  <c r="B696" i="13"/>
  <c r="C696" i="13"/>
  <c r="B695" i="13"/>
  <c r="C695" i="13" s="1"/>
  <c r="B694" i="13"/>
  <c r="C694" i="13"/>
  <c r="B693" i="13"/>
  <c r="C693" i="13" s="1"/>
  <c r="B692" i="13"/>
  <c r="C692" i="13" s="1"/>
  <c r="B691" i="13"/>
  <c r="C691" i="13" s="1"/>
  <c r="B690" i="13"/>
  <c r="C690" i="13" s="1"/>
  <c r="B689" i="13"/>
  <c r="C689" i="13" s="1"/>
  <c r="B688" i="13"/>
  <c r="C688" i="13"/>
  <c r="B687" i="13"/>
  <c r="C687" i="13" s="1"/>
  <c r="B686" i="13"/>
  <c r="C686" i="13"/>
  <c r="B685" i="13"/>
  <c r="C685" i="13" s="1"/>
  <c r="B684" i="13"/>
  <c r="C684" i="13" s="1"/>
  <c r="B683" i="13"/>
  <c r="C683" i="13" s="1"/>
  <c r="B682" i="13"/>
  <c r="C682" i="13" s="1"/>
  <c r="B681" i="13"/>
  <c r="C681" i="13" s="1"/>
  <c r="B680" i="13"/>
  <c r="C680" i="13"/>
  <c r="B679" i="13"/>
  <c r="C679" i="13" s="1"/>
  <c r="B678" i="13"/>
  <c r="C678" i="13"/>
  <c r="B677" i="13"/>
  <c r="C677" i="13" s="1"/>
  <c r="B676" i="13"/>
  <c r="C676" i="13" s="1"/>
  <c r="B675" i="13"/>
  <c r="C675" i="13" s="1"/>
  <c r="B674" i="13"/>
  <c r="C674" i="13" s="1"/>
  <c r="B673" i="13"/>
  <c r="C673" i="13" s="1"/>
  <c r="B672" i="13"/>
  <c r="C672" i="13"/>
  <c r="B671" i="13"/>
  <c r="C671" i="13" s="1"/>
  <c r="B670" i="13"/>
  <c r="C670" i="13"/>
  <c r="B669" i="13"/>
  <c r="C669" i="13" s="1"/>
  <c r="B668" i="13"/>
  <c r="C668" i="13" s="1"/>
  <c r="B667" i="13"/>
  <c r="C667" i="13" s="1"/>
  <c r="B666" i="13"/>
  <c r="C666" i="13" s="1"/>
  <c r="B665" i="13"/>
  <c r="C665" i="13" s="1"/>
  <c r="B664" i="13"/>
  <c r="C664" i="13"/>
  <c r="B663" i="13"/>
  <c r="C663" i="13" s="1"/>
  <c r="B662" i="13"/>
  <c r="C662" i="13"/>
  <c r="B661" i="13"/>
  <c r="C661" i="13" s="1"/>
  <c r="B660" i="13"/>
  <c r="C660" i="13" s="1"/>
  <c r="B659" i="13"/>
  <c r="C659" i="13" s="1"/>
  <c r="B658" i="13"/>
  <c r="C658" i="13" s="1"/>
  <c r="B657" i="13"/>
  <c r="C657" i="13" s="1"/>
  <c r="B656" i="13"/>
  <c r="C656" i="13"/>
  <c r="B655" i="13"/>
  <c r="C655" i="13" s="1"/>
  <c r="B654" i="13"/>
  <c r="C654" i="13"/>
  <c r="B653" i="13"/>
  <c r="C653" i="13" s="1"/>
  <c r="B652" i="13"/>
  <c r="C652" i="13" s="1"/>
  <c r="B651" i="13"/>
  <c r="C651" i="13" s="1"/>
  <c r="B650" i="13"/>
  <c r="C650" i="13" s="1"/>
  <c r="B649" i="13"/>
  <c r="C649" i="13" s="1"/>
  <c r="B648" i="13"/>
  <c r="C648" i="13"/>
  <c r="B647" i="13"/>
  <c r="C647" i="13" s="1"/>
  <c r="B646" i="13"/>
  <c r="C646" i="13"/>
  <c r="B645" i="13"/>
  <c r="C645" i="13" s="1"/>
  <c r="B644" i="13"/>
  <c r="C644" i="13" s="1"/>
  <c r="B643" i="13"/>
  <c r="C643" i="13" s="1"/>
  <c r="B642" i="13"/>
  <c r="C642" i="13" s="1"/>
  <c r="B641" i="13"/>
  <c r="C641" i="13" s="1"/>
  <c r="B640" i="13"/>
  <c r="C640" i="13"/>
  <c r="B639" i="13"/>
  <c r="C639" i="13" s="1"/>
  <c r="B638" i="13"/>
  <c r="C638" i="13"/>
  <c r="B637" i="13"/>
  <c r="C637" i="13" s="1"/>
  <c r="B636" i="13"/>
  <c r="C636" i="13" s="1"/>
  <c r="B635" i="13"/>
  <c r="C635" i="13" s="1"/>
  <c r="B634" i="13"/>
  <c r="C634" i="13" s="1"/>
  <c r="B633" i="13"/>
  <c r="C633" i="13" s="1"/>
  <c r="B632" i="13"/>
  <c r="C632" i="13"/>
  <c r="B631" i="13"/>
  <c r="C631" i="13" s="1"/>
  <c r="B630" i="13"/>
  <c r="C630" i="13"/>
  <c r="B629" i="13"/>
  <c r="C629" i="13" s="1"/>
  <c r="B628" i="13"/>
  <c r="C628" i="13" s="1"/>
  <c r="B627" i="13"/>
  <c r="C627" i="13" s="1"/>
  <c r="B626" i="13"/>
  <c r="C626" i="13" s="1"/>
  <c r="B625" i="13"/>
  <c r="C625" i="13" s="1"/>
  <c r="B624" i="13"/>
  <c r="C624" i="13"/>
  <c r="B623" i="13"/>
  <c r="C623" i="13" s="1"/>
  <c r="B622" i="13"/>
  <c r="C622" i="13"/>
  <c r="B621" i="13"/>
  <c r="C621" i="13" s="1"/>
  <c r="B620" i="13"/>
  <c r="C620" i="13" s="1"/>
  <c r="B619" i="13"/>
  <c r="C619" i="13"/>
  <c r="B618" i="13"/>
  <c r="C618" i="13" s="1"/>
  <c r="B617" i="13"/>
  <c r="C617" i="13"/>
  <c r="B616" i="13"/>
  <c r="C616" i="13" s="1"/>
  <c r="B615" i="13"/>
  <c r="C615" i="13"/>
  <c r="B614" i="13"/>
  <c r="C614" i="13" s="1"/>
  <c r="B613" i="13"/>
  <c r="C613" i="13"/>
  <c r="B612" i="13"/>
  <c r="C612" i="13" s="1"/>
  <c r="B611" i="13"/>
  <c r="C611" i="13"/>
  <c r="B610" i="13"/>
  <c r="C610" i="13" s="1"/>
  <c r="B609" i="13"/>
  <c r="C609" i="13"/>
  <c r="B608" i="13"/>
  <c r="C608" i="13" s="1"/>
  <c r="B607" i="13"/>
  <c r="C607" i="13"/>
  <c r="B606" i="13"/>
  <c r="C606" i="13" s="1"/>
  <c r="B605" i="13"/>
  <c r="C605" i="13"/>
  <c r="B604" i="13"/>
  <c r="C604" i="13" s="1"/>
  <c r="B603" i="13"/>
  <c r="C603" i="13"/>
  <c r="B602" i="13"/>
  <c r="C602" i="13" s="1"/>
  <c r="B601" i="13"/>
  <c r="C601" i="13"/>
  <c r="B600" i="13"/>
  <c r="C600" i="13" s="1"/>
  <c r="B599" i="13"/>
  <c r="C599" i="13"/>
  <c r="B598" i="13"/>
  <c r="C598" i="13" s="1"/>
  <c r="B597" i="13"/>
  <c r="C597" i="13"/>
  <c r="B596" i="13"/>
  <c r="C596" i="13" s="1"/>
  <c r="B595" i="13"/>
  <c r="C595" i="13"/>
  <c r="B594" i="13"/>
  <c r="C594" i="13" s="1"/>
  <c r="B593" i="13"/>
  <c r="C593" i="13"/>
  <c r="B592" i="13"/>
  <c r="C592" i="13" s="1"/>
  <c r="B591" i="13"/>
  <c r="C591" i="13"/>
  <c r="B590" i="13"/>
  <c r="C590" i="13" s="1"/>
  <c r="B589" i="13"/>
  <c r="C589" i="13"/>
  <c r="B588" i="13"/>
  <c r="C588" i="13" s="1"/>
  <c r="B587" i="13"/>
  <c r="C587" i="13"/>
  <c r="B586" i="13"/>
  <c r="C586" i="13" s="1"/>
  <c r="B585" i="13"/>
  <c r="C585" i="13"/>
  <c r="B584" i="13"/>
  <c r="C584" i="13" s="1"/>
  <c r="B583" i="13"/>
  <c r="C583" i="13"/>
  <c r="B582" i="13"/>
  <c r="C582" i="13" s="1"/>
  <c r="B581" i="13"/>
  <c r="C581" i="13"/>
  <c r="B580" i="13"/>
  <c r="C580" i="13" s="1"/>
  <c r="B579" i="13"/>
  <c r="C579" i="13"/>
  <c r="B578" i="13"/>
  <c r="C578" i="13" s="1"/>
  <c r="B577" i="13"/>
  <c r="C577" i="13"/>
  <c r="B576" i="13"/>
  <c r="C576" i="13" s="1"/>
  <c r="B575" i="13"/>
  <c r="C575" i="13"/>
  <c r="B574" i="13"/>
  <c r="C574" i="13" s="1"/>
  <c r="B573" i="13"/>
  <c r="C573" i="13"/>
  <c r="B572" i="13"/>
  <c r="C572" i="13" s="1"/>
  <c r="B571" i="13"/>
  <c r="C571" i="13"/>
  <c r="B570" i="13"/>
  <c r="C570" i="13" s="1"/>
  <c r="B569" i="13"/>
  <c r="C569" i="13"/>
  <c r="B568" i="13"/>
  <c r="C568" i="13" s="1"/>
  <c r="B567" i="13"/>
  <c r="C567" i="13"/>
  <c r="B566" i="13"/>
  <c r="C566" i="13" s="1"/>
  <c r="B565" i="13"/>
  <c r="C565" i="13"/>
  <c r="B564" i="13"/>
  <c r="C564" i="13" s="1"/>
  <c r="B563" i="13"/>
  <c r="C563" i="13"/>
  <c r="B562" i="13"/>
  <c r="C562" i="13" s="1"/>
  <c r="B561" i="13"/>
  <c r="C561" i="13"/>
  <c r="B560" i="13"/>
  <c r="C560" i="13" s="1"/>
  <c r="B559" i="13"/>
  <c r="C559" i="13"/>
  <c r="B558" i="13"/>
  <c r="C558" i="13" s="1"/>
  <c r="B557" i="13"/>
  <c r="C557" i="13"/>
  <c r="B556" i="13"/>
  <c r="C556" i="13" s="1"/>
  <c r="B555" i="13"/>
  <c r="C555" i="13"/>
  <c r="B554" i="13"/>
  <c r="C554" i="13" s="1"/>
  <c r="B553" i="13"/>
  <c r="C553" i="13"/>
  <c r="B552" i="13"/>
  <c r="C552" i="13" s="1"/>
  <c r="B551" i="13"/>
  <c r="C551" i="13"/>
  <c r="B550" i="13"/>
  <c r="C550" i="13" s="1"/>
  <c r="B549" i="13"/>
  <c r="C549" i="13"/>
  <c r="B548" i="13"/>
  <c r="C548" i="13" s="1"/>
  <c r="B547" i="13"/>
  <c r="C547" i="13"/>
  <c r="B546" i="13"/>
  <c r="C546" i="13" s="1"/>
  <c r="B545" i="13"/>
  <c r="C545" i="13"/>
  <c r="B544" i="13"/>
  <c r="C544" i="13" s="1"/>
  <c r="B543" i="13"/>
  <c r="C543" i="13"/>
  <c r="B542" i="13"/>
  <c r="C542" i="13" s="1"/>
  <c r="B541" i="13"/>
  <c r="C541" i="13"/>
  <c r="B540" i="13"/>
  <c r="C540" i="13" s="1"/>
  <c r="B539" i="13"/>
  <c r="C539" i="13"/>
  <c r="B538" i="13"/>
  <c r="C538" i="13" s="1"/>
  <c r="B537" i="13"/>
  <c r="C537" i="13"/>
  <c r="B536" i="13"/>
  <c r="C536" i="13" s="1"/>
  <c r="B535" i="13"/>
  <c r="C535" i="13"/>
  <c r="B534" i="13"/>
  <c r="C534" i="13" s="1"/>
  <c r="B533" i="13"/>
  <c r="C533" i="13"/>
  <c r="B532" i="13"/>
  <c r="C532" i="13" s="1"/>
  <c r="B531" i="13"/>
  <c r="C531" i="13"/>
  <c r="B530" i="13"/>
  <c r="C530" i="13" s="1"/>
  <c r="B529" i="13"/>
  <c r="C529" i="13"/>
  <c r="B528" i="13"/>
  <c r="C528" i="13" s="1"/>
  <c r="B527" i="13"/>
  <c r="C527" i="13"/>
  <c r="B526" i="13"/>
  <c r="C526" i="13" s="1"/>
  <c r="B525" i="13"/>
  <c r="C525" i="13"/>
  <c r="B524" i="13"/>
  <c r="C524" i="13" s="1"/>
  <c r="B523" i="13"/>
  <c r="C523" i="13"/>
  <c r="B522" i="13"/>
  <c r="C522" i="13" s="1"/>
  <c r="B521" i="13"/>
  <c r="C521" i="13"/>
  <c r="B520" i="13"/>
  <c r="C520" i="13" s="1"/>
  <c r="B519" i="13"/>
  <c r="C519" i="13"/>
  <c r="B518" i="13"/>
  <c r="C518" i="13" s="1"/>
  <c r="B517" i="13"/>
  <c r="C517" i="13"/>
  <c r="B516" i="13"/>
  <c r="C516" i="13" s="1"/>
  <c r="B515" i="13"/>
  <c r="C515" i="13"/>
  <c r="B514" i="13"/>
  <c r="C514" i="13" s="1"/>
  <c r="B513" i="13"/>
  <c r="C513" i="13"/>
  <c r="B512" i="13"/>
  <c r="C512" i="13" s="1"/>
  <c r="B511" i="13"/>
  <c r="C511" i="13"/>
  <c r="B510" i="13"/>
  <c r="C510" i="13" s="1"/>
  <c r="B509" i="13"/>
  <c r="C509" i="13"/>
  <c r="B508" i="13"/>
  <c r="C508" i="13" s="1"/>
  <c r="B507" i="13"/>
  <c r="C507" i="13"/>
  <c r="B506" i="13"/>
  <c r="C506" i="13" s="1"/>
  <c r="B505" i="13"/>
  <c r="C505" i="13"/>
  <c r="B504" i="13"/>
  <c r="C504" i="13" s="1"/>
  <c r="B503" i="13"/>
  <c r="C503" i="13"/>
  <c r="B502" i="13"/>
  <c r="C502" i="13" s="1"/>
  <c r="B501" i="13"/>
  <c r="C501" i="13"/>
  <c r="B500" i="13"/>
  <c r="C500" i="13" s="1"/>
  <c r="B499" i="13"/>
  <c r="C499" i="13"/>
  <c r="B498" i="13"/>
  <c r="C498" i="13" s="1"/>
  <c r="B497" i="13"/>
  <c r="C497" i="13"/>
  <c r="B496" i="13"/>
  <c r="C496" i="13" s="1"/>
  <c r="B495" i="13"/>
  <c r="C495" i="13"/>
  <c r="B494" i="13"/>
  <c r="C494" i="13" s="1"/>
  <c r="B493" i="13"/>
  <c r="C493" i="13"/>
  <c r="B492" i="13"/>
  <c r="C492" i="13" s="1"/>
  <c r="B491" i="13"/>
  <c r="C491" i="13"/>
  <c r="B490" i="13"/>
  <c r="C490" i="13" s="1"/>
  <c r="B489" i="13"/>
  <c r="C489" i="13"/>
  <c r="B488" i="13"/>
  <c r="C488" i="13" s="1"/>
  <c r="B487" i="13"/>
  <c r="C487" i="13"/>
  <c r="B486" i="13"/>
  <c r="C486" i="13" s="1"/>
  <c r="B485" i="13"/>
  <c r="C485" i="13"/>
  <c r="B484" i="13"/>
  <c r="C484" i="13" s="1"/>
  <c r="B483" i="13"/>
  <c r="C483" i="13"/>
  <c r="B482" i="13"/>
  <c r="C482" i="13" s="1"/>
  <c r="B481" i="13"/>
  <c r="C481" i="13"/>
  <c r="B480" i="13"/>
  <c r="C480" i="13" s="1"/>
  <c r="B479" i="13"/>
  <c r="C479" i="13"/>
  <c r="B478" i="13"/>
  <c r="C478" i="13" s="1"/>
  <c r="B477" i="13"/>
  <c r="C477" i="13"/>
  <c r="B476" i="13"/>
  <c r="C476" i="13" s="1"/>
  <c r="B475" i="13"/>
  <c r="C475" i="13"/>
  <c r="B474" i="13"/>
  <c r="C474" i="13" s="1"/>
  <c r="B473" i="13"/>
  <c r="C473" i="13"/>
  <c r="B472" i="13"/>
  <c r="C472" i="13" s="1"/>
  <c r="B471" i="13"/>
  <c r="C471" i="13"/>
  <c r="B470" i="13"/>
  <c r="C470" i="13" s="1"/>
  <c r="B469" i="13"/>
  <c r="C469" i="13"/>
  <c r="B468" i="13"/>
  <c r="C468" i="13" s="1"/>
  <c r="B467" i="13"/>
  <c r="C467" i="13"/>
  <c r="B466" i="13"/>
  <c r="C466" i="13" s="1"/>
  <c r="B465" i="13"/>
  <c r="C465" i="13"/>
  <c r="B464" i="13"/>
  <c r="C464" i="13" s="1"/>
  <c r="B463" i="13"/>
  <c r="C463" i="13"/>
  <c r="B462" i="13"/>
  <c r="C462" i="13" s="1"/>
  <c r="B461" i="13"/>
  <c r="C461" i="13"/>
  <c r="B460" i="13"/>
  <c r="C460" i="13" s="1"/>
  <c r="B459" i="13"/>
  <c r="C459" i="13"/>
  <c r="B458" i="13"/>
  <c r="C458" i="13" s="1"/>
  <c r="B457" i="13"/>
  <c r="C457" i="13"/>
  <c r="B456" i="13"/>
  <c r="C456" i="13" s="1"/>
  <c r="B455" i="13"/>
  <c r="C455" i="13"/>
  <c r="B454" i="13"/>
  <c r="C454" i="13" s="1"/>
  <c r="B453" i="13"/>
  <c r="C453" i="13"/>
  <c r="B452" i="13"/>
  <c r="C452" i="13" s="1"/>
  <c r="B451" i="13"/>
  <c r="C451" i="13"/>
  <c r="B450" i="13"/>
  <c r="C450" i="13" s="1"/>
  <c r="B449" i="13"/>
  <c r="C449" i="13"/>
  <c r="B448" i="13"/>
  <c r="C448" i="13" s="1"/>
  <c r="B447" i="13"/>
  <c r="C447" i="13"/>
  <c r="B446" i="13"/>
  <c r="C446" i="13" s="1"/>
  <c r="B445" i="13"/>
  <c r="C445" i="13"/>
  <c r="B444" i="13"/>
  <c r="C444" i="13" s="1"/>
  <c r="B443" i="13"/>
  <c r="C443" i="13"/>
  <c r="B442" i="13"/>
  <c r="C442" i="13" s="1"/>
  <c r="B441" i="13"/>
  <c r="C441" i="13"/>
  <c r="B440" i="13"/>
  <c r="C440" i="13" s="1"/>
  <c r="B439" i="13"/>
  <c r="C439" i="13"/>
  <c r="B438" i="13"/>
  <c r="C438" i="13" s="1"/>
  <c r="B437" i="13"/>
  <c r="C437" i="13"/>
  <c r="B436" i="13"/>
  <c r="C436" i="13" s="1"/>
  <c r="B435" i="13"/>
  <c r="C435" i="13"/>
  <c r="B434" i="13"/>
  <c r="C434" i="13" s="1"/>
  <c r="B433" i="13"/>
  <c r="C433" i="13"/>
  <c r="B432" i="13"/>
  <c r="C432" i="13" s="1"/>
  <c r="B431" i="13"/>
  <c r="C431" i="13"/>
  <c r="B430" i="13"/>
  <c r="C430" i="13" s="1"/>
  <c r="B429" i="13"/>
  <c r="C429" i="13"/>
  <c r="B428" i="13"/>
  <c r="C428" i="13" s="1"/>
  <c r="B427" i="13"/>
  <c r="C427" i="13"/>
  <c r="B426" i="13"/>
  <c r="C426" i="13" s="1"/>
  <c r="B425" i="13"/>
  <c r="C425" i="13"/>
  <c r="B424" i="13"/>
  <c r="C424" i="13" s="1"/>
  <c r="B423" i="13"/>
  <c r="C423" i="13"/>
  <c r="B422" i="13"/>
  <c r="C422" i="13" s="1"/>
  <c r="B421" i="13"/>
  <c r="C421" i="13"/>
  <c r="B420" i="13"/>
  <c r="C420" i="13" s="1"/>
  <c r="B419" i="13"/>
  <c r="C419" i="13"/>
  <c r="B418" i="13"/>
  <c r="C418" i="13" s="1"/>
  <c r="B417" i="13"/>
  <c r="C417" i="13"/>
  <c r="B416" i="13"/>
  <c r="C416" i="13" s="1"/>
  <c r="B415" i="13"/>
  <c r="C415" i="13"/>
  <c r="B414" i="13"/>
  <c r="C414" i="13" s="1"/>
  <c r="B413" i="13"/>
  <c r="C413" i="13"/>
  <c r="B412" i="13"/>
  <c r="C412" i="13" s="1"/>
  <c r="B411" i="13"/>
  <c r="C411" i="13"/>
  <c r="B410" i="13"/>
  <c r="C410" i="13" s="1"/>
  <c r="B409" i="13"/>
  <c r="C409" i="13"/>
  <c r="B408" i="13"/>
  <c r="C408" i="13" s="1"/>
  <c r="B407" i="13"/>
  <c r="C407" i="13"/>
  <c r="B406" i="13"/>
  <c r="C406" i="13" s="1"/>
  <c r="B405" i="13"/>
  <c r="C405" i="13"/>
  <c r="B404" i="13"/>
  <c r="C404" i="13" s="1"/>
  <c r="B403" i="13"/>
  <c r="C403" i="13"/>
  <c r="B402" i="13"/>
  <c r="C402" i="13" s="1"/>
  <c r="B401" i="13"/>
  <c r="C401" i="13"/>
  <c r="B400" i="13"/>
  <c r="C400" i="13" s="1"/>
  <c r="B399" i="13"/>
  <c r="C399" i="13"/>
  <c r="B398" i="13"/>
  <c r="C398" i="13" s="1"/>
  <c r="B397" i="13"/>
  <c r="C397" i="13"/>
  <c r="B396" i="13"/>
  <c r="C396" i="13" s="1"/>
  <c r="B395" i="13"/>
  <c r="C395" i="13"/>
  <c r="B394" i="13"/>
  <c r="C394" i="13" s="1"/>
  <c r="B393" i="13"/>
  <c r="C393" i="13"/>
  <c r="B392" i="13"/>
  <c r="C392" i="13" s="1"/>
  <c r="B391" i="13"/>
  <c r="C391" i="13"/>
  <c r="B390" i="13"/>
  <c r="C390" i="13" s="1"/>
  <c r="B389" i="13"/>
  <c r="C389" i="13"/>
  <c r="B388" i="13"/>
  <c r="C388" i="13" s="1"/>
  <c r="B387" i="13"/>
  <c r="C387" i="13"/>
  <c r="B386" i="13"/>
  <c r="C386" i="13" s="1"/>
  <c r="B385" i="13"/>
  <c r="C385" i="13"/>
  <c r="B384" i="13"/>
  <c r="C384" i="13" s="1"/>
  <c r="B383" i="13"/>
  <c r="C383" i="13"/>
  <c r="B382" i="13"/>
  <c r="C382" i="13" s="1"/>
  <c r="B381" i="13"/>
  <c r="C381" i="13"/>
  <c r="B380" i="13"/>
  <c r="C380" i="13" s="1"/>
  <c r="B379" i="13"/>
  <c r="C379" i="13"/>
  <c r="B378" i="13"/>
  <c r="C378" i="13" s="1"/>
  <c r="B377" i="13"/>
  <c r="C377" i="13"/>
  <c r="B376" i="13"/>
  <c r="C376" i="13" s="1"/>
  <c r="B375" i="13"/>
  <c r="C375" i="13"/>
  <c r="B374" i="13"/>
  <c r="C374" i="13" s="1"/>
  <c r="B373" i="13"/>
  <c r="C373" i="13"/>
  <c r="B372" i="13"/>
  <c r="C372" i="13" s="1"/>
  <c r="B371" i="13"/>
  <c r="C371" i="13"/>
  <c r="B370" i="13"/>
  <c r="C370" i="13" s="1"/>
  <c r="B369" i="13"/>
  <c r="C369" i="13"/>
  <c r="B368" i="13"/>
  <c r="C368" i="13" s="1"/>
  <c r="B367" i="13"/>
  <c r="C367" i="13"/>
  <c r="B366" i="13"/>
  <c r="C366" i="13" s="1"/>
  <c r="B365" i="13"/>
  <c r="C365" i="13"/>
  <c r="B364" i="13"/>
  <c r="C364" i="13" s="1"/>
  <c r="B363" i="13"/>
  <c r="C363" i="13"/>
  <c r="B362" i="13"/>
  <c r="C362" i="13" s="1"/>
  <c r="B361" i="13"/>
  <c r="C361" i="13"/>
  <c r="B360" i="13"/>
  <c r="C360" i="13" s="1"/>
  <c r="B359" i="13"/>
  <c r="C359" i="13"/>
  <c r="B358" i="13"/>
  <c r="C358" i="13" s="1"/>
  <c r="B357" i="13"/>
  <c r="C357" i="13"/>
  <c r="B356" i="13"/>
  <c r="C356" i="13" s="1"/>
  <c r="B355" i="13"/>
  <c r="C355" i="13"/>
  <c r="B354" i="13"/>
  <c r="C354" i="13" s="1"/>
  <c r="B353" i="13"/>
  <c r="C353" i="13"/>
  <c r="B352" i="13"/>
  <c r="C352" i="13" s="1"/>
  <c r="B351" i="13"/>
  <c r="C351" i="13"/>
  <c r="B350" i="13"/>
  <c r="C350" i="13" s="1"/>
  <c r="B349" i="13"/>
  <c r="C349" i="13"/>
  <c r="B348" i="13"/>
  <c r="C348" i="13" s="1"/>
  <c r="B347" i="13"/>
  <c r="C347" i="13"/>
  <c r="B346" i="13"/>
  <c r="C346" i="13" s="1"/>
  <c r="B345" i="13"/>
  <c r="C345" i="13"/>
  <c r="B344" i="13"/>
  <c r="C344" i="13" s="1"/>
  <c r="B343" i="13"/>
  <c r="C343" i="13"/>
  <c r="B342" i="13"/>
  <c r="C342" i="13" s="1"/>
  <c r="B341" i="13"/>
  <c r="C341" i="13"/>
  <c r="B340" i="13"/>
  <c r="C340" i="13" s="1"/>
  <c r="B339" i="13"/>
  <c r="C339" i="13"/>
  <c r="B338" i="13"/>
  <c r="C338" i="13" s="1"/>
  <c r="B337" i="13"/>
  <c r="C337" i="13"/>
  <c r="B336" i="13"/>
  <c r="C336" i="13" s="1"/>
  <c r="B335" i="13"/>
  <c r="C335" i="13"/>
  <c r="B334" i="13"/>
  <c r="C334" i="13" s="1"/>
  <c r="B333" i="13"/>
  <c r="C333" i="13"/>
  <c r="B332" i="13"/>
  <c r="C332" i="13" s="1"/>
  <c r="B331" i="13"/>
  <c r="C331" i="13"/>
  <c r="B330" i="13"/>
  <c r="C330" i="13" s="1"/>
  <c r="B329" i="13"/>
  <c r="C329" i="13"/>
  <c r="B328" i="13"/>
  <c r="C328" i="13" s="1"/>
  <c r="B327" i="13"/>
  <c r="C327" i="13"/>
  <c r="B326" i="13"/>
  <c r="C326" i="13" s="1"/>
  <c r="B325" i="13"/>
  <c r="C325" i="13"/>
  <c r="B324" i="13"/>
  <c r="C324" i="13" s="1"/>
  <c r="B323" i="13"/>
  <c r="C323" i="13"/>
  <c r="B322" i="13"/>
  <c r="C322" i="13" s="1"/>
  <c r="B321" i="13"/>
  <c r="C321" i="13"/>
  <c r="B320" i="13"/>
  <c r="C320" i="13" s="1"/>
  <c r="B319" i="13"/>
  <c r="C319" i="13"/>
  <c r="B318" i="13"/>
  <c r="C318" i="13" s="1"/>
  <c r="B317" i="13"/>
  <c r="C317" i="13"/>
  <c r="B316" i="13"/>
  <c r="C316" i="13" s="1"/>
  <c r="B315" i="13"/>
  <c r="C315" i="13"/>
  <c r="B314" i="13"/>
  <c r="C314" i="13" s="1"/>
  <c r="B313" i="13"/>
  <c r="C313" i="13"/>
  <c r="B312" i="13"/>
  <c r="C312" i="13" s="1"/>
  <c r="B311" i="13"/>
  <c r="C311" i="13"/>
  <c r="B310" i="13"/>
  <c r="C310" i="13" s="1"/>
  <c r="B309" i="13"/>
  <c r="C309" i="13"/>
  <c r="B308" i="13"/>
  <c r="C308" i="13" s="1"/>
  <c r="B307" i="13"/>
  <c r="C307" i="13"/>
  <c r="B306" i="13"/>
  <c r="C306" i="13" s="1"/>
  <c r="B305" i="13"/>
  <c r="C305" i="13"/>
  <c r="B304" i="13"/>
  <c r="C304" i="13" s="1"/>
  <c r="B303" i="13"/>
  <c r="C303" i="13"/>
  <c r="B302" i="13"/>
  <c r="C302" i="13" s="1"/>
  <c r="B301" i="13"/>
  <c r="C301" i="13"/>
  <c r="B300" i="13"/>
  <c r="C300" i="13" s="1"/>
  <c r="B299" i="13"/>
  <c r="C299" i="13"/>
  <c r="B298" i="13"/>
  <c r="C298" i="13" s="1"/>
  <c r="B297" i="13"/>
  <c r="C297" i="13"/>
  <c r="B296" i="13"/>
  <c r="C296" i="13" s="1"/>
  <c r="B295" i="13"/>
  <c r="C295" i="13"/>
  <c r="B294" i="13"/>
  <c r="C294" i="13" s="1"/>
  <c r="B293" i="13"/>
  <c r="C293" i="13"/>
  <c r="B292" i="13"/>
  <c r="C292" i="13" s="1"/>
  <c r="B291" i="13"/>
  <c r="C291" i="13"/>
  <c r="B290" i="13"/>
  <c r="C290" i="13" s="1"/>
  <c r="B289" i="13"/>
  <c r="C289" i="13"/>
  <c r="B288" i="13"/>
  <c r="C288" i="13" s="1"/>
  <c r="B287" i="13"/>
  <c r="C287" i="13"/>
  <c r="B286" i="13"/>
  <c r="C286" i="13" s="1"/>
  <c r="B285" i="13"/>
  <c r="C285" i="13"/>
  <c r="B284" i="13"/>
  <c r="C284" i="13" s="1"/>
  <c r="B283" i="13"/>
  <c r="C283" i="13"/>
  <c r="B282" i="13"/>
  <c r="C282" i="13" s="1"/>
  <c r="B281" i="13"/>
  <c r="C281" i="13"/>
  <c r="B280" i="13"/>
  <c r="C280" i="13" s="1"/>
  <c r="B279" i="13"/>
  <c r="C279" i="13"/>
  <c r="B278" i="13"/>
  <c r="C278" i="13" s="1"/>
  <c r="B277" i="13"/>
  <c r="C277" i="13"/>
  <c r="B276" i="13"/>
  <c r="C276" i="13" s="1"/>
  <c r="B275" i="13"/>
  <c r="C275" i="13"/>
  <c r="B274" i="13"/>
  <c r="C274" i="13" s="1"/>
  <c r="B273" i="13"/>
  <c r="C273" i="13"/>
  <c r="B272" i="13"/>
  <c r="C272" i="13" s="1"/>
  <c r="B271" i="13"/>
  <c r="C271" i="13"/>
  <c r="B270" i="13"/>
  <c r="C270" i="13" s="1"/>
  <c r="B269" i="13"/>
  <c r="C269" i="13"/>
  <c r="B268" i="13"/>
  <c r="C268" i="13" s="1"/>
  <c r="B267" i="13"/>
  <c r="C267" i="13"/>
  <c r="B266" i="13"/>
  <c r="C266" i="13" s="1"/>
  <c r="B265" i="13"/>
  <c r="C265" i="13"/>
  <c r="B264" i="13"/>
  <c r="C264" i="13" s="1"/>
  <c r="B263" i="13"/>
  <c r="C263" i="13"/>
  <c r="B262" i="13"/>
  <c r="C262" i="13" s="1"/>
  <c r="B261" i="13"/>
  <c r="C261" i="13"/>
  <c r="B260" i="13"/>
  <c r="C260" i="13" s="1"/>
  <c r="B259" i="13"/>
  <c r="C259" i="13"/>
  <c r="B258" i="13"/>
  <c r="C258" i="13" s="1"/>
  <c r="B257" i="13"/>
  <c r="C257" i="13"/>
  <c r="B256" i="13"/>
  <c r="C256" i="13" s="1"/>
  <c r="B255" i="13"/>
  <c r="C255" i="13"/>
  <c r="B254" i="13"/>
  <c r="C254" i="13" s="1"/>
  <c r="B253" i="13"/>
  <c r="C253" i="13"/>
  <c r="B252" i="13"/>
  <c r="C252" i="13" s="1"/>
  <c r="B251" i="13"/>
  <c r="C251" i="13"/>
  <c r="B250" i="13"/>
  <c r="C250" i="13" s="1"/>
  <c r="B249" i="13"/>
  <c r="C249" i="13"/>
  <c r="B248" i="13"/>
  <c r="C248" i="13" s="1"/>
  <c r="B247" i="13"/>
  <c r="C247" i="13"/>
  <c r="B246" i="13"/>
  <c r="C246" i="13" s="1"/>
  <c r="B245" i="13"/>
  <c r="C245" i="13"/>
  <c r="B244" i="13"/>
  <c r="C244" i="13" s="1"/>
  <c r="B243" i="13"/>
  <c r="C243" i="13"/>
  <c r="B242" i="13"/>
  <c r="C242" i="13" s="1"/>
  <c r="B241" i="13"/>
  <c r="C241" i="13"/>
  <c r="B240" i="13"/>
  <c r="C240" i="13" s="1"/>
  <c r="B239" i="13"/>
  <c r="C239" i="13"/>
  <c r="B238" i="13"/>
  <c r="C238" i="13" s="1"/>
  <c r="B237" i="13"/>
  <c r="C237" i="13"/>
  <c r="B236" i="13"/>
  <c r="C236" i="13" s="1"/>
  <c r="B235" i="13"/>
  <c r="C235" i="13"/>
  <c r="B234" i="13"/>
  <c r="C234" i="13" s="1"/>
  <c r="B233" i="13"/>
  <c r="C233" i="13"/>
  <c r="B232" i="13"/>
  <c r="C232" i="13" s="1"/>
  <c r="B231" i="13"/>
  <c r="C231" i="13" s="1"/>
  <c r="B230" i="13"/>
  <c r="C230" i="13" s="1"/>
  <c r="B229" i="13"/>
  <c r="C229" i="13"/>
  <c r="B228" i="13"/>
  <c r="C228" i="13" s="1"/>
  <c r="B227" i="13"/>
  <c r="C227" i="13" s="1"/>
  <c r="B226" i="13"/>
  <c r="C226" i="13" s="1"/>
  <c r="B225" i="13"/>
  <c r="C225" i="13"/>
  <c r="B224" i="13"/>
  <c r="C224" i="13" s="1"/>
  <c r="B223" i="13"/>
  <c r="C223" i="13" s="1"/>
  <c r="B222" i="13"/>
  <c r="C222" i="13" s="1"/>
  <c r="B221" i="13"/>
  <c r="C221" i="13"/>
  <c r="B220" i="13"/>
  <c r="C220" i="13" s="1"/>
  <c r="B219" i="13"/>
  <c r="C219" i="13" s="1"/>
  <c r="B218" i="13"/>
  <c r="C218" i="13" s="1"/>
  <c r="B217" i="13"/>
  <c r="C217" i="13"/>
  <c r="B216" i="13"/>
  <c r="C216" i="13" s="1"/>
  <c r="B215" i="13"/>
  <c r="C215" i="13" s="1"/>
  <c r="B214" i="13"/>
  <c r="C214" i="13" s="1"/>
  <c r="B213" i="13"/>
  <c r="C213" i="13"/>
  <c r="B212" i="13"/>
  <c r="C212" i="13" s="1"/>
  <c r="B211" i="13"/>
  <c r="C211" i="13" s="1"/>
  <c r="B210" i="13"/>
  <c r="C210" i="13" s="1"/>
  <c r="B209" i="13"/>
  <c r="C209" i="13"/>
  <c r="B208" i="13"/>
  <c r="C208" i="13"/>
  <c r="B207" i="13"/>
  <c r="C207" i="13"/>
  <c r="B206" i="13"/>
  <c r="C206" i="13"/>
  <c r="B205" i="13"/>
  <c r="C205" i="13"/>
  <c r="B204" i="13"/>
  <c r="C204" i="13"/>
  <c r="B203" i="13"/>
  <c r="C203" i="13"/>
  <c r="B202" i="13"/>
  <c r="C202" i="13"/>
  <c r="B201" i="13"/>
  <c r="C201" i="13"/>
  <c r="B200" i="13"/>
  <c r="C200" i="13"/>
  <c r="B199" i="13"/>
  <c r="C199" i="13"/>
  <c r="B198" i="13"/>
  <c r="C198" i="13"/>
  <c r="B197" i="13"/>
  <c r="C197" i="13"/>
  <c r="B196" i="13"/>
  <c r="C196" i="13"/>
  <c r="B195" i="13"/>
  <c r="C195" i="13"/>
  <c r="B194" i="13"/>
  <c r="C194" i="13"/>
  <c r="B193" i="13"/>
  <c r="C193" i="13"/>
  <c r="B192" i="13"/>
  <c r="C192" i="13"/>
  <c r="B191" i="13"/>
  <c r="C191" i="13"/>
  <c r="B190" i="13"/>
  <c r="C190" i="13"/>
  <c r="B189" i="13"/>
  <c r="C189" i="13"/>
  <c r="B188" i="13"/>
  <c r="C188" i="13"/>
  <c r="B187" i="13"/>
  <c r="C187" i="13"/>
  <c r="B186" i="13"/>
  <c r="C186" i="13"/>
  <c r="B185" i="13"/>
  <c r="C185" i="13"/>
  <c r="B184" i="13"/>
  <c r="C184" i="13"/>
  <c r="B183" i="13"/>
  <c r="C183" i="13"/>
  <c r="B182" i="13"/>
  <c r="C182" i="13"/>
  <c r="B181" i="13"/>
  <c r="C181" i="13"/>
  <c r="B180" i="13"/>
  <c r="C180" i="13"/>
  <c r="B179" i="13"/>
  <c r="C179" i="13"/>
  <c r="B178" i="13"/>
  <c r="C178" i="13"/>
  <c r="B177" i="13"/>
  <c r="C177" i="13"/>
  <c r="B176" i="13"/>
  <c r="C176" i="13"/>
  <c r="B175" i="13"/>
  <c r="C175" i="13"/>
  <c r="B174" i="13"/>
  <c r="C174" i="13"/>
  <c r="B173" i="13"/>
  <c r="C173" i="13"/>
  <c r="B172" i="13"/>
  <c r="C172" i="13" s="1"/>
  <c r="B171" i="13"/>
  <c r="C171" i="13"/>
  <c r="B170" i="13"/>
  <c r="C170" i="13" s="1"/>
  <c r="B169" i="13"/>
  <c r="C169" i="13"/>
  <c r="B168" i="13"/>
  <c r="C168" i="13" s="1"/>
  <c r="B167" i="13"/>
  <c r="C167" i="13"/>
  <c r="B166" i="13"/>
  <c r="C166" i="13" s="1"/>
  <c r="B165" i="13"/>
  <c r="C165" i="13"/>
  <c r="B164" i="13"/>
  <c r="C164" i="13" s="1"/>
  <c r="B163" i="13"/>
  <c r="C163" i="13"/>
  <c r="B162" i="13"/>
  <c r="C162" i="13" s="1"/>
  <c r="B161" i="13"/>
  <c r="C161" i="13"/>
  <c r="B160" i="13"/>
  <c r="C160" i="13" s="1"/>
  <c r="B159" i="13"/>
  <c r="C159" i="13"/>
  <c r="B158" i="13"/>
  <c r="C158" i="13" s="1"/>
  <c r="B157" i="13"/>
  <c r="C157" i="13"/>
  <c r="B156" i="13"/>
  <c r="C156" i="13" s="1"/>
  <c r="B155" i="13"/>
  <c r="C155" i="13"/>
  <c r="B154" i="13"/>
  <c r="C154" i="13" s="1"/>
  <c r="B153" i="13"/>
  <c r="C153" i="13"/>
  <c r="B152" i="13"/>
  <c r="C152" i="13" s="1"/>
  <c r="B151" i="13"/>
  <c r="C151" i="13"/>
  <c r="B150" i="13"/>
  <c r="C150" i="13" s="1"/>
  <c r="B149" i="13"/>
  <c r="C149" i="13"/>
  <c r="B148" i="13"/>
  <c r="C148" i="13" s="1"/>
  <c r="B147" i="13"/>
  <c r="C147" i="13"/>
  <c r="B146" i="13"/>
  <c r="C146" i="13" s="1"/>
  <c r="B145" i="13"/>
  <c r="C145" i="13"/>
  <c r="B144" i="13"/>
  <c r="C144" i="13" s="1"/>
  <c r="B143" i="13"/>
  <c r="C143" i="13"/>
  <c r="B142" i="13"/>
  <c r="C142" i="13" s="1"/>
  <c r="B141" i="13"/>
  <c r="C141" i="13"/>
  <c r="B140" i="13"/>
  <c r="C140" i="13" s="1"/>
  <c r="B139" i="13"/>
  <c r="C139" i="13"/>
  <c r="B138" i="13"/>
  <c r="C138" i="13" s="1"/>
  <c r="B137" i="13"/>
  <c r="C137" i="13"/>
  <c r="B136" i="13"/>
  <c r="C136" i="13" s="1"/>
  <c r="B135" i="13"/>
  <c r="C135" i="13"/>
  <c r="B134" i="13"/>
  <c r="C134" i="13" s="1"/>
  <c r="B133" i="13"/>
  <c r="C133" i="13"/>
  <c r="B132" i="13"/>
  <c r="C132" i="13" s="1"/>
  <c r="B131" i="13"/>
  <c r="C131" i="13"/>
  <c r="B130" i="13"/>
  <c r="C130" i="13" s="1"/>
  <c r="B129" i="13"/>
  <c r="C129" i="13"/>
  <c r="B128" i="13"/>
  <c r="C128" i="13" s="1"/>
  <c r="B127" i="13"/>
  <c r="C127" i="13"/>
  <c r="B126" i="13"/>
  <c r="C126" i="13" s="1"/>
  <c r="B125" i="13"/>
  <c r="C125" i="13"/>
  <c r="B124" i="13"/>
  <c r="C124" i="13" s="1"/>
  <c r="B123" i="13"/>
  <c r="C123" i="13"/>
  <c r="B122" i="13"/>
  <c r="C122" i="13" s="1"/>
  <c r="B121" i="13"/>
  <c r="C121" i="13"/>
  <c r="B120" i="13"/>
  <c r="C120" i="13" s="1"/>
  <c r="B119" i="13"/>
  <c r="C119" i="13"/>
  <c r="B118" i="13"/>
  <c r="C118" i="13" s="1"/>
  <c r="B117" i="13"/>
  <c r="C117" i="13"/>
  <c r="B116" i="13"/>
  <c r="C116" i="13" s="1"/>
  <c r="B115" i="13"/>
  <c r="C115" i="13"/>
  <c r="B114" i="13"/>
  <c r="C114" i="13" s="1"/>
  <c r="B113" i="13"/>
  <c r="C113" i="13"/>
  <c r="B112" i="13"/>
  <c r="C112" i="13" s="1"/>
  <c r="B111" i="13"/>
  <c r="C111" i="13"/>
  <c r="B110" i="13"/>
  <c r="C110" i="13" s="1"/>
  <c r="B109" i="13"/>
  <c r="C109" i="13"/>
  <c r="B108" i="13"/>
  <c r="C108" i="13" s="1"/>
  <c r="B107" i="13"/>
  <c r="C107" i="13"/>
  <c r="B106" i="13"/>
  <c r="C106" i="13" s="1"/>
  <c r="B105" i="13"/>
  <c r="C105" i="13"/>
  <c r="B104" i="13"/>
  <c r="C104" i="13" s="1"/>
  <c r="B103" i="13"/>
  <c r="C103" i="13"/>
  <c r="B102" i="13"/>
  <c r="C102" i="13" s="1"/>
  <c r="B101" i="13"/>
  <c r="C101" i="13"/>
  <c r="B100" i="13"/>
  <c r="C100" i="13" s="1"/>
  <c r="B99" i="13"/>
  <c r="C99" i="13"/>
  <c r="B98" i="13"/>
  <c r="C98" i="13" s="1"/>
  <c r="B97" i="13"/>
  <c r="C97" i="13"/>
  <c r="B96" i="13"/>
  <c r="C96" i="13" s="1"/>
  <c r="B95" i="13"/>
  <c r="C95" i="13"/>
  <c r="B94" i="13"/>
  <c r="C94" i="13" s="1"/>
  <c r="B93" i="13"/>
  <c r="C93" i="13"/>
  <c r="B92" i="13"/>
  <c r="C92" i="13" s="1"/>
  <c r="B91" i="13"/>
  <c r="C91" i="13"/>
  <c r="B90" i="13"/>
  <c r="C90" i="13" s="1"/>
  <c r="B89" i="13"/>
  <c r="C89" i="13"/>
  <c r="B88" i="13"/>
  <c r="C88" i="13" s="1"/>
  <c r="B87" i="13"/>
  <c r="C87" i="13"/>
  <c r="B86" i="13"/>
  <c r="C86" i="13" s="1"/>
  <c r="B85" i="13"/>
  <c r="C85" i="13"/>
  <c r="B84" i="13"/>
  <c r="C84" i="13" s="1"/>
  <c r="B83" i="13"/>
  <c r="C83" i="13"/>
  <c r="B82" i="13"/>
  <c r="C82" i="13" s="1"/>
  <c r="B81" i="13"/>
  <c r="C81" i="13"/>
  <c r="B80" i="13"/>
  <c r="C80" i="13" s="1"/>
  <c r="B79" i="13"/>
  <c r="C79" i="13"/>
  <c r="B78" i="13"/>
  <c r="C78" i="13" s="1"/>
  <c r="B77" i="13"/>
  <c r="C77" i="13"/>
  <c r="B76" i="13"/>
  <c r="C76" i="13" s="1"/>
  <c r="B75" i="13"/>
  <c r="C75" i="13"/>
  <c r="B74" i="13"/>
  <c r="C74" i="13" s="1"/>
  <c r="B73" i="13"/>
  <c r="C73" i="13"/>
  <c r="B72" i="13"/>
  <c r="C72" i="13" s="1"/>
  <c r="B71" i="13"/>
  <c r="C71" i="13"/>
  <c r="B70" i="13"/>
  <c r="C70" i="13" s="1"/>
  <c r="B69" i="13"/>
  <c r="C69" i="13"/>
  <c r="B68" i="13"/>
  <c r="C68" i="13" s="1"/>
  <c r="B67" i="13"/>
  <c r="C67" i="13"/>
  <c r="B66" i="13"/>
  <c r="C66" i="13" s="1"/>
  <c r="B65" i="13"/>
  <c r="C65" i="13"/>
  <c r="B64" i="13"/>
  <c r="C64" i="13" s="1"/>
  <c r="B63" i="13"/>
  <c r="C63" i="13"/>
  <c r="B62" i="13"/>
  <c r="C62" i="13" s="1"/>
  <c r="B61" i="13"/>
  <c r="C61" i="13"/>
  <c r="B60" i="13"/>
  <c r="C60" i="13" s="1"/>
  <c r="B59" i="13"/>
  <c r="C59" i="13"/>
  <c r="B58" i="13"/>
  <c r="C58" i="13" s="1"/>
  <c r="B57" i="13"/>
  <c r="C57" i="13"/>
  <c r="B56" i="13"/>
  <c r="C56" i="13" s="1"/>
  <c r="B55" i="13"/>
  <c r="C55" i="13"/>
  <c r="B54" i="13"/>
  <c r="C54" i="13" s="1"/>
  <c r="B53" i="13"/>
  <c r="C53" i="13"/>
  <c r="B52" i="13"/>
  <c r="C52" i="13" s="1"/>
  <c r="B51" i="13"/>
  <c r="C51" i="13"/>
  <c r="B50" i="13"/>
  <c r="C50" i="13" s="1"/>
  <c r="B49" i="13"/>
  <c r="C49" i="13"/>
  <c r="B48" i="13"/>
  <c r="C48" i="13" s="1"/>
  <c r="B47" i="13"/>
  <c r="C47" i="13"/>
  <c r="B46" i="13"/>
  <c r="C46" i="13" s="1"/>
  <c r="B45" i="13"/>
  <c r="C45" i="13"/>
  <c r="B44" i="13"/>
  <c r="C44" i="13" s="1"/>
  <c r="B43" i="13"/>
  <c r="C43" i="13"/>
  <c r="B42" i="13"/>
  <c r="C42" i="13" s="1"/>
  <c r="B41" i="13"/>
  <c r="C41" i="13"/>
  <c r="B40" i="13"/>
  <c r="C40" i="13" s="1"/>
  <c r="B39" i="13"/>
  <c r="C39" i="13"/>
  <c r="B38" i="13"/>
  <c r="C38" i="13" s="1"/>
  <c r="B37" i="13"/>
  <c r="C37" i="13"/>
  <c r="B36" i="13"/>
  <c r="C36" i="13" s="1"/>
  <c r="B35" i="13"/>
  <c r="C35" i="13"/>
  <c r="B34" i="13"/>
  <c r="C34" i="13" s="1"/>
  <c r="B33" i="13"/>
  <c r="C33" i="13"/>
  <c r="B32" i="13"/>
  <c r="C32" i="13" s="1"/>
  <c r="B31" i="13"/>
  <c r="C31" i="13"/>
  <c r="B30" i="13"/>
  <c r="C30" i="13" s="1"/>
  <c r="B29" i="13"/>
  <c r="C29" i="13"/>
  <c r="B28" i="13"/>
  <c r="C28" i="13" s="1"/>
  <c r="B27" i="13"/>
  <c r="C27" i="13"/>
  <c r="B26" i="13"/>
  <c r="C26" i="13" s="1"/>
  <c r="B25" i="13"/>
  <c r="C25" i="13"/>
  <c r="B24" i="13"/>
  <c r="C24" i="13" s="1"/>
  <c r="B23" i="13"/>
  <c r="C23" i="13"/>
  <c r="B22" i="13"/>
  <c r="C22" i="13" s="1"/>
  <c r="B21" i="13"/>
  <c r="C21" i="13"/>
  <c r="B20" i="13"/>
  <c r="C20" i="13" s="1"/>
  <c r="B19" i="13"/>
  <c r="C19" i="13"/>
  <c r="B18" i="13"/>
  <c r="C18" i="13" s="1"/>
  <c r="B17" i="13"/>
  <c r="C17" i="13"/>
  <c r="B16" i="13"/>
  <c r="C16" i="13" s="1"/>
  <c r="B15" i="13"/>
  <c r="C15" i="13"/>
  <c r="B14" i="13"/>
  <c r="C14" i="13" s="1"/>
  <c r="B13" i="13"/>
  <c r="C13" i="13"/>
  <c r="B12" i="13"/>
  <c r="C12" i="13" s="1"/>
  <c r="B11" i="13"/>
  <c r="C11" i="13"/>
  <c r="B10" i="13"/>
  <c r="C10" i="13" s="1"/>
  <c r="B9" i="13"/>
  <c r="C9" i="13"/>
  <c r="B8" i="13"/>
  <c r="C8" i="13" s="1"/>
  <c r="B7" i="13"/>
  <c r="C7" i="13"/>
  <c r="B6" i="13"/>
  <c r="C6" i="13" s="1"/>
  <c r="B5" i="13"/>
  <c r="C5" i="13"/>
  <c r="B734" i="12"/>
  <c r="C734" i="12" s="1"/>
  <c r="H733" i="12"/>
  <c r="I733" i="12"/>
  <c r="J733" i="12" s="1"/>
  <c r="K733" i="12" s="1"/>
  <c r="L733" i="12" s="1"/>
  <c r="M733" i="12" s="1"/>
  <c r="N733" i="12" s="1"/>
  <c r="B733" i="12"/>
  <c r="C733" i="12"/>
  <c r="H732" i="12"/>
  <c r="I732" i="12" s="1"/>
  <c r="J732" i="12" s="1"/>
  <c r="K732" i="12" s="1"/>
  <c r="L732" i="12" s="1"/>
  <c r="M732" i="12" s="1"/>
  <c r="N732" i="12" s="1"/>
  <c r="B732" i="12"/>
  <c r="C732" i="12"/>
  <c r="H731" i="12"/>
  <c r="I731" i="12" s="1"/>
  <c r="J731" i="12" s="1"/>
  <c r="K731" i="12" s="1"/>
  <c r="L731" i="12" s="1"/>
  <c r="M731" i="12" s="1"/>
  <c r="N731" i="12" s="1"/>
  <c r="B731" i="12"/>
  <c r="C731" i="12" s="1"/>
  <c r="H730" i="12"/>
  <c r="I730" i="12"/>
  <c r="J730" i="12"/>
  <c r="K730" i="12" s="1"/>
  <c r="L730" i="12" s="1"/>
  <c r="M730" i="12" s="1"/>
  <c r="N730" i="12" s="1"/>
  <c r="B730" i="12"/>
  <c r="C730" i="12" s="1"/>
  <c r="H729" i="12"/>
  <c r="I729" i="12"/>
  <c r="J729" i="12" s="1"/>
  <c r="K729" i="12" s="1"/>
  <c r="L729" i="12" s="1"/>
  <c r="M729" i="12" s="1"/>
  <c r="N729" i="12" s="1"/>
  <c r="B729" i="12"/>
  <c r="C729" i="12"/>
  <c r="H728" i="12"/>
  <c r="I728" i="12" s="1"/>
  <c r="J728" i="12" s="1"/>
  <c r="K728" i="12" s="1"/>
  <c r="L728" i="12" s="1"/>
  <c r="M728" i="12" s="1"/>
  <c r="N728" i="12" s="1"/>
  <c r="B728" i="12"/>
  <c r="C728" i="12"/>
  <c r="H727" i="12"/>
  <c r="I727" i="12" s="1"/>
  <c r="J727" i="12" s="1"/>
  <c r="K727" i="12" s="1"/>
  <c r="L727" i="12" s="1"/>
  <c r="M727" i="12" s="1"/>
  <c r="N727" i="12" s="1"/>
  <c r="B727" i="12"/>
  <c r="C727" i="12" s="1"/>
  <c r="H726" i="12"/>
  <c r="I726" i="12"/>
  <c r="J726" i="12"/>
  <c r="K726" i="12" s="1"/>
  <c r="L726" i="12" s="1"/>
  <c r="M726" i="12" s="1"/>
  <c r="N726" i="12" s="1"/>
  <c r="B726" i="12"/>
  <c r="C726" i="12" s="1"/>
  <c r="H725" i="12"/>
  <c r="I725" i="12"/>
  <c r="J725" i="12" s="1"/>
  <c r="K725" i="12" s="1"/>
  <c r="L725" i="12" s="1"/>
  <c r="M725" i="12" s="1"/>
  <c r="N725" i="12" s="1"/>
  <c r="B725" i="12"/>
  <c r="C725" i="12"/>
  <c r="H724" i="12"/>
  <c r="I724" i="12" s="1"/>
  <c r="J724" i="12" s="1"/>
  <c r="K724" i="12" s="1"/>
  <c r="L724" i="12" s="1"/>
  <c r="M724" i="12" s="1"/>
  <c r="N724" i="12" s="1"/>
  <c r="B724" i="12"/>
  <c r="C724" i="12"/>
  <c r="H723" i="12"/>
  <c r="I723" i="12" s="1"/>
  <c r="J723" i="12" s="1"/>
  <c r="K723" i="12" s="1"/>
  <c r="L723" i="12" s="1"/>
  <c r="M723" i="12" s="1"/>
  <c r="N723" i="12" s="1"/>
  <c r="B723" i="12"/>
  <c r="C723" i="12" s="1"/>
  <c r="H722" i="12"/>
  <c r="I722" i="12"/>
  <c r="J722" i="12"/>
  <c r="K722" i="12" s="1"/>
  <c r="L722" i="12" s="1"/>
  <c r="M722" i="12" s="1"/>
  <c r="N722" i="12" s="1"/>
  <c r="B722" i="12"/>
  <c r="C722" i="12" s="1"/>
  <c r="H721" i="12"/>
  <c r="I721" i="12"/>
  <c r="J721" i="12" s="1"/>
  <c r="K721" i="12" s="1"/>
  <c r="L721" i="12" s="1"/>
  <c r="M721" i="12" s="1"/>
  <c r="N721" i="12" s="1"/>
  <c r="B721" i="12"/>
  <c r="C721" i="12"/>
  <c r="H720" i="12"/>
  <c r="I720" i="12" s="1"/>
  <c r="J720" i="12" s="1"/>
  <c r="K720" i="12" s="1"/>
  <c r="L720" i="12" s="1"/>
  <c r="M720" i="12" s="1"/>
  <c r="N720" i="12" s="1"/>
  <c r="B720" i="12"/>
  <c r="C720" i="12"/>
  <c r="H719" i="12"/>
  <c r="I719" i="12" s="1"/>
  <c r="J719" i="12" s="1"/>
  <c r="K719" i="12" s="1"/>
  <c r="L719" i="12" s="1"/>
  <c r="M719" i="12" s="1"/>
  <c r="N719" i="12" s="1"/>
  <c r="B719" i="12"/>
  <c r="C719" i="12" s="1"/>
  <c r="H718" i="12"/>
  <c r="I718" i="12"/>
  <c r="J718" i="12"/>
  <c r="K718" i="12" s="1"/>
  <c r="L718" i="12" s="1"/>
  <c r="M718" i="12" s="1"/>
  <c r="N718" i="12" s="1"/>
  <c r="B718" i="12"/>
  <c r="C718" i="12" s="1"/>
  <c r="H717" i="12"/>
  <c r="I717" i="12"/>
  <c r="J717" i="12" s="1"/>
  <c r="K717" i="12" s="1"/>
  <c r="L717" i="12" s="1"/>
  <c r="M717" i="12" s="1"/>
  <c r="N717" i="12" s="1"/>
  <c r="B717" i="12"/>
  <c r="C717" i="12"/>
  <c r="H716" i="12"/>
  <c r="I716" i="12" s="1"/>
  <c r="J716" i="12" s="1"/>
  <c r="K716" i="12" s="1"/>
  <c r="L716" i="12" s="1"/>
  <c r="M716" i="12" s="1"/>
  <c r="N716" i="12" s="1"/>
  <c r="B716" i="12"/>
  <c r="C716" i="12"/>
  <c r="H715" i="12"/>
  <c r="I715" i="12" s="1"/>
  <c r="J715" i="12" s="1"/>
  <c r="K715" i="12" s="1"/>
  <c r="L715" i="12" s="1"/>
  <c r="M715" i="12" s="1"/>
  <c r="N715" i="12" s="1"/>
  <c r="B715" i="12"/>
  <c r="C715" i="12" s="1"/>
  <c r="H714" i="12"/>
  <c r="I714" i="12"/>
  <c r="J714" i="12"/>
  <c r="K714" i="12" s="1"/>
  <c r="L714" i="12" s="1"/>
  <c r="M714" i="12" s="1"/>
  <c r="N714" i="12" s="1"/>
  <c r="B714" i="12"/>
  <c r="C714" i="12" s="1"/>
  <c r="H713" i="12"/>
  <c r="I713" i="12"/>
  <c r="J713" i="12" s="1"/>
  <c r="K713" i="12" s="1"/>
  <c r="L713" i="12" s="1"/>
  <c r="M713" i="12" s="1"/>
  <c r="N713" i="12" s="1"/>
  <c r="B713" i="12"/>
  <c r="C713" i="12"/>
  <c r="H712" i="12"/>
  <c r="I712" i="12" s="1"/>
  <c r="J712" i="12" s="1"/>
  <c r="K712" i="12" s="1"/>
  <c r="L712" i="12" s="1"/>
  <c r="M712" i="12" s="1"/>
  <c r="N712" i="12" s="1"/>
  <c r="B712" i="12"/>
  <c r="C712" i="12"/>
  <c r="H711" i="12"/>
  <c r="I711" i="12" s="1"/>
  <c r="J711" i="12" s="1"/>
  <c r="K711" i="12" s="1"/>
  <c r="L711" i="12" s="1"/>
  <c r="M711" i="12" s="1"/>
  <c r="N711" i="12" s="1"/>
  <c r="B711" i="12"/>
  <c r="C711" i="12" s="1"/>
  <c r="H710" i="12"/>
  <c r="I710" i="12"/>
  <c r="J710" i="12"/>
  <c r="K710" i="12" s="1"/>
  <c r="L710" i="12" s="1"/>
  <c r="M710" i="12" s="1"/>
  <c r="N710" i="12" s="1"/>
  <c r="B710" i="12"/>
  <c r="C710" i="12" s="1"/>
  <c r="H709" i="12"/>
  <c r="I709" i="12"/>
  <c r="J709" i="12" s="1"/>
  <c r="K709" i="12" s="1"/>
  <c r="L709" i="12" s="1"/>
  <c r="M709" i="12" s="1"/>
  <c r="N709" i="12" s="1"/>
  <c r="B709" i="12"/>
  <c r="C709" i="12"/>
  <c r="H708" i="12"/>
  <c r="I708" i="12" s="1"/>
  <c r="J708" i="12" s="1"/>
  <c r="K708" i="12" s="1"/>
  <c r="L708" i="12" s="1"/>
  <c r="M708" i="12" s="1"/>
  <c r="N708" i="12" s="1"/>
  <c r="B708" i="12"/>
  <c r="C708" i="12"/>
  <c r="H707" i="12"/>
  <c r="I707" i="12" s="1"/>
  <c r="J707" i="12" s="1"/>
  <c r="K707" i="12" s="1"/>
  <c r="L707" i="12" s="1"/>
  <c r="M707" i="12" s="1"/>
  <c r="N707" i="12" s="1"/>
  <c r="B707" i="12"/>
  <c r="C707" i="12" s="1"/>
  <c r="H706" i="12"/>
  <c r="I706" i="12"/>
  <c r="J706" i="12"/>
  <c r="K706" i="12" s="1"/>
  <c r="L706" i="12" s="1"/>
  <c r="M706" i="12" s="1"/>
  <c r="N706" i="12" s="1"/>
  <c r="B706" i="12"/>
  <c r="C706" i="12" s="1"/>
  <c r="H705" i="12"/>
  <c r="I705" i="12"/>
  <c r="J705" i="12" s="1"/>
  <c r="K705" i="12" s="1"/>
  <c r="L705" i="12" s="1"/>
  <c r="M705" i="12" s="1"/>
  <c r="N705" i="12" s="1"/>
  <c r="B705" i="12"/>
  <c r="C705" i="12"/>
  <c r="H704" i="12"/>
  <c r="I704" i="12" s="1"/>
  <c r="J704" i="12" s="1"/>
  <c r="K704" i="12" s="1"/>
  <c r="L704" i="12" s="1"/>
  <c r="M704" i="12" s="1"/>
  <c r="N704" i="12" s="1"/>
  <c r="B704" i="12"/>
  <c r="C704" i="12"/>
  <c r="H703" i="12"/>
  <c r="I703" i="12" s="1"/>
  <c r="J703" i="12" s="1"/>
  <c r="K703" i="12" s="1"/>
  <c r="L703" i="12" s="1"/>
  <c r="M703" i="12" s="1"/>
  <c r="N703" i="12" s="1"/>
  <c r="B703" i="12"/>
  <c r="C703" i="12" s="1"/>
  <c r="H702" i="12"/>
  <c r="I702" i="12"/>
  <c r="J702" i="12"/>
  <c r="K702" i="12" s="1"/>
  <c r="L702" i="12" s="1"/>
  <c r="M702" i="12" s="1"/>
  <c r="N702" i="12" s="1"/>
  <c r="B702" i="12"/>
  <c r="C702" i="12" s="1"/>
  <c r="H701" i="12"/>
  <c r="I701" i="12"/>
  <c r="J701" i="12" s="1"/>
  <c r="K701" i="12" s="1"/>
  <c r="L701" i="12" s="1"/>
  <c r="M701" i="12" s="1"/>
  <c r="N701" i="12" s="1"/>
  <c r="B701" i="12"/>
  <c r="C701" i="12"/>
  <c r="H700" i="12"/>
  <c r="I700" i="12" s="1"/>
  <c r="J700" i="12" s="1"/>
  <c r="K700" i="12" s="1"/>
  <c r="L700" i="12" s="1"/>
  <c r="M700" i="12" s="1"/>
  <c r="N700" i="12" s="1"/>
  <c r="B700" i="12"/>
  <c r="C700" i="12"/>
  <c r="H699" i="12"/>
  <c r="I699" i="12" s="1"/>
  <c r="J699" i="12" s="1"/>
  <c r="K699" i="12" s="1"/>
  <c r="L699" i="12" s="1"/>
  <c r="M699" i="12" s="1"/>
  <c r="N699" i="12" s="1"/>
  <c r="B699" i="12"/>
  <c r="C699" i="12" s="1"/>
  <c r="H698" i="12"/>
  <c r="I698" i="12"/>
  <c r="J698" i="12"/>
  <c r="K698" i="12" s="1"/>
  <c r="L698" i="12" s="1"/>
  <c r="M698" i="12" s="1"/>
  <c r="N698" i="12" s="1"/>
  <c r="B698" i="12"/>
  <c r="C698" i="12" s="1"/>
  <c r="H697" i="12"/>
  <c r="I697" i="12"/>
  <c r="J697" i="12" s="1"/>
  <c r="K697" i="12" s="1"/>
  <c r="L697" i="12" s="1"/>
  <c r="M697" i="12" s="1"/>
  <c r="N697" i="12" s="1"/>
  <c r="B697" i="12"/>
  <c r="C697" i="12"/>
  <c r="H696" i="12"/>
  <c r="I696" i="12" s="1"/>
  <c r="J696" i="12" s="1"/>
  <c r="K696" i="12" s="1"/>
  <c r="L696" i="12" s="1"/>
  <c r="M696" i="12" s="1"/>
  <c r="N696" i="12" s="1"/>
  <c r="B696" i="12"/>
  <c r="C696" i="12"/>
  <c r="H695" i="12"/>
  <c r="I695" i="12" s="1"/>
  <c r="J695" i="12" s="1"/>
  <c r="K695" i="12" s="1"/>
  <c r="L695" i="12" s="1"/>
  <c r="M695" i="12" s="1"/>
  <c r="N695" i="12" s="1"/>
  <c r="B695" i="12"/>
  <c r="C695" i="12" s="1"/>
  <c r="H694" i="12"/>
  <c r="I694" i="12"/>
  <c r="J694" i="12"/>
  <c r="K694" i="12" s="1"/>
  <c r="L694" i="12" s="1"/>
  <c r="M694" i="12" s="1"/>
  <c r="N694" i="12" s="1"/>
  <c r="B694" i="12"/>
  <c r="C694" i="12" s="1"/>
  <c r="H693" i="12"/>
  <c r="I693" i="12"/>
  <c r="J693" i="12" s="1"/>
  <c r="K693" i="12" s="1"/>
  <c r="L693" i="12" s="1"/>
  <c r="M693" i="12" s="1"/>
  <c r="N693" i="12" s="1"/>
  <c r="B693" i="12"/>
  <c r="C693" i="12"/>
  <c r="H692" i="12"/>
  <c r="I692" i="12" s="1"/>
  <c r="J692" i="12" s="1"/>
  <c r="K692" i="12" s="1"/>
  <c r="L692" i="12" s="1"/>
  <c r="M692" i="12" s="1"/>
  <c r="N692" i="12" s="1"/>
  <c r="B692" i="12"/>
  <c r="C692" i="12"/>
  <c r="H691" i="12"/>
  <c r="I691" i="12" s="1"/>
  <c r="J691" i="12" s="1"/>
  <c r="K691" i="12" s="1"/>
  <c r="L691" i="12" s="1"/>
  <c r="M691" i="12" s="1"/>
  <c r="N691" i="12" s="1"/>
  <c r="B691" i="12"/>
  <c r="C691" i="12" s="1"/>
  <c r="H690" i="12"/>
  <c r="I690" i="12"/>
  <c r="J690" i="12"/>
  <c r="K690" i="12" s="1"/>
  <c r="L690" i="12" s="1"/>
  <c r="M690" i="12" s="1"/>
  <c r="N690" i="12" s="1"/>
  <c r="B690" i="12"/>
  <c r="C690" i="12" s="1"/>
  <c r="H689" i="12"/>
  <c r="I689" i="12"/>
  <c r="J689" i="12" s="1"/>
  <c r="K689" i="12" s="1"/>
  <c r="L689" i="12" s="1"/>
  <c r="M689" i="12" s="1"/>
  <c r="N689" i="12" s="1"/>
  <c r="B689" i="12"/>
  <c r="C689" i="12"/>
  <c r="H688" i="12"/>
  <c r="I688" i="12" s="1"/>
  <c r="J688" i="12" s="1"/>
  <c r="K688" i="12" s="1"/>
  <c r="L688" i="12" s="1"/>
  <c r="M688" i="12" s="1"/>
  <c r="N688" i="12" s="1"/>
  <c r="B688" i="12"/>
  <c r="C688" i="12"/>
  <c r="H687" i="12"/>
  <c r="I687" i="12" s="1"/>
  <c r="J687" i="12" s="1"/>
  <c r="K687" i="12" s="1"/>
  <c r="L687" i="12" s="1"/>
  <c r="M687" i="12" s="1"/>
  <c r="N687" i="12" s="1"/>
  <c r="B687" i="12"/>
  <c r="C687" i="12" s="1"/>
  <c r="H686" i="12"/>
  <c r="I686" i="12"/>
  <c r="J686" i="12"/>
  <c r="K686" i="12" s="1"/>
  <c r="L686" i="12" s="1"/>
  <c r="M686" i="12" s="1"/>
  <c r="N686" i="12" s="1"/>
  <c r="B686" i="12"/>
  <c r="C686" i="12" s="1"/>
  <c r="H685" i="12"/>
  <c r="I685" i="12"/>
  <c r="J685" i="12" s="1"/>
  <c r="K685" i="12" s="1"/>
  <c r="L685" i="12" s="1"/>
  <c r="M685" i="12" s="1"/>
  <c r="N685" i="12" s="1"/>
  <c r="B685" i="12"/>
  <c r="C685" i="12"/>
  <c r="H684" i="12"/>
  <c r="I684" i="12" s="1"/>
  <c r="J684" i="12" s="1"/>
  <c r="K684" i="12" s="1"/>
  <c r="L684" i="12" s="1"/>
  <c r="M684" i="12" s="1"/>
  <c r="N684" i="12" s="1"/>
  <c r="B684" i="12"/>
  <c r="C684" i="12"/>
  <c r="H683" i="12"/>
  <c r="I683" i="12" s="1"/>
  <c r="J683" i="12" s="1"/>
  <c r="K683" i="12" s="1"/>
  <c r="L683" i="12" s="1"/>
  <c r="M683" i="12" s="1"/>
  <c r="N683" i="12" s="1"/>
  <c r="B683" i="12"/>
  <c r="C683" i="12" s="1"/>
  <c r="H682" i="12"/>
  <c r="I682" i="12"/>
  <c r="J682" i="12"/>
  <c r="K682" i="12" s="1"/>
  <c r="L682" i="12" s="1"/>
  <c r="M682" i="12" s="1"/>
  <c r="N682" i="12" s="1"/>
  <c r="B682" i="12"/>
  <c r="C682" i="12" s="1"/>
  <c r="H681" i="12"/>
  <c r="I681" i="12"/>
  <c r="J681" i="12" s="1"/>
  <c r="K681" i="12" s="1"/>
  <c r="L681" i="12" s="1"/>
  <c r="M681" i="12" s="1"/>
  <c r="N681" i="12" s="1"/>
  <c r="B681" i="12"/>
  <c r="C681" i="12"/>
  <c r="H680" i="12"/>
  <c r="I680" i="12" s="1"/>
  <c r="J680" i="12" s="1"/>
  <c r="K680" i="12" s="1"/>
  <c r="L680" i="12" s="1"/>
  <c r="M680" i="12" s="1"/>
  <c r="N680" i="12" s="1"/>
  <c r="B680" i="12"/>
  <c r="C680" i="12"/>
  <c r="H679" i="12"/>
  <c r="I679" i="12" s="1"/>
  <c r="J679" i="12" s="1"/>
  <c r="K679" i="12" s="1"/>
  <c r="L679" i="12" s="1"/>
  <c r="M679" i="12" s="1"/>
  <c r="N679" i="12" s="1"/>
  <c r="B679" i="12"/>
  <c r="C679" i="12" s="1"/>
  <c r="H678" i="12"/>
  <c r="I678" i="12"/>
  <c r="J678" i="12"/>
  <c r="K678" i="12" s="1"/>
  <c r="L678" i="12" s="1"/>
  <c r="M678" i="12" s="1"/>
  <c r="N678" i="12" s="1"/>
  <c r="B678" i="12"/>
  <c r="C678" i="12" s="1"/>
  <c r="H677" i="12"/>
  <c r="I677" i="12"/>
  <c r="J677" i="12" s="1"/>
  <c r="K677" i="12" s="1"/>
  <c r="L677" i="12" s="1"/>
  <c r="M677" i="12" s="1"/>
  <c r="N677" i="12" s="1"/>
  <c r="B677" i="12"/>
  <c r="C677" i="12"/>
  <c r="H676" i="12"/>
  <c r="I676" i="12" s="1"/>
  <c r="J676" i="12" s="1"/>
  <c r="K676" i="12" s="1"/>
  <c r="L676" i="12" s="1"/>
  <c r="M676" i="12" s="1"/>
  <c r="N676" i="12" s="1"/>
  <c r="B676" i="12"/>
  <c r="C676" i="12"/>
  <c r="H675" i="12"/>
  <c r="I675" i="12" s="1"/>
  <c r="J675" i="12" s="1"/>
  <c r="K675" i="12" s="1"/>
  <c r="L675" i="12" s="1"/>
  <c r="M675" i="12" s="1"/>
  <c r="N675" i="12" s="1"/>
  <c r="B675" i="12"/>
  <c r="C675" i="12" s="1"/>
  <c r="H674" i="12"/>
  <c r="I674" i="12"/>
  <c r="J674" i="12"/>
  <c r="K674" i="12" s="1"/>
  <c r="L674" i="12" s="1"/>
  <c r="M674" i="12" s="1"/>
  <c r="N674" i="12" s="1"/>
  <c r="B674" i="12"/>
  <c r="C674" i="12" s="1"/>
  <c r="H673" i="12"/>
  <c r="I673" i="12"/>
  <c r="J673" i="12" s="1"/>
  <c r="K673" i="12" s="1"/>
  <c r="L673" i="12" s="1"/>
  <c r="M673" i="12" s="1"/>
  <c r="N673" i="12" s="1"/>
  <c r="B673" i="12"/>
  <c r="C673" i="12"/>
  <c r="H672" i="12"/>
  <c r="I672" i="12" s="1"/>
  <c r="J672" i="12" s="1"/>
  <c r="K672" i="12" s="1"/>
  <c r="L672" i="12" s="1"/>
  <c r="M672" i="12" s="1"/>
  <c r="N672" i="12" s="1"/>
  <c r="B672" i="12"/>
  <c r="C672" i="12"/>
  <c r="H671" i="12"/>
  <c r="I671" i="12" s="1"/>
  <c r="J671" i="12" s="1"/>
  <c r="K671" i="12" s="1"/>
  <c r="L671" i="12" s="1"/>
  <c r="M671" i="12" s="1"/>
  <c r="N671" i="12" s="1"/>
  <c r="B671" i="12"/>
  <c r="C671" i="12" s="1"/>
  <c r="H670" i="12"/>
  <c r="I670" i="12"/>
  <c r="J670" i="12"/>
  <c r="K670" i="12" s="1"/>
  <c r="L670" i="12" s="1"/>
  <c r="M670" i="12" s="1"/>
  <c r="N670" i="12" s="1"/>
  <c r="B670" i="12"/>
  <c r="C670" i="12" s="1"/>
  <c r="H669" i="12"/>
  <c r="I669" i="12"/>
  <c r="J669" i="12" s="1"/>
  <c r="K669" i="12" s="1"/>
  <c r="L669" i="12" s="1"/>
  <c r="M669" i="12" s="1"/>
  <c r="N669" i="12" s="1"/>
  <c r="B669" i="12"/>
  <c r="C669" i="12"/>
  <c r="H668" i="12"/>
  <c r="I668" i="12" s="1"/>
  <c r="J668" i="12" s="1"/>
  <c r="K668" i="12" s="1"/>
  <c r="L668" i="12" s="1"/>
  <c r="M668" i="12" s="1"/>
  <c r="N668" i="12" s="1"/>
  <c r="B668" i="12"/>
  <c r="C668" i="12"/>
  <c r="H667" i="12"/>
  <c r="I667" i="12" s="1"/>
  <c r="J667" i="12" s="1"/>
  <c r="K667" i="12" s="1"/>
  <c r="L667" i="12" s="1"/>
  <c r="M667" i="12" s="1"/>
  <c r="N667" i="12" s="1"/>
  <c r="B667" i="12"/>
  <c r="C667" i="12" s="1"/>
  <c r="H666" i="12"/>
  <c r="I666" i="12"/>
  <c r="J666" i="12"/>
  <c r="K666" i="12" s="1"/>
  <c r="L666" i="12" s="1"/>
  <c r="M666" i="12" s="1"/>
  <c r="N666" i="12" s="1"/>
  <c r="B666" i="12"/>
  <c r="C666" i="12" s="1"/>
  <c r="H665" i="12"/>
  <c r="I665" i="12"/>
  <c r="J665" i="12" s="1"/>
  <c r="K665" i="12" s="1"/>
  <c r="L665" i="12" s="1"/>
  <c r="M665" i="12" s="1"/>
  <c r="N665" i="12" s="1"/>
  <c r="B665" i="12"/>
  <c r="C665" i="12"/>
  <c r="H664" i="12"/>
  <c r="I664" i="12" s="1"/>
  <c r="J664" i="12" s="1"/>
  <c r="K664" i="12" s="1"/>
  <c r="L664" i="12" s="1"/>
  <c r="M664" i="12" s="1"/>
  <c r="N664" i="12" s="1"/>
  <c r="B664" i="12"/>
  <c r="C664" i="12"/>
  <c r="H663" i="12"/>
  <c r="I663" i="12" s="1"/>
  <c r="J663" i="12" s="1"/>
  <c r="K663" i="12" s="1"/>
  <c r="L663" i="12" s="1"/>
  <c r="M663" i="12" s="1"/>
  <c r="N663" i="12" s="1"/>
  <c r="B663" i="12"/>
  <c r="C663" i="12" s="1"/>
  <c r="H662" i="12"/>
  <c r="I662" i="12"/>
  <c r="J662" i="12"/>
  <c r="K662" i="12" s="1"/>
  <c r="L662" i="12" s="1"/>
  <c r="M662" i="12" s="1"/>
  <c r="N662" i="12" s="1"/>
  <c r="B662" i="12"/>
  <c r="C662" i="12" s="1"/>
  <c r="H661" i="12"/>
  <c r="I661" i="12"/>
  <c r="J661" i="12" s="1"/>
  <c r="K661" i="12" s="1"/>
  <c r="L661" i="12" s="1"/>
  <c r="M661" i="12" s="1"/>
  <c r="N661" i="12" s="1"/>
  <c r="B661" i="12"/>
  <c r="C661" i="12"/>
  <c r="H660" i="12"/>
  <c r="I660" i="12" s="1"/>
  <c r="J660" i="12" s="1"/>
  <c r="K660" i="12" s="1"/>
  <c r="L660" i="12" s="1"/>
  <c r="M660" i="12" s="1"/>
  <c r="N660" i="12" s="1"/>
  <c r="B660" i="12"/>
  <c r="C660" i="12"/>
  <c r="H659" i="12"/>
  <c r="I659" i="12" s="1"/>
  <c r="J659" i="12" s="1"/>
  <c r="K659" i="12" s="1"/>
  <c r="L659" i="12" s="1"/>
  <c r="M659" i="12" s="1"/>
  <c r="N659" i="12" s="1"/>
  <c r="B659" i="12"/>
  <c r="C659" i="12" s="1"/>
  <c r="H658" i="12"/>
  <c r="I658" i="12"/>
  <c r="J658" i="12"/>
  <c r="K658" i="12" s="1"/>
  <c r="L658" i="12" s="1"/>
  <c r="M658" i="12" s="1"/>
  <c r="N658" i="12" s="1"/>
  <c r="B658" i="12"/>
  <c r="C658" i="12" s="1"/>
  <c r="H657" i="12"/>
  <c r="I657" i="12"/>
  <c r="J657" i="12" s="1"/>
  <c r="K657" i="12" s="1"/>
  <c r="L657" i="12" s="1"/>
  <c r="M657" i="12" s="1"/>
  <c r="N657" i="12" s="1"/>
  <c r="B657" i="12"/>
  <c r="C657" i="12"/>
  <c r="H656" i="12"/>
  <c r="I656" i="12" s="1"/>
  <c r="J656" i="12" s="1"/>
  <c r="K656" i="12" s="1"/>
  <c r="L656" i="12" s="1"/>
  <c r="M656" i="12" s="1"/>
  <c r="N656" i="12" s="1"/>
  <c r="B656" i="12"/>
  <c r="C656" i="12"/>
  <c r="H655" i="12"/>
  <c r="I655" i="12" s="1"/>
  <c r="J655" i="12" s="1"/>
  <c r="K655" i="12" s="1"/>
  <c r="L655" i="12" s="1"/>
  <c r="M655" i="12" s="1"/>
  <c r="N655" i="12" s="1"/>
  <c r="B655" i="12"/>
  <c r="C655" i="12" s="1"/>
  <c r="H654" i="12"/>
  <c r="I654" i="12"/>
  <c r="J654" i="12"/>
  <c r="K654" i="12" s="1"/>
  <c r="L654" i="12" s="1"/>
  <c r="M654" i="12" s="1"/>
  <c r="N654" i="12" s="1"/>
  <c r="B654" i="12"/>
  <c r="C654" i="12" s="1"/>
  <c r="H653" i="12"/>
  <c r="I653" i="12"/>
  <c r="J653" i="12" s="1"/>
  <c r="K653" i="12" s="1"/>
  <c r="L653" i="12" s="1"/>
  <c r="M653" i="12" s="1"/>
  <c r="N653" i="12" s="1"/>
  <c r="B653" i="12"/>
  <c r="C653" i="12"/>
  <c r="H652" i="12"/>
  <c r="I652" i="12" s="1"/>
  <c r="J652" i="12" s="1"/>
  <c r="K652" i="12" s="1"/>
  <c r="L652" i="12" s="1"/>
  <c r="M652" i="12" s="1"/>
  <c r="N652" i="12" s="1"/>
  <c r="B652" i="12"/>
  <c r="C652" i="12"/>
  <c r="H651" i="12"/>
  <c r="I651" i="12" s="1"/>
  <c r="J651" i="12" s="1"/>
  <c r="K651" i="12" s="1"/>
  <c r="L651" i="12" s="1"/>
  <c r="M651" i="12" s="1"/>
  <c r="N651" i="12" s="1"/>
  <c r="B651" i="12"/>
  <c r="C651" i="12" s="1"/>
  <c r="H650" i="12"/>
  <c r="I650" i="12"/>
  <c r="J650" i="12"/>
  <c r="K650" i="12" s="1"/>
  <c r="L650" i="12" s="1"/>
  <c r="M650" i="12" s="1"/>
  <c r="N650" i="12" s="1"/>
  <c r="B650" i="12"/>
  <c r="C650" i="12" s="1"/>
  <c r="H649" i="12"/>
  <c r="I649" i="12"/>
  <c r="J649" i="12" s="1"/>
  <c r="K649" i="12" s="1"/>
  <c r="L649" i="12" s="1"/>
  <c r="M649" i="12" s="1"/>
  <c r="N649" i="12" s="1"/>
  <c r="B649" i="12"/>
  <c r="C649" i="12"/>
  <c r="H648" i="12"/>
  <c r="I648" i="12" s="1"/>
  <c r="J648" i="12" s="1"/>
  <c r="K648" i="12" s="1"/>
  <c r="L648" i="12" s="1"/>
  <c r="M648" i="12" s="1"/>
  <c r="N648" i="12" s="1"/>
  <c r="B648" i="12"/>
  <c r="C648" i="12"/>
  <c r="H647" i="12"/>
  <c r="I647" i="12" s="1"/>
  <c r="J647" i="12" s="1"/>
  <c r="K647" i="12" s="1"/>
  <c r="L647" i="12" s="1"/>
  <c r="M647" i="12" s="1"/>
  <c r="N647" i="12" s="1"/>
  <c r="B647" i="12"/>
  <c r="C647" i="12" s="1"/>
  <c r="H646" i="12"/>
  <c r="I646" i="12"/>
  <c r="J646" i="12"/>
  <c r="K646" i="12" s="1"/>
  <c r="L646" i="12" s="1"/>
  <c r="M646" i="12" s="1"/>
  <c r="N646" i="12" s="1"/>
  <c r="B646" i="12"/>
  <c r="C646" i="12" s="1"/>
  <c r="H645" i="12"/>
  <c r="I645" i="12"/>
  <c r="J645" i="12" s="1"/>
  <c r="K645" i="12" s="1"/>
  <c r="L645" i="12" s="1"/>
  <c r="M645" i="12" s="1"/>
  <c r="N645" i="12" s="1"/>
  <c r="B645" i="12"/>
  <c r="C645" i="12"/>
  <c r="H644" i="12"/>
  <c r="I644" i="12" s="1"/>
  <c r="J644" i="12" s="1"/>
  <c r="K644" i="12" s="1"/>
  <c r="L644" i="12" s="1"/>
  <c r="M644" i="12" s="1"/>
  <c r="N644" i="12" s="1"/>
  <c r="B644" i="12"/>
  <c r="C644" i="12"/>
  <c r="H643" i="12"/>
  <c r="I643" i="12" s="1"/>
  <c r="J643" i="12" s="1"/>
  <c r="K643" i="12" s="1"/>
  <c r="L643" i="12" s="1"/>
  <c r="M643" i="12" s="1"/>
  <c r="N643" i="12" s="1"/>
  <c r="B643" i="12"/>
  <c r="C643" i="12" s="1"/>
  <c r="H642" i="12"/>
  <c r="I642" i="12"/>
  <c r="J642" i="12"/>
  <c r="K642" i="12" s="1"/>
  <c r="L642" i="12" s="1"/>
  <c r="M642" i="12" s="1"/>
  <c r="N642" i="12" s="1"/>
  <c r="B642" i="12"/>
  <c r="C642" i="12" s="1"/>
  <c r="H641" i="12"/>
  <c r="I641" i="12"/>
  <c r="J641" i="12" s="1"/>
  <c r="K641" i="12" s="1"/>
  <c r="L641" i="12" s="1"/>
  <c r="M641" i="12" s="1"/>
  <c r="N641" i="12" s="1"/>
  <c r="B641" i="12"/>
  <c r="C641" i="12"/>
  <c r="H640" i="12"/>
  <c r="I640" i="12" s="1"/>
  <c r="J640" i="12" s="1"/>
  <c r="K640" i="12" s="1"/>
  <c r="L640" i="12" s="1"/>
  <c r="M640" i="12" s="1"/>
  <c r="N640" i="12" s="1"/>
  <c r="B640" i="12"/>
  <c r="C640" i="12"/>
  <c r="H639" i="12"/>
  <c r="I639" i="12" s="1"/>
  <c r="J639" i="12" s="1"/>
  <c r="K639" i="12" s="1"/>
  <c r="L639" i="12" s="1"/>
  <c r="M639" i="12" s="1"/>
  <c r="N639" i="12" s="1"/>
  <c r="B639" i="12"/>
  <c r="C639" i="12" s="1"/>
  <c r="H638" i="12"/>
  <c r="I638" i="12"/>
  <c r="J638" i="12"/>
  <c r="K638" i="12" s="1"/>
  <c r="L638" i="12" s="1"/>
  <c r="M638" i="12" s="1"/>
  <c r="N638" i="12" s="1"/>
  <c r="B638" i="12"/>
  <c r="C638" i="12" s="1"/>
  <c r="H637" i="12"/>
  <c r="I637" i="12"/>
  <c r="J637" i="12" s="1"/>
  <c r="K637" i="12" s="1"/>
  <c r="L637" i="12" s="1"/>
  <c r="M637" i="12" s="1"/>
  <c r="N637" i="12" s="1"/>
  <c r="B637" i="12"/>
  <c r="C637" i="12"/>
  <c r="H636" i="12"/>
  <c r="I636" i="12" s="1"/>
  <c r="J636" i="12" s="1"/>
  <c r="K636" i="12" s="1"/>
  <c r="L636" i="12" s="1"/>
  <c r="M636" i="12" s="1"/>
  <c r="N636" i="12" s="1"/>
  <c r="B636" i="12"/>
  <c r="C636" i="12"/>
  <c r="H635" i="12"/>
  <c r="I635" i="12" s="1"/>
  <c r="J635" i="12" s="1"/>
  <c r="K635" i="12" s="1"/>
  <c r="L635" i="12" s="1"/>
  <c r="M635" i="12" s="1"/>
  <c r="N635" i="12" s="1"/>
  <c r="B635" i="12"/>
  <c r="C635" i="12" s="1"/>
  <c r="H634" i="12"/>
  <c r="I634" i="12"/>
  <c r="J634" i="12"/>
  <c r="K634" i="12" s="1"/>
  <c r="L634" i="12" s="1"/>
  <c r="M634" i="12" s="1"/>
  <c r="N634" i="12" s="1"/>
  <c r="B634" i="12"/>
  <c r="C634" i="12" s="1"/>
  <c r="H633" i="12"/>
  <c r="I633" i="12"/>
  <c r="J633" i="12" s="1"/>
  <c r="K633" i="12" s="1"/>
  <c r="L633" i="12" s="1"/>
  <c r="M633" i="12" s="1"/>
  <c r="N633" i="12" s="1"/>
  <c r="B633" i="12"/>
  <c r="C633" i="12"/>
  <c r="H632" i="12"/>
  <c r="I632" i="12" s="1"/>
  <c r="J632" i="12" s="1"/>
  <c r="K632" i="12" s="1"/>
  <c r="L632" i="12" s="1"/>
  <c r="M632" i="12" s="1"/>
  <c r="N632" i="12" s="1"/>
  <c r="B632" i="12"/>
  <c r="C632" i="12"/>
  <c r="H631" i="12"/>
  <c r="I631" i="12" s="1"/>
  <c r="J631" i="12" s="1"/>
  <c r="K631" i="12" s="1"/>
  <c r="L631" i="12" s="1"/>
  <c r="M631" i="12" s="1"/>
  <c r="N631" i="12" s="1"/>
  <c r="B631" i="12"/>
  <c r="C631" i="12" s="1"/>
  <c r="H630" i="12"/>
  <c r="I630" i="12"/>
  <c r="J630" i="12"/>
  <c r="K630" i="12" s="1"/>
  <c r="L630" i="12" s="1"/>
  <c r="M630" i="12" s="1"/>
  <c r="N630" i="12" s="1"/>
  <c r="B630" i="12"/>
  <c r="C630" i="12" s="1"/>
  <c r="H629" i="12"/>
  <c r="I629" i="12"/>
  <c r="J629" i="12" s="1"/>
  <c r="K629" i="12" s="1"/>
  <c r="L629" i="12" s="1"/>
  <c r="M629" i="12" s="1"/>
  <c r="N629" i="12" s="1"/>
  <c r="B629" i="12"/>
  <c r="C629" i="12"/>
  <c r="H628" i="12"/>
  <c r="I628" i="12" s="1"/>
  <c r="J628" i="12" s="1"/>
  <c r="K628" i="12" s="1"/>
  <c r="L628" i="12" s="1"/>
  <c r="M628" i="12" s="1"/>
  <c r="N628" i="12" s="1"/>
  <c r="B628" i="12"/>
  <c r="C628" i="12"/>
  <c r="H627" i="12"/>
  <c r="I627" i="12" s="1"/>
  <c r="J627" i="12" s="1"/>
  <c r="K627" i="12" s="1"/>
  <c r="L627" i="12" s="1"/>
  <c r="M627" i="12" s="1"/>
  <c r="N627" i="12" s="1"/>
  <c r="B627" i="12"/>
  <c r="C627" i="12" s="1"/>
  <c r="H626" i="12"/>
  <c r="I626" i="12"/>
  <c r="J626" i="12"/>
  <c r="K626" i="12" s="1"/>
  <c r="L626" i="12" s="1"/>
  <c r="M626" i="12" s="1"/>
  <c r="N626" i="12" s="1"/>
  <c r="B626" i="12"/>
  <c r="C626" i="12" s="1"/>
  <c r="H625" i="12"/>
  <c r="I625" i="12"/>
  <c r="J625" i="12" s="1"/>
  <c r="K625" i="12" s="1"/>
  <c r="L625" i="12" s="1"/>
  <c r="M625" i="12" s="1"/>
  <c r="N625" i="12" s="1"/>
  <c r="B625" i="12"/>
  <c r="C625" i="12"/>
  <c r="H624" i="12"/>
  <c r="I624" i="12" s="1"/>
  <c r="J624" i="12" s="1"/>
  <c r="K624" i="12" s="1"/>
  <c r="L624" i="12" s="1"/>
  <c r="M624" i="12" s="1"/>
  <c r="N624" i="12" s="1"/>
  <c r="B624" i="12"/>
  <c r="C624" i="12"/>
  <c r="H623" i="12"/>
  <c r="I623" i="12" s="1"/>
  <c r="J623" i="12" s="1"/>
  <c r="K623" i="12" s="1"/>
  <c r="L623" i="12" s="1"/>
  <c r="M623" i="12" s="1"/>
  <c r="N623" i="12" s="1"/>
  <c r="B623" i="12"/>
  <c r="C623" i="12" s="1"/>
  <c r="H622" i="12"/>
  <c r="I622" i="12"/>
  <c r="J622" i="12"/>
  <c r="K622" i="12" s="1"/>
  <c r="L622" i="12" s="1"/>
  <c r="M622" i="12" s="1"/>
  <c r="N622" i="12" s="1"/>
  <c r="B622" i="12"/>
  <c r="C622" i="12" s="1"/>
  <c r="H621" i="12"/>
  <c r="I621" i="12"/>
  <c r="J621" i="12" s="1"/>
  <c r="K621" i="12" s="1"/>
  <c r="L621" i="12" s="1"/>
  <c r="M621" i="12" s="1"/>
  <c r="N621" i="12" s="1"/>
  <c r="B621" i="12"/>
  <c r="C621" i="12"/>
  <c r="H620" i="12"/>
  <c r="I620" i="12" s="1"/>
  <c r="J620" i="12" s="1"/>
  <c r="K620" i="12" s="1"/>
  <c r="L620" i="12" s="1"/>
  <c r="M620" i="12" s="1"/>
  <c r="N620" i="12" s="1"/>
  <c r="B620" i="12"/>
  <c r="C620" i="12"/>
  <c r="H619" i="12"/>
  <c r="I619" i="12" s="1"/>
  <c r="J619" i="12" s="1"/>
  <c r="K619" i="12" s="1"/>
  <c r="L619" i="12" s="1"/>
  <c r="M619" i="12" s="1"/>
  <c r="N619" i="12" s="1"/>
  <c r="B619" i="12"/>
  <c r="C619" i="12" s="1"/>
  <c r="H618" i="12"/>
  <c r="I618" i="12"/>
  <c r="J618" i="12"/>
  <c r="K618" i="12" s="1"/>
  <c r="L618" i="12" s="1"/>
  <c r="M618" i="12" s="1"/>
  <c r="N618" i="12" s="1"/>
  <c r="B618" i="12"/>
  <c r="C618" i="12" s="1"/>
  <c r="H617" i="12"/>
  <c r="I617" i="12"/>
  <c r="J617" i="12" s="1"/>
  <c r="K617" i="12" s="1"/>
  <c r="L617" i="12" s="1"/>
  <c r="M617" i="12" s="1"/>
  <c r="N617" i="12" s="1"/>
  <c r="B617" i="12"/>
  <c r="C617" i="12"/>
  <c r="H616" i="12"/>
  <c r="I616" i="12" s="1"/>
  <c r="J616" i="12" s="1"/>
  <c r="K616" i="12" s="1"/>
  <c r="L616" i="12" s="1"/>
  <c r="M616" i="12" s="1"/>
  <c r="N616" i="12" s="1"/>
  <c r="B616" i="12"/>
  <c r="C616" i="12"/>
  <c r="H615" i="12"/>
  <c r="I615" i="12" s="1"/>
  <c r="J615" i="12" s="1"/>
  <c r="K615" i="12" s="1"/>
  <c r="L615" i="12" s="1"/>
  <c r="M615" i="12" s="1"/>
  <c r="N615" i="12" s="1"/>
  <c r="B615" i="12"/>
  <c r="C615" i="12" s="1"/>
  <c r="H614" i="12"/>
  <c r="I614" i="12"/>
  <c r="J614" i="12"/>
  <c r="K614" i="12" s="1"/>
  <c r="L614" i="12" s="1"/>
  <c r="M614" i="12" s="1"/>
  <c r="N614" i="12" s="1"/>
  <c r="B614" i="12"/>
  <c r="C614" i="12" s="1"/>
  <c r="H613" i="12"/>
  <c r="I613" i="12"/>
  <c r="J613" i="12" s="1"/>
  <c r="K613" i="12" s="1"/>
  <c r="L613" i="12" s="1"/>
  <c r="M613" i="12" s="1"/>
  <c r="N613" i="12" s="1"/>
  <c r="B613" i="12"/>
  <c r="C613" i="12"/>
  <c r="H612" i="12"/>
  <c r="I612" i="12" s="1"/>
  <c r="J612" i="12" s="1"/>
  <c r="K612" i="12" s="1"/>
  <c r="L612" i="12" s="1"/>
  <c r="M612" i="12" s="1"/>
  <c r="N612" i="12" s="1"/>
  <c r="B612" i="12"/>
  <c r="C612" i="12"/>
  <c r="H611" i="12"/>
  <c r="I611" i="12" s="1"/>
  <c r="J611" i="12" s="1"/>
  <c r="K611" i="12" s="1"/>
  <c r="L611" i="12" s="1"/>
  <c r="M611" i="12" s="1"/>
  <c r="N611" i="12" s="1"/>
  <c r="B611" i="12"/>
  <c r="C611" i="12" s="1"/>
  <c r="H610" i="12"/>
  <c r="I610" i="12"/>
  <c r="J610" i="12"/>
  <c r="K610" i="12" s="1"/>
  <c r="L610" i="12" s="1"/>
  <c r="M610" i="12" s="1"/>
  <c r="N610" i="12" s="1"/>
  <c r="B610" i="12"/>
  <c r="C610" i="12" s="1"/>
  <c r="H609" i="12"/>
  <c r="I609" i="12"/>
  <c r="J609" i="12" s="1"/>
  <c r="K609" i="12" s="1"/>
  <c r="L609" i="12" s="1"/>
  <c r="M609" i="12" s="1"/>
  <c r="N609" i="12" s="1"/>
  <c r="B609" i="12"/>
  <c r="C609" i="12"/>
  <c r="H608" i="12"/>
  <c r="I608" i="12" s="1"/>
  <c r="J608" i="12" s="1"/>
  <c r="K608" i="12" s="1"/>
  <c r="L608" i="12" s="1"/>
  <c r="M608" i="12" s="1"/>
  <c r="N608" i="12" s="1"/>
  <c r="B608" i="12"/>
  <c r="C608" i="12"/>
  <c r="H607" i="12"/>
  <c r="I607" i="12" s="1"/>
  <c r="J607" i="12" s="1"/>
  <c r="K607" i="12" s="1"/>
  <c r="L607" i="12" s="1"/>
  <c r="M607" i="12" s="1"/>
  <c r="N607" i="12" s="1"/>
  <c r="B607" i="12"/>
  <c r="C607" i="12" s="1"/>
  <c r="H606" i="12"/>
  <c r="I606" i="12"/>
  <c r="J606" i="12"/>
  <c r="K606" i="12" s="1"/>
  <c r="L606" i="12" s="1"/>
  <c r="M606" i="12" s="1"/>
  <c r="N606" i="12" s="1"/>
  <c r="B606" i="12"/>
  <c r="C606" i="12" s="1"/>
  <c r="H605" i="12"/>
  <c r="I605" i="12"/>
  <c r="J605" i="12" s="1"/>
  <c r="K605" i="12" s="1"/>
  <c r="L605" i="12" s="1"/>
  <c r="M605" i="12" s="1"/>
  <c r="N605" i="12" s="1"/>
  <c r="B605" i="12"/>
  <c r="C605" i="12"/>
  <c r="H604" i="12"/>
  <c r="I604" i="12" s="1"/>
  <c r="J604" i="12" s="1"/>
  <c r="K604" i="12" s="1"/>
  <c r="L604" i="12" s="1"/>
  <c r="M604" i="12" s="1"/>
  <c r="N604" i="12" s="1"/>
  <c r="B604" i="12"/>
  <c r="C604" i="12"/>
  <c r="H603" i="12"/>
  <c r="I603" i="12" s="1"/>
  <c r="J603" i="12" s="1"/>
  <c r="K603" i="12" s="1"/>
  <c r="L603" i="12" s="1"/>
  <c r="M603" i="12" s="1"/>
  <c r="N603" i="12" s="1"/>
  <c r="B603" i="12"/>
  <c r="C603" i="12" s="1"/>
  <c r="H602" i="12"/>
  <c r="I602" i="12"/>
  <c r="J602" i="12"/>
  <c r="K602" i="12" s="1"/>
  <c r="L602" i="12" s="1"/>
  <c r="M602" i="12" s="1"/>
  <c r="N602" i="12" s="1"/>
  <c r="B602" i="12"/>
  <c r="C602" i="12" s="1"/>
  <c r="H601" i="12"/>
  <c r="I601" i="12"/>
  <c r="J601" i="12" s="1"/>
  <c r="K601" i="12" s="1"/>
  <c r="L601" i="12" s="1"/>
  <c r="M601" i="12" s="1"/>
  <c r="N601" i="12" s="1"/>
  <c r="B601" i="12"/>
  <c r="C601" i="12"/>
  <c r="H600" i="12"/>
  <c r="I600" i="12" s="1"/>
  <c r="J600" i="12" s="1"/>
  <c r="K600" i="12" s="1"/>
  <c r="L600" i="12" s="1"/>
  <c r="M600" i="12" s="1"/>
  <c r="N600" i="12" s="1"/>
  <c r="B600" i="12"/>
  <c r="C600" i="12"/>
  <c r="H599" i="12"/>
  <c r="I599" i="12" s="1"/>
  <c r="J599" i="12" s="1"/>
  <c r="K599" i="12" s="1"/>
  <c r="L599" i="12" s="1"/>
  <c r="M599" i="12" s="1"/>
  <c r="N599" i="12" s="1"/>
  <c r="B599" i="12"/>
  <c r="C599" i="12" s="1"/>
  <c r="H598" i="12"/>
  <c r="I598" i="12" s="1"/>
  <c r="J598" i="12" s="1"/>
  <c r="K598" i="12" s="1"/>
  <c r="L598" i="12" s="1"/>
  <c r="M598" i="12" s="1"/>
  <c r="N598" i="12" s="1"/>
  <c r="B598" i="12"/>
  <c r="C598" i="12" s="1"/>
  <c r="H597" i="12"/>
  <c r="I597" i="12"/>
  <c r="J597" i="12" s="1"/>
  <c r="K597" i="12" s="1"/>
  <c r="L597" i="12" s="1"/>
  <c r="M597" i="12" s="1"/>
  <c r="N597" i="12" s="1"/>
  <c r="B597" i="12"/>
  <c r="C597" i="12"/>
  <c r="H596" i="12"/>
  <c r="I596" i="12" s="1"/>
  <c r="J596" i="12" s="1"/>
  <c r="K596" i="12" s="1"/>
  <c r="L596" i="12" s="1"/>
  <c r="M596" i="12" s="1"/>
  <c r="N596" i="12" s="1"/>
  <c r="B596" i="12"/>
  <c r="C596" i="12"/>
  <c r="H595" i="12"/>
  <c r="I595" i="12" s="1"/>
  <c r="J595" i="12" s="1"/>
  <c r="K595" i="12" s="1"/>
  <c r="L595" i="12" s="1"/>
  <c r="M595" i="12" s="1"/>
  <c r="N595" i="12" s="1"/>
  <c r="B595" i="12"/>
  <c r="C595" i="12" s="1"/>
  <c r="H594" i="12"/>
  <c r="I594" i="12"/>
  <c r="J594" i="12"/>
  <c r="K594" i="12" s="1"/>
  <c r="L594" i="12" s="1"/>
  <c r="M594" i="12" s="1"/>
  <c r="N594" i="12" s="1"/>
  <c r="B594" i="12"/>
  <c r="C594" i="12" s="1"/>
  <c r="H593" i="12"/>
  <c r="I593" i="12"/>
  <c r="J593" i="12" s="1"/>
  <c r="K593" i="12" s="1"/>
  <c r="L593" i="12" s="1"/>
  <c r="M593" i="12" s="1"/>
  <c r="N593" i="12" s="1"/>
  <c r="B593" i="12"/>
  <c r="C593" i="12"/>
  <c r="H592" i="12"/>
  <c r="I592" i="12" s="1"/>
  <c r="J592" i="12" s="1"/>
  <c r="K592" i="12" s="1"/>
  <c r="L592" i="12" s="1"/>
  <c r="M592" i="12" s="1"/>
  <c r="N592" i="12" s="1"/>
  <c r="B592" i="12"/>
  <c r="C592" i="12"/>
  <c r="H591" i="12"/>
  <c r="I591" i="12" s="1"/>
  <c r="J591" i="12" s="1"/>
  <c r="K591" i="12" s="1"/>
  <c r="L591" i="12" s="1"/>
  <c r="M591" i="12" s="1"/>
  <c r="N591" i="12" s="1"/>
  <c r="B591" i="12"/>
  <c r="C591" i="12" s="1"/>
  <c r="H590" i="12"/>
  <c r="I590" i="12"/>
  <c r="J590" i="12"/>
  <c r="K590" i="12" s="1"/>
  <c r="L590" i="12" s="1"/>
  <c r="M590" i="12" s="1"/>
  <c r="N590" i="12" s="1"/>
  <c r="B590" i="12"/>
  <c r="C590" i="12" s="1"/>
  <c r="H589" i="12"/>
  <c r="I589" i="12"/>
  <c r="J589" i="12" s="1"/>
  <c r="K589" i="12" s="1"/>
  <c r="L589" i="12" s="1"/>
  <c r="M589" i="12" s="1"/>
  <c r="N589" i="12" s="1"/>
  <c r="B589" i="12"/>
  <c r="C589" i="12"/>
  <c r="H588" i="12"/>
  <c r="I588" i="12" s="1"/>
  <c r="J588" i="12" s="1"/>
  <c r="K588" i="12" s="1"/>
  <c r="L588" i="12" s="1"/>
  <c r="M588" i="12" s="1"/>
  <c r="N588" i="12" s="1"/>
  <c r="B588" i="12"/>
  <c r="C588" i="12"/>
  <c r="H587" i="12"/>
  <c r="I587" i="12" s="1"/>
  <c r="J587" i="12" s="1"/>
  <c r="K587" i="12" s="1"/>
  <c r="L587" i="12" s="1"/>
  <c r="M587" i="12" s="1"/>
  <c r="N587" i="12" s="1"/>
  <c r="B587" i="12"/>
  <c r="C587" i="12" s="1"/>
  <c r="H586" i="12"/>
  <c r="I586" i="12"/>
  <c r="J586" i="12"/>
  <c r="K586" i="12" s="1"/>
  <c r="L586" i="12" s="1"/>
  <c r="M586" i="12" s="1"/>
  <c r="N586" i="12" s="1"/>
  <c r="B586" i="12"/>
  <c r="C586" i="12" s="1"/>
  <c r="H585" i="12"/>
  <c r="I585" i="12"/>
  <c r="J585" i="12" s="1"/>
  <c r="K585" i="12" s="1"/>
  <c r="L585" i="12" s="1"/>
  <c r="M585" i="12" s="1"/>
  <c r="N585" i="12" s="1"/>
  <c r="B585" i="12"/>
  <c r="C585" i="12"/>
  <c r="H584" i="12"/>
  <c r="I584" i="12" s="1"/>
  <c r="J584" i="12" s="1"/>
  <c r="K584" i="12" s="1"/>
  <c r="L584" i="12" s="1"/>
  <c r="M584" i="12" s="1"/>
  <c r="N584" i="12" s="1"/>
  <c r="B584" i="12"/>
  <c r="C584" i="12"/>
  <c r="H583" i="12"/>
  <c r="I583" i="12" s="1"/>
  <c r="J583" i="12" s="1"/>
  <c r="K583" i="12" s="1"/>
  <c r="L583" i="12" s="1"/>
  <c r="M583" i="12" s="1"/>
  <c r="N583" i="12" s="1"/>
  <c r="B583" i="12"/>
  <c r="C583" i="12" s="1"/>
  <c r="H582" i="12"/>
  <c r="I582" i="12"/>
  <c r="J582" i="12"/>
  <c r="K582" i="12" s="1"/>
  <c r="L582" i="12" s="1"/>
  <c r="M582" i="12" s="1"/>
  <c r="N582" i="12" s="1"/>
  <c r="B582" i="12"/>
  <c r="C582" i="12" s="1"/>
  <c r="H581" i="12"/>
  <c r="I581" i="12"/>
  <c r="J581" i="12" s="1"/>
  <c r="K581" i="12" s="1"/>
  <c r="L581" i="12" s="1"/>
  <c r="M581" i="12" s="1"/>
  <c r="N581" i="12" s="1"/>
  <c r="B581" i="12"/>
  <c r="C581" i="12"/>
  <c r="H580" i="12"/>
  <c r="I580" i="12" s="1"/>
  <c r="J580" i="12" s="1"/>
  <c r="K580" i="12" s="1"/>
  <c r="L580" i="12" s="1"/>
  <c r="M580" i="12" s="1"/>
  <c r="N580" i="12" s="1"/>
  <c r="B580" i="12"/>
  <c r="C580" i="12"/>
  <c r="H579" i="12"/>
  <c r="I579" i="12" s="1"/>
  <c r="J579" i="12" s="1"/>
  <c r="K579" i="12" s="1"/>
  <c r="L579" i="12" s="1"/>
  <c r="M579" i="12" s="1"/>
  <c r="N579" i="12" s="1"/>
  <c r="B579" i="12"/>
  <c r="C579" i="12" s="1"/>
  <c r="H578" i="12"/>
  <c r="I578" i="12"/>
  <c r="J578" i="12"/>
  <c r="K578" i="12" s="1"/>
  <c r="L578" i="12" s="1"/>
  <c r="M578" i="12" s="1"/>
  <c r="N578" i="12" s="1"/>
  <c r="B578" i="12"/>
  <c r="C578" i="12" s="1"/>
  <c r="H577" i="12"/>
  <c r="I577" i="12"/>
  <c r="J577" i="12" s="1"/>
  <c r="K577" i="12" s="1"/>
  <c r="L577" i="12" s="1"/>
  <c r="M577" i="12" s="1"/>
  <c r="N577" i="12" s="1"/>
  <c r="B577" i="12"/>
  <c r="C577" i="12"/>
  <c r="H576" i="12"/>
  <c r="I576" i="12" s="1"/>
  <c r="J576" i="12" s="1"/>
  <c r="K576" i="12" s="1"/>
  <c r="L576" i="12" s="1"/>
  <c r="M576" i="12" s="1"/>
  <c r="N576" i="12" s="1"/>
  <c r="B576" i="12"/>
  <c r="C576" i="12"/>
  <c r="H575" i="12"/>
  <c r="I575" i="12" s="1"/>
  <c r="J575" i="12" s="1"/>
  <c r="K575" i="12" s="1"/>
  <c r="L575" i="12" s="1"/>
  <c r="M575" i="12" s="1"/>
  <c r="N575" i="12" s="1"/>
  <c r="B575" i="12"/>
  <c r="C575" i="12" s="1"/>
  <c r="H574" i="12"/>
  <c r="I574" i="12"/>
  <c r="J574" i="12"/>
  <c r="K574" i="12" s="1"/>
  <c r="L574" i="12" s="1"/>
  <c r="M574" i="12" s="1"/>
  <c r="N574" i="12" s="1"/>
  <c r="B574" i="12"/>
  <c r="C574" i="12" s="1"/>
  <c r="H573" i="12"/>
  <c r="I573" i="12"/>
  <c r="J573" i="12" s="1"/>
  <c r="K573" i="12" s="1"/>
  <c r="L573" i="12" s="1"/>
  <c r="M573" i="12" s="1"/>
  <c r="N573" i="12" s="1"/>
  <c r="B573" i="12"/>
  <c r="C573" i="12"/>
  <c r="H572" i="12"/>
  <c r="I572" i="12" s="1"/>
  <c r="J572" i="12" s="1"/>
  <c r="K572" i="12" s="1"/>
  <c r="L572" i="12" s="1"/>
  <c r="M572" i="12" s="1"/>
  <c r="N572" i="12" s="1"/>
  <c r="B572" i="12"/>
  <c r="C572" i="12"/>
  <c r="H571" i="12"/>
  <c r="I571" i="12" s="1"/>
  <c r="J571" i="12" s="1"/>
  <c r="K571" i="12" s="1"/>
  <c r="L571" i="12" s="1"/>
  <c r="M571" i="12" s="1"/>
  <c r="N571" i="12" s="1"/>
  <c r="B571" i="12"/>
  <c r="C571" i="12" s="1"/>
  <c r="H570" i="12"/>
  <c r="I570" i="12"/>
  <c r="J570" i="12"/>
  <c r="K570" i="12" s="1"/>
  <c r="L570" i="12" s="1"/>
  <c r="M570" i="12" s="1"/>
  <c r="N570" i="12" s="1"/>
  <c r="B570" i="12"/>
  <c r="C570" i="12" s="1"/>
  <c r="H569" i="12"/>
  <c r="I569" i="12"/>
  <c r="J569" i="12" s="1"/>
  <c r="K569" i="12" s="1"/>
  <c r="L569" i="12" s="1"/>
  <c r="M569" i="12" s="1"/>
  <c r="N569" i="12" s="1"/>
  <c r="B569" i="12"/>
  <c r="C569" i="12"/>
  <c r="H568" i="12"/>
  <c r="I568" i="12" s="1"/>
  <c r="J568" i="12" s="1"/>
  <c r="K568" i="12" s="1"/>
  <c r="L568" i="12" s="1"/>
  <c r="M568" i="12" s="1"/>
  <c r="N568" i="12" s="1"/>
  <c r="B568" i="12"/>
  <c r="C568" i="12"/>
  <c r="H567" i="12"/>
  <c r="I567" i="12" s="1"/>
  <c r="J567" i="12" s="1"/>
  <c r="K567" i="12" s="1"/>
  <c r="L567" i="12" s="1"/>
  <c r="M567" i="12" s="1"/>
  <c r="N567" i="12" s="1"/>
  <c r="B567" i="12"/>
  <c r="C567" i="12" s="1"/>
  <c r="H566" i="12"/>
  <c r="I566" i="12" s="1"/>
  <c r="J566" i="12" s="1"/>
  <c r="K566" i="12" s="1"/>
  <c r="L566" i="12" s="1"/>
  <c r="M566" i="12" s="1"/>
  <c r="N566" i="12" s="1"/>
  <c r="B566" i="12"/>
  <c r="C566" i="12" s="1"/>
  <c r="H565" i="12"/>
  <c r="I565" i="12"/>
  <c r="J565" i="12" s="1"/>
  <c r="K565" i="12" s="1"/>
  <c r="L565" i="12" s="1"/>
  <c r="M565" i="12" s="1"/>
  <c r="N565" i="12" s="1"/>
  <c r="B565" i="12"/>
  <c r="C565" i="12"/>
  <c r="H564" i="12"/>
  <c r="I564" i="12" s="1"/>
  <c r="J564" i="12" s="1"/>
  <c r="K564" i="12" s="1"/>
  <c r="L564" i="12" s="1"/>
  <c r="M564" i="12" s="1"/>
  <c r="N564" i="12" s="1"/>
  <c r="B564" i="12"/>
  <c r="C564" i="12"/>
  <c r="H563" i="12"/>
  <c r="I563" i="12" s="1"/>
  <c r="J563" i="12" s="1"/>
  <c r="K563" i="12" s="1"/>
  <c r="L563" i="12" s="1"/>
  <c r="M563" i="12" s="1"/>
  <c r="N563" i="12" s="1"/>
  <c r="B563" i="12"/>
  <c r="C563" i="12" s="1"/>
  <c r="H562" i="12"/>
  <c r="I562" i="12"/>
  <c r="J562" i="12"/>
  <c r="K562" i="12" s="1"/>
  <c r="L562" i="12" s="1"/>
  <c r="M562" i="12" s="1"/>
  <c r="N562" i="12" s="1"/>
  <c r="B562" i="12"/>
  <c r="C562" i="12" s="1"/>
  <c r="H561" i="12"/>
  <c r="I561" i="12"/>
  <c r="J561" i="12" s="1"/>
  <c r="K561" i="12" s="1"/>
  <c r="L561" i="12" s="1"/>
  <c r="M561" i="12" s="1"/>
  <c r="N561" i="12" s="1"/>
  <c r="B561" i="12"/>
  <c r="C561" i="12"/>
  <c r="H560" i="12"/>
  <c r="I560" i="12" s="1"/>
  <c r="J560" i="12" s="1"/>
  <c r="K560" i="12" s="1"/>
  <c r="L560" i="12" s="1"/>
  <c r="M560" i="12" s="1"/>
  <c r="N560" i="12" s="1"/>
  <c r="B560" i="12"/>
  <c r="C560" i="12"/>
  <c r="H559" i="12"/>
  <c r="I559" i="12" s="1"/>
  <c r="J559" i="12" s="1"/>
  <c r="K559" i="12" s="1"/>
  <c r="L559" i="12" s="1"/>
  <c r="M559" i="12" s="1"/>
  <c r="N559" i="12" s="1"/>
  <c r="B559" i="12"/>
  <c r="C559" i="12" s="1"/>
  <c r="H558" i="12"/>
  <c r="I558" i="12"/>
  <c r="J558" i="12"/>
  <c r="K558" i="12" s="1"/>
  <c r="L558" i="12" s="1"/>
  <c r="M558" i="12" s="1"/>
  <c r="N558" i="12" s="1"/>
  <c r="B558" i="12"/>
  <c r="C558" i="12" s="1"/>
  <c r="H557" i="12"/>
  <c r="I557" i="12"/>
  <c r="J557" i="12" s="1"/>
  <c r="K557" i="12" s="1"/>
  <c r="L557" i="12" s="1"/>
  <c r="M557" i="12" s="1"/>
  <c r="N557" i="12" s="1"/>
  <c r="B557" i="12"/>
  <c r="C557" i="12"/>
  <c r="H556" i="12"/>
  <c r="I556" i="12" s="1"/>
  <c r="J556" i="12" s="1"/>
  <c r="K556" i="12" s="1"/>
  <c r="L556" i="12" s="1"/>
  <c r="M556" i="12" s="1"/>
  <c r="N556" i="12" s="1"/>
  <c r="B556" i="12"/>
  <c r="C556" i="12"/>
  <c r="H555" i="12"/>
  <c r="I555" i="12" s="1"/>
  <c r="J555" i="12" s="1"/>
  <c r="K555" i="12" s="1"/>
  <c r="L555" i="12" s="1"/>
  <c r="M555" i="12" s="1"/>
  <c r="N555" i="12" s="1"/>
  <c r="B555" i="12"/>
  <c r="C555" i="12" s="1"/>
  <c r="H554" i="12"/>
  <c r="I554" i="12"/>
  <c r="J554" i="12"/>
  <c r="K554" i="12" s="1"/>
  <c r="L554" i="12" s="1"/>
  <c r="M554" i="12" s="1"/>
  <c r="N554" i="12" s="1"/>
  <c r="B554" i="12"/>
  <c r="C554" i="12" s="1"/>
  <c r="H553" i="12"/>
  <c r="I553" i="12"/>
  <c r="J553" i="12" s="1"/>
  <c r="K553" i="12" s="1"/>
  <c r="L553" i="12" s="1"/>
  <c r="M553" i="12" s="1"/>
  <c r="N553" i="12" s="1"/>
  <c r="B553" i="12"/>
  <c r="C553" i="12"/>
  <c r="H552" i="12"/>
  <c r="I552" i="12" s="1"/>
  <c r="J552" i="12" s="1"/>
  <c r="K552" i="12" s="1"/>
  <c r="L552" i="12" s="1"/>
  <c r="M552" i="12" s="1"/>
  <c r="N552" i="12" s="1"/>
  <c r="B552" i="12"/>
  <c r="C552" i="12"/>
  <c r="H551" i="12"/>
  <c r="I551" i="12" s="1"/>
  <c r="J551" i="12" s="1"/>
  <c r="K551" i="12" s="1"/>
  <c r="L551" i="12" s="1"/>
  <c r="M551" i="12" s="1"/>
  <c r="N551" i="12" s="1"/>
  <c r="B551" i="12"/>
  <c r="C551" i="12" s="1"/>
  <c r="H550" i="12"/>
  <c r="I550" i="12"/>
  <c r="J550" i="12"/>
  <c r="K550" i="12" s="1"/>
  <c r="L550" i="12" s="1"/>
  <c r="M550" i="12" s="1"/>
  <c r="N550" i="12" s="1"/>
  <c r="B550" i="12"/>
  <c r="C550" i="12" s="1"/>
  <c r="H549" i="12"/>
  <c r="I549" i="12"/>
  <c r="J549" i="12" s="1"/>
  <c r="K549" i="12" s="1"/>
  <c r="L549" i="12" s="1"/>
  <c r="M549" i="12" s="1"/>
  <c r="N549" i="12" s="1"/>
  <c r="B549" i="12"/>
  <c r="C549" i="12"/>
  <c r="H548" i="12"/>
  <c r="I548" i="12" s="1"/>
  <c r="J548" i="12" s="1"/>
  <c r="K548" i="12" s="1"/>
  <c r="L548" i="12" s="1"/>
  <c r="M548" i="12" s="1"/>
  <c r="N548" i="12" s="1"/>
  <c r="B548" i="12"/>
  <c r="C548" i="12"/>
  <c r="H547" i="12"/>
  <c r="I547" i="12" s="1"/>
  <c r="J547" i="12" s="1"/>
  <c r="K547" i="12" s="1"/>
  <c r="L547" i="12" s="1"/>
  <c r="M547" i="12" s="1"/>
  <c r="N547" i="12" s="1"/>
  <c r="B547" i="12"/>
  <c r="C547" i="12" s="1"/>
  <c r="H546" i="12"/>
  <c r="I546" i="12"/>
  <c r="J546" i="12"/>
  <c r="K546" i="12" s="1"/>
  <c r="L546" i="12" s="1"/>
  <c r="M546" i="12" s="1"/>
  <c r="N546" i="12" s="1"/>
  <c r="B546" i="12"/>
  <c r="C546" i="12" s="1"/>
  <c r="H545" i="12"/>
  <c r="I545" i="12"/>
  <c r="J545" i="12" s="1"/>
  <c r="K545" i="12" s="1"/>
  <c r="L545" i="12" s="1"/>
  <c r="M545" i="12" s="1"/>
  <c r="N545" i="12" s="1"/>
  <c r="B545" i="12"/>
  <c r="C545" i="12"/>
  <c r="H544" i="12"/>
  <c r="I544" i="12" s="1"/>
  <c r="J544" i="12" s="1"/>
  <c r="K544" i="12" s="1"/>
  <c r="L544" i="12" s="1"/>
  <c r="M544" i="12" s="1"/>
  <c r="N544" i="12" s="1"/>
  <c r="B544" i="12"/>
  <c r="C544" i="12"/>
  <c r="H543" i="12"/>
  <c r="I543" i="12" s="1"/>
  <c r="J543" i="12" s="1"/>
  <c r="K543" i="12" s="1"/>
  <c r="L543" i="12" s="1"/>
  <c r="M543" i="12" s="1"/>
  <c r="N543" i="12" s="1"/>
  <c r="B543" i="12"/>
  <c r="C543" i="12" s="1"/>
  <c r="H542" i="12"/>
  <c r="I542" i="12"/>
  <c r="J542" i="12"/>
  <c r="K542" i="12" s="1"/>
  <c r="L542" i="12" s="1"/>
  <c r="M542" i="12" s="1"/>
  <c r="N542" i="12" s="1"/>
  <c r="B542" i="12"/>
  <c r="C542" i="12" s="1"/>
  <c r="H541" i="12"/>
  <c r="I541" i="12"/>
  <c r="J541" i="12" s="1"/>
  <c r="K541" i="12" s="1"/>
  <c r="L541" i="12" s="1"/>
  <c r="M541" i="12" s="1"/>
  <c r="N541" i="12" s="1"/>
  <c r="B541" i="12"/>
  <c r="C541" i="12"/>
  <c r="H540" i="12"/>
  <c r="I540" i="12" s="1"/>
  <c r="J540" i="12" s="1"/>
  <c r="K540" i="12" s="1"/>
  <c r="L540" i="12" s="1"/>
  <c r="M540" i="12" s="1"/>
  <c r="N540" i="12" s="1"/>
  <c r="B540" i="12"/>
  <c r="C540" i="12"/>
  <c r="H539" i="12"/>
  <c r="I539" i="12" s="1"/>
  <c r="J539" i="12" s="1"/>
  <c r="K539" i="12" s="1"/>
  <c r="L539" i="12" s="1"/>
  <c r="M539" i="12" s="1"/>
  <c r="N539" i="12" s="1"/>
  <c r="B539" i="12"/>
  <c r="C539" i="12" s="1"/>
  <c r="H538" i="12"/>
  <c r="I538" i="12" s="1"/>
  <c r="J538" i="12" s="1"/>
  <c r="K538" i="12" s="1"/>
  <c r="L538" i="12" s="1"/>
  <c r="M538" i="12" s="1"/>
  <c r="N538" i="12" s="1"/>
  <c r="B538" i="12"/>
  <c r="C538" i="12" s="1"/>
  <c r="H537" i="12"/>
  <c r="I537" i="12"/>
  <c r="J537" i="12" s="1"/>
  <c r="K537" i="12" s="1"/>
  <c r="L537" i="12" s="1"/>
  <c r="M537" i="12" s="1"/>
  <c r="N537" i="12" s="1"/>
  <c r="B537" i="12"/>
  <c r="C537" i="12"/>
  <c r="H536" i="12"/>
  <c r="I536" i="12" s="1"/>
  <c r="J536" i="12" s="1"/>
  <c r="K536" i="12" s="1"/>
  <c r="L536" i="12" s="1"/>
  <c r="M536" i="12" s="1"/>
  <c r="N536" i="12" s="1"/>
  <c r="B536" i="12"/>
  <c r="C536" i="12"/>
  <c r="H535" i="12"/>
  <c r="I535" i="12" s="1"/>
  <c r="J535" i="12" s="1"/>
  <c r="K535" i="12" s="1"/>
  <c r="L535" i="12" s="1"/>
  <c r="M535" i="12" s="1"/>
  <c r="N535" i="12" s="1"/>
  <c r="B535" i="12"/>
  <c r="C535" i="12" s="1"/>
  <c r="H534" i="12"/>
  <c r="I534" i="12" s="1"/>
  <c r="J534" i="12" s="1"/>
  <c r="K534" i="12" s="1"/>
  <c r="L534" i="12" s="1"/>
  <c r="M534" i="12" s="1"/>
  <c r="N534" i="12" s="1"/>
  <c r="B534" i="12"/>
  <c r="C534" i="12" s="1"/>
  <c r="H533" i="12"/>
  <c r="I533" i="12"/>
  <c r="J533" i="12" s="1"/>
  <c r="K533" i="12" s="1"/>
  <c r="L533" i="12" s="1"/>
  <c r="M533" i="12" s="1"/>
  <c r="N533" i="12" s="1"/>
  <c r="B533" i="12"/>
  <c r="C533" i="12"/>
  <c r="H532" i="12"/>
  <c r="I532" i="12" s="1"/>
  <c r="J532" i="12" s="1"/>
  <c r="K532" i="12" s="1"/>
  <c r="L532" i="12" s="1"/>
  <c r="M532" i="12" s="1"/>
  <c r="N532" i="12" s="1"/>
  <c r="B532" i="12"/>
  <c r="C532" i="12"/>
  <c r="H531" i="12"/>
  <c r="I531" i="12" s="1"/>
  <c r="J531" i="12" s="1"/>
  <c r="K531" i="12" s="1"/>
  <c r="L531" i="12" s="1"/>
  <c r="M531" i="12" s="1"/>
  <c r="N531" i="12" s="1"/>
  <c r="B531" i="12"/>
  <c r="C531" i="12" s="1"/>
  <c r="H530" i="12"/>
  <c r="I530" i="12" s="1"/>
  <c r="J530" i="12" s="1"/>
  <c r="K530" i="12" s="1"/>
  <c r="L530" i="12" s="1"/>
  <c r="M530" i="12" s="1"/>
  <c r="N530" i="12" s="1"/>
  <c r="B530" i="12"/>
  <c r="C530" i="12" s="1"/>
  <c r="H529" i="12"/>
  <c r="I529" i="12"/>
  <c r="J529" i="12" s="1"/>
  <c r="K529" i="12" s="1"/>
  <c r="L529" i="12" s="1"/>
  <c r="M529" i="12" s="1"/>
  <c r="N529" i="12" s="1"/>
  <c r="B529" i="12"/>
  <c r="C529" i="12"/>
  <c r="H528" i="12"/>
  <c r="I528" i="12" s="1"/>
  <c r="J528" i="12" s="1"/>
  <c r="K528" i="12" s="1"/>
  <c r="L528" i="12" s="1"/>
  <c r="M528" i="12" s="1"/>
  <c r="N528" i="12" s="1"/>
  <c r="B528" i="12"/>
  <c r="C528" i="12"/>
  <c r="H527" i="12"/>
  <c r="I527" i="12" s="1"/>
  <c r="J527" i="12" s="1"/>
  <c r="K527" i="12" s="1"/>
  <c r="L527" i="12" s="1"/>
  <c r="M527" i="12" s="1"/>
  <c r="N527" i="12" s="1"/>
  <c r="B527" i="12"/>
  <c r="C527" i="12" s="1"/>
  <c r="H526" i="12"/>
  <c r="I526" i="12" s="1"/>
  <c r="J526" i="12" s="1"/>
  <c r="K526" i="12" s="1"/>
  <c r="L526" i="12" s="1"/>
  <c r="M526" i="12" s="1"/>
  <c r="N526" i="12" s="1"/>
  <c r="B526" i="12"/>
  <c r="C526" i="12" s="1"/>
  <c r="H525" i="12"/>
  <c r="I525" i="12"/>
  <c r="J525" i="12" s="1"/>
  <c r="K525" i="12" s="1"/>
  <c r="L525" i="12" s="1"/>
  <c r="M525" i="12" s="1"/>
  <c r="N525" i="12" s="1"/>
  <c r="B525" i="12"/>
  <c r="C525" i="12"/>
  <c r="H524" i="12"/>
  <c r="I524" i="12" s="1"/>
  <c r="J524" i="12" s="1"/>
  <c r="K524" i="12" s="1"/>
  <c r="L524" i="12" s="1"/>
  <c r="M524" i="12" s="1"/>
  <c r="N524" i="12" s="1"/>
  <c r="B524" i="12"/>
  <c r="C524" i="12"/>
  <c r="H523" i="12"/>
  <c r="I523" i="12" s="1"/>
  <c r="J523" i="12" s="1"/>
  <c r="K523" i="12" s="1"/>
  <c r="L523" i="12" s="1"/>
  <c r="M523" i="12" s="1"/>
  <c r="N523" i="12" s="1"/>
  <c r="B523" i="12"/>
  <c r="C523" i="12" s="1"/>
  <c r="H522" i="12"/>
  <c r="I522" i="12"/>
  <c r="J522" i="12"/>
  <c r="K522" i="12" s="1"/>
  <c r="L522" i="12" s="1"/>
  <c r="M522" i="12" s="1"/>
  <c r="N522" i="12" s="1"/>
  <c r="B522" i="12"/>
  <c r="C522" i="12" s="1"/>
  <c r="H521" i="12"/>
  <c r="I521" i="12"/>
  <c r="J521" i="12" s="1"/>
  <c r="K521" i="12" s="1"/>
  <c r="L521" i="12" s="1"/>
  <c r="M521" i="12" s="1"/>
  <c r="N521" i="12" s="1"/>
  <c r="B521" i="12"/>
  <c r="C521" i="12"/>
  <c r="H520" i="12"/>
  <c r="I520" i="12" s="1"/>
  <c r="J520" i="12" s="1"/>
  <c r="K520" i="12" s="1"/>
  <c r="L520" i="12" s="1"/>
  <c r="M520" i="12" s="1"/>
  <c r="N520" i="12" s="1"/>
  <c r="B520" i="12"/>
  <c r="C520" i="12"/>
  <c r="H519" i="12"/>
  <c r="I519" i="12" s="1"/>
  <c r="J519" i="12" s="1"/>
  <c r="K519" i="12" s="1"/>
  <c r="L519" i="12" s="1"/>
  <c r="M519" i="12" s="1"/>
  <c r="N519" i="12" s="1"/>
  <c r="B519" i="12"/>
  <c r="C519" i="12" s="1"/>
  <c r="H518" i="12"/>
  <c r="I518" i="12" s="1"/>
  <c r="J518" i="12" s="1"/>
  <c r="K518" i="12" s="1"/>
  <c r="L518" i="12" s="1"/>
  <c r="M518" i="12" s="1"/>
  <c r="N518" i="12" s="1"/>
  <c r="B518" i="12"/>
  <c r="C518" i="12" s="1"/>
  <c r="H517" i="12"/>
  <c r="I517" i="12"/>
  <c r="J517" i="12" s="1"/>
  <c r="K517" i="12" s="1"/>
  <c r="L517" i="12" s="1"/>
  <c r="M517" i="12" s="1"/>
  <c r="N517" i="12" s="1"/>
  <c r="B517" i="12"/>
  <c r="C517" i="12"/>
  <c r="H516" i="12"/>
  <c r="I516" i="12" s="1"/>
  <c r="J516" i="12" s="1"/>
  <c r="K516" i="12" s="1"/>
  <c r="L516" i="12" s="1"/>
  <c r="M516" i="12" s="1"/>
  <c r="N516" i="12" s="1"/>
  <c r="B516" i="12"/>
  <c r="C516" i="12"/>
  <c r="H515" i="12"/>
  <c r="I515" i="12" s="1"/>
  <c r="J515" i="12" s="1"/>
  <c r="K515" i="12" s="1"/>
  <c r="L515" i="12" s="1"/>
  <c r="M515" i="12" s="1"/>
  <c r="N515" i="12" s="1"/>
  <c r="B515" i="12"/>
  <c r="C515" i="12"/>
  <c r="H514" i="12"/>
  <c r="I514" i="12" s="1"/>
  <c r="J514" i="12" s="1"/>
  <c r="K514" i="12" s="1"/>
  <c r="L514" i="12" s="1"/>
  <c r="M514" i="12" s="1"/>
  <c r="N514" i="12" s="1"/>
  <c r="B514" i="12"/>
  <c r="C514" i="12" s="1"/>
  <c r="H513" i="12"/>
  <c r="I513" i="12" s="1"/>
  <c r="J513" i="12" s="1"/>
  <c r="K513" i="12" s="1"/>
  <c r="L513" i="12" s="1"/>
  <c r="M513" i="12" s="1"/>
  <c r="N513" i="12" s="1"/>
  <c r="B513" i="12"/>
  <c r="C513" i="12" s="1"/>
  <c r="H512" i="12"/>
  <c r="I512" i="12" s="1"/>
  <c r="J512" i="12" s="1"/>
  <c r="K512" i="12" s="1"/>
  <c r="L512" i="12" s="1"/>
  <c r="M512" i="12" s="1"/>
  <c r="N512" i="12" s="1"/>
  <c r="B512" i="12"/>
  <c r="C512" i="12"/>
  <c r="H511" i="12"/>
  <c r="I511" i="12" s="1"/>
  <c r="J511" i="12" s="1"/>
  <c r="K511" i="12" s="1"/>
  <c r="L511" i="12" s="1"/>
  <c r="M511" i="12" s="1"/>
  <c r="N511" i="12" s="1"/>
  <c r="B511" i="12"/>
  <c r="C511" i="12"/>
  <c r="H510" i="12"/>
  <c r="I510" i="12" s="1"/>
  <c r="J510" i="12" s="1"/>
  <c r="K510" i="12" s="1"/>
  <c r="L510" i="12" s="1"/>
  <c r="M510" i="12" s="1"/>
  <c r="N510" i="12" s="1"/>
  <c r="B510" i="12"/>
  <c r="C510" i="12" s="1"/>
  <c r="H509" i="12"/>
  <c r="I509" i="12" s="1"/>
  <c r="J509" i="12" s="1"/>
  <c r="K509" i="12" s="1"/>
  <c r="L509" i="12" s="1"/>
  <c r="M509" i="12" s="1"/>
  <c r="N509" i="12" s="1"/>
  <c r="B509" i="12"/>
  <c r="C509" i="12" s="1"/>
  <c r="H508" i="12"/>
  <c r="I508" i="12" s="1"/>
  <c r="J508" i="12" s="1"/>
  <c r="K508" i="12" s="1"/>
  <c r="L508" i="12" s="1"/>
  <c r="M508" i="12" s="1"/>
  <c r="N508" i="12" s="1"/>
  <c r="B508" i="12"/>
  <c r="C508" i="12"/>
  <c r="H507" i="12"/>
  <c r="I507" i="12" s="1"/>
  <c r="J507" i="12" s="1"/>
  <c r="K507" i="12" s="1"/>
  <c r="L507" i="12" s="1"/>
  <c r="M507" i="12" s="1"/>
  <c r="N507" i="12" s="1"/>
  <c r="B507" i="12"/>
  <c r="C507" i="12" s="1"/>
  <c r="H506" i="12"/>
  <c r="I506" i="12" s="1"/>
  <c r="J506" i="12" s="1"/>
  <c r="K506" i="12" s="1"/>
  <c r="L506" i="12" s="1"/>
  <c r="M506" i="12" s="1"/>
  <c r="N506" i="12" s="1"/>
  <c r="B506" i="12"/>
  <c r="C506" i="12"/>
  <c r="H505" i="12"/>
  <c r="I505" i="12" s="1"/>
  <c r="J505" i="12" s="1"/>
  <c r="K505" i="12" s="1"/>
  <c r="L505" i="12" s="1"/>
  <c r="M505" i="12" s="1"/>
  <c r="N505" i="12" s="1"/>
  <c r="B505" i="12"/>
  <c r="C505" i="12" s="1"/>
  <c r="H504" i="12"/>
  <c r="I504" i="12" s="1"/>
  <c r="J504" i="12" s="1"/>
  <c r="K504" i="12" s="1"/>
  <c r="L504" i="12" s="1"/>
  <c r="M504" i="12" s="1"/>
  <c r="N504" i="12" s="1"/>
  <c r="B504" i="12"/>
  <c r="C504" i="12" s="1"/>
  <c r="H503" i="12"/>
  <c r="I503" i="12" s="1"/>
  <c r="J503" i="12" s="1"/>
  <c r="K503" i="12" s="1"/>
  <c r="L503" i="12" s="1"/>
  <c r="M503" i="12" s="1"/>
  <c r="N503" i="12" s="1"/>
  <c r="B503" i="12"/>
  <c r="C503" i="12" s="1"/>
  <c r="H502" i="12"/>
  <c r="I502" i="12" s="1"/>
  <c r="J502" i="12" s="1"/>
  <c r="K502" i="12" s="1"/>
  <c r="L502" i="12" s="1"/>
  <c r="M502" i="12" s="1"/>
  <c r="N502" i="12" s="1"/>
  <c r="B502" i="12"/>
  <c r="C502" i="12" s="1"/>
  <c r="H501" i="12"/>
  <c r="I501" i="12"/>
  <c r="J501" i="12" s="1"/>
  <c r="K501" i="12" s="1"/>
  <c r="L501" i="12" s="1"/>
  <c r="M501" i="12" s="1"/>
  <c r="N501" i="12" s="1"/>
  <c r="B501" i="12"/>
  <c r="C501" i="12" s="1"/>
  <c r="H500" i="12"/>
  <c r="I500" i="12" s="1"/>
  <c r="J500" i="12" s="1"/>
  <c r="K500" i="12" s="1"/>
  <c r="L500" i="12" s="1"/>
  <c r="M500" i="12" s="1"/>
  <c r="N500" i="12" s="1"/>
  <c r="B500" i="12"/>
  <c r="C500" i="12"/>
  <c r="H499" i="12"/>
  <c r="I499" i="12" s="1"/>
  <c r="J499" i="12" s="1"/>
  <c r="K499" i="12" s="1"/>
  <c r="L499" i="12" s="1"/>
  <c r="M499" i="12" s="1"/>
  <c r="N499" i="12" s="1"/>
  <c r="B499" i="12"/>
  <c r="C499" i="12" s="1"/>
  <c r="H498" i="12"/>
  <c r="I498" i="12" s="1"/>
  <c r="J498" i="12" s="1"/>
  <c r="K498" i="12" s="1"/>
  <c r="L498" i="12" s="1"/>
  <c r="M498" i="12" s="1"/>
  <c r="N498" i="12" s="1"/>
  <c r="B498" i="12"/>
  <c r="C498" i="12" s="1"/>
  <c r="H497" i="12"/>
  <c r="I497" i="12"/>
  <c r="J497" i="12" s="1"/>
  <c r="K497" i="12" s="1"/>
  <c r="L497" i="12" s="1"/>
  <c r="M497" i="12" s="1"/>
  <c r="N497" i="12" s="1"/>
  <c r="B497" i="12"/>
  <c r="C497" i="12"/>
  <c r="H496" i="12"/>
  <c r="I496" i="12" s="1"/>
  <c r="J496" i="12" s="1"/>
  <c r="K496" i="12" s="1"/>
  <c r="L496" i="12" s="1"/>
  <c r="M496" i="12" s="1"/>
  <c r="N496" i="12" s="1"/>
  <c r="B496" i="12"/>
  <c r="C496" i="12"/>
  <c r="H495" i="12"/>
  <c r="I495" i="12" s="1"/>
  <c r="J495" i="12" s="1"/>
  <c r="K495" i="12" s="1"/>
  <c r="L495" i="12" s="1"/>
  <c r="M495" i="12" s="1"/>
  <c r="N495" i="12" s="1"/>
  <c r="B495" i="12"/>
  <c r="C495" i="12" s="1"/>
  <c r="H494" i="12"/>
  <c r="I494" i="12" s="1"/>
  <c r="J494" i="12" s="1"/>
  <c r="K494" i="12" s="1"/>
  <c r="L494" i="12" s="1"/>
  <c r="M494" i="12" s="1"/>
  <c r="N494" i="12" s="1"/>
  <c r="B494" i="12"/>
  <c r="C494" i="12" s="1"/>
  <c r="H493" i="12"/>
  <c r="I493" i="12"/>
  <c r="J493" i="12" s="1"/>
  <c r="K493" i="12" s="1"/>
  <c r="L493" i="12" s="1"/>
  <c r="M493" i="12" s="1"/>
  <c r="N493" i="12" s="1"/>
  <c r="B493" i="12"/>
  <c r="C493" i="12"/>
  <c r="H492" i="12"/>
  <c r="I492" i="12" s="1"/>
  <c r="J492" i="12" s="1"/>
  <c r="K492" i="12" s="1"/>
  <c r="L492" i="12" s="1"/>
  <c r="M492" i="12" s="1"/>
  <c r="N492" i="12" s="1"/>
  <c r="B492" i="12"/>
  <c r="C492" i="12"/>
  <c r="H491" i="12"/>
  <c r="I491" i="12" s="1"/>
  <c r="J491" i="12" s="1"/>
  <c r="K491" i="12" s="1"/>
  <c r="L491" i="12" s="1"/>
  <c r="M491" i="12" s="1"/>
  <c r="N491" i="12" s="1"/>
  <c r="B491" i="12"/>
  <c r="C491" i="12" s="1"/>
  <c r="H490" i="12"/>
  <c r="I490" i="12"/>
  <c r="J490" i="12"/>
  <c r="K490" i="12" s="1"/>
  <c r="L490" i="12" s="1"/>
  <c r="M490" i="12" s="1"/>
  <c r="N490" i="12" s="1"/>
  <c r="B490" i="12"/>
  <c r="C490" i="12" s="1"/>
  <c r="H489" i="12"/>
  <c r="I489" i="12"/>
  <c r="J489" i="12" s="1"/>
  <c r="K489" i="12" s="1"/>
  <c r="L489" i="12" s="1"/>
  <c r="M489" i="12" s="1"/>
  <c r="N489" i="12" s="1"/>
  <c r="B489" i="12"/>
  <c r="C489" i="12"/>
  <c r="H488" i="12"/>
  <c r="I488" i="12" s="1"/>
  <c r="J488" i="12" s="1"/>
  <c r="K488" i="12" s="1"/>
  <c r="L488" i="12" s="1"/>
  <c r="M488" i="12" s="1"/>
  <c r="N488" i="12" s="1"/>
  <c r="B488" i="12"/>
  <c r="C488" i="12"/>
  <c r="H487" i="12"/>
  <c r="I487" i="12" s="1"/>
  <c r="J487" i="12" s="1"/>
  <c r="K487" i="12" s="1"/>
  <c r="L487" i="12" s="1"/>
  <c r="M487" i="12" s="1"/>
  <c r="N487" i="12" s="1"/>
  <c r="B487" i="12"/>
  <c r="C487" i="12" s="1"/>
  <c r="H486" i="12"/>
  <c r="I486" i="12" s="1"/>
  <c r="J486" i="12" s="1"/>
  <c r="K486" i="12" s="1"/>
  <c r="L486" i="12" s="1"/>
  <c r="M486" i="12" s="1"/>
  <c r="N486" i="12" s="1"/>
  <c r="B486" i="12"/>
  <c r="C486" i="12" s="1"/>
  <c r="H485" i="12"/>
  <c r="I485" i="12"/>
  <c r="J485" i="12" s="1"/>
  <c r="K485" i="12" s="1"/>
  <c r="L485" i="12" s="1"/>
  <c r="M485" i="12" s="1"/>
  <c r="N485" i="12" s="1"/>
  <c r="B485" i="12"/>
  <c r="C485" i="12"/>
  <c r="H484" i="12"/>
  <c r="I484" i="12" s="1"/>
  <c r="J484" i="12" s="1"/>
  <c r="K484" i="12" s="1"/>
  <c r="L484" i="12" s="1"/>
  <c r="M484" i="12" s="1"/>
  <c r="N484" i="12" s="1"/>
  <c r="B484" i="12"/>
  <c r="C484" i="12"/>
  <c r="H483" i="12"/>
  <c r="I483" i="12" s="1"/>
  <c r="J483" i="12" s="1"/>
  <c r="K483" i="12" s="1"/>
  <c r="L483" i="12" s="1"/>
  <c r="M483" i="12" s="1"/>
  <c r="N483" i="12" s="1"/>
  <c r="B483" i="12"/>
  <c r="C483" i="12" s="1"/>
  <c r="H482" i="12"/>
  <c r="I482" i="12"/>
  <c r="J482" i="12"/>
  <c r="K482" i="12" s="1"/>
  <c r="L482" i="12" s="1"/>
  <c r="M482" i="12" s="1"/>
  <c r="N482" i="12" s="1"/>
  <c r="B482" i="12"/>
  <c r="C482" i="12" s="1"/>
  <c r="H481" i="12"/>
  <c r="I481" i="12"/>
  <c r="J481" i="12" s="1"/>
  <c r="K481" i="12" s="1"/>
  <c r="L481" i="12" s="1"/>
  <c r="M481" i="12" s="1"/>
  <c r="N481" i="12" s="1"/>
  <c r="B481" i="12"/>
  <c r="C481" i="12"/>
  <c r="H480" i="12"/>
  <c r="I480" i="12" s="1"/>
  <c r="J480" i="12" s="1"/>
  <c r="K480" i="12" s="1"/>
  <c r="L480" i="12" s="1"/>
  <c r="M480" i="12" s="1"/>
  <c r="N480" i="12" s="1"/>
  <c r="B480" i="12"/>
  <c r="C480" i="12"/>
  <c r="H479" i="12"/>
  <c r="I479" i="12" s="1"/>
  <c r="J479" i="12" s="1"/>
  <c r="K479" i="12" s="1"/>
  <c r="L479" i="12" s="1"/>
  <c r="M479" i="12" s="1"/>
  <c r="N479" i="12" s="1"/>
  <c r="B479" i="12"/>
  <c r="C479" i="12" s="1"/>
  <c r="H478" i="12"/>
  <c r="I478" i="12"/>
  <c r="J478" i="12"/>
  <c r="K478" i="12" s="1"/>
  <c r="L478" i="12" s="1"/>
  <c r="M478" i="12" s="1"/>
  <c r="N478" i="12" s="1"/>
  <c r="B478" i="12"/>
  <c r="C478" i="12" s="1"/>
  <c r="H477" i="12"/>
  <c r="I477" i="12"/>
  <c r="J477" i="12" s="1"/>
  <c r="K477" i="12" s="1"/>
  <c r="L477" i="12" s="1"/>
  <c r="M477" i="12" s="1"/>
  <c r="N477" i="12" s="1"/>
  <c r="B477" i="12"/>
  <c r="C477" i="12"/>
  <c r="H476" i="12"/>
  <c r="I476" i="12" s="1"/>
  <c r="J476" i="12" s="1"/>
  <c r="K476" i="12" s="1"/>
  <c r="L476" i="12" s="1"/>
  <c r="M476" i="12" s="1"/>
  <c r="N476" i="12" s="1"/>
  <c r="B476" i="12"/>
  <c r="C476" i="12"/>
  <c r="H475" i="12"/>
  <c r="I475" i="12" s="1"/>
  <c r="J475" i="12" s="1"/>
  <c r="K475" i="12" s="1"/>
  <c r="L475" i="12" s="1"/>
  <c r="M475" i="12" s="1"/>
  <c r="N475" i="12" s="1"/>
  <c r="B475" i="12"/>
  <c r="C475" i="12" s="1"/>
  <c r="H474" i="12"/>
  <c r="I474" i="12"/>
  <c r="J474" i="12"/>
  <c r="K474" i="12" s="1"/>
  <c r="L474" i="12" s="1"/>
  <c r="M474" i="12" s="1"/>
  <c r="N474" i="12" s="1"/>
  <c r="B474" i="12"/>
  <c r="C474" i="12" s="1"/>
  <c r="H473" i="12"/>
  <c r="I473" i="12"/>
  <c r="J473" i="12" s="1"/>
  <c r="K473" i="12" s="1"/>
  <c r="L473" i="12" s="1"/>
  <c r="M473" i="12" s="1"/>
  <c r="N473" i="12" s="1"/>
  <c r="B473" i="12"/>
  <c r="C473" i="12"/>
  <c r="H472" i="12"/>
  <c r="I472" i="12" s="1"/>
  <c r="J472" i="12" s="1"/>
  <c r="K472" i="12" s="1"/>
  <c r="L472" i="12" s="1"/>
  <c r="M472" i="12" s="1"/>
  <c r="N472" i="12" s="1"/>
  <c r="B472" i="12"/>
  <c r="C472" i="12"/>
  <c r="H471" i="12"/>
  <c r="I471" i="12" s="1"/>
  <c r="J471" i="12" s="1"/>
  <c r="K471" i="12" s="1"/>
  <c r="L471" i="12" s="1"/>
  <c r="M471" i="12" s="1"/>
  <c r="N471" i="12" s="1"/>
  <c r="B471" i="12"/>
  <c r="C471" i="12" s="1"/>
  <c r="H470" i="12"/>
  <c r="I470" i="12"/>
  <c r="J470" i="12"/>
  <c r="K470" i="12" s="1"/>
  <c r="L470" i="12" s="1"/>
  <c r="M470" i="12" s="1"/>
  <c r="N470" i="12" s="1"/>
  <c r="B470" i="12"/>
  <c r="C470" i="12" s="1"/>
  <c r="H469" i="12"/>
  <c r="I469" i="12"/>
  <c r="J469" i="12" s="1"/>
  <c r="K469" i="12" s="1"/>
  <c r="L469" i="12" s="1"/>
  <c r="M469" i="12" s="1"/>
  <c r="N469" i="12" s="1"/>
  <c r="B469" i="12"/>
  <c r="C469" i="12"/>
  <c r="H468" i="12"/>
  <c r="I468" i="12" s="1"/>
  <c r="J468" i="12" s="1"/>
  <c r="K468" i="12" s="1"/>
  <c r="L468" i="12" s="1"/>
  <c r="M468" i="12" s="1"/>
  <c r="N468" i="12" s="1"/>
  <c r="B468" i="12"/>
  <c r="C468" i="12"/>
  <c r="H467" i="12"/>
  <c r="I467" i="12" s="1"/>
  <c r="J467" i="12" s="1"/>
  <c r="K467" i="12" s="1"/>
  <c r="L467" i="12" s="1"/>
  <c r="M467" i="12" s="1"/>
  <c r="N467" i="12" s="1"/>
  <c r="B467" i="12"/>
  <c r="C467" i="12" s="1"/>
  <c r="H466" i="12"/>
  <c r="I466" i="12"/>
  <c r="J466" i="12"/>
  <c r="K466" i="12" s="1"/>
  <c r="L466" i="12" s="1"/>
  <c r="M466" i="12" s="1"/>
  <c r="N466" i="12" s="1"/>
  <c r="B466" i="12"/>
  <c r="C466" i="12" s="1"/>
  <c r="H465" i="12"/>
  <c r="I465" i="12"/>
  <c r="J465" i="12" s="1"/>
  <c r="K465" i="12" s="1"/>
  <c r="L465" i="12" s="1"/>
  <c r="M465" i="12" s="1"/>
  <c r="N465" i="12" s="1"/>
  <c r="B465" i="12"/>
  <c r="C465" i="12"/>
  <c r="H464" i="12"/>
  <c r="I464" i="12" s="1"/>
  <c r="J464" i="12" s="1"/>
  <c r="K464" i="12" s="1"/>
  <c r="L464" i="12" s="1"/>
  <c r="M464" i="12" s="1"/>
  <c r="N464" i="12" s="1"/>
  <c r="B464" i="12"/>
  <c r="C464" i="12"/>
  <c r="H463" i="12"/>
  <c r="I463" i="12" s="1"/>
  <c r="J463" i="12" s="1"/>
  <c r="K463" i="12" s="1"/>
  <c r="L463" i="12" s="1"/>
  <c r="M463" i="12" s="1"/>
  <c r="N463" i="12" s="1"/>
  <c r="B463" i="12"/>
  <c r="C463" i="12" s="1"/>
  <c r="H462" i="12"/>
  <c r="I462" i="12" s="1"/>
  <c r="J462" i="12" s="1"/>
  <c r="K462" i="12" s="1"/>
  <c r="L462" i="12" s="1"/>
  <c r="M462" i="12" s="1"/>
  <c r="N462" i="12" s="1"/>
  <c r="B462" i="12"/>
  <c r="C462" i="12" s="1"/>
  <c r="H461" i="12"/>
  <c r="I461" i="12"/>
  <c r="J461" i="12" s="1"/>
  <c r="K461" i="12" s="1"/>
  <c r="L461" i="12" s="1"/>
  <c r="M461" i="12" s="1"/>
  <c r="N461" i="12" s="1"/>
  <c r="B461" i="12"/>
  <c r="C461" i="12"/>
  <c r="H460" i="12"/>
  <c r="I460" i="12" s="1"/>
  <c r="J460" i="12" s="1"/>
  <c r="K460" i="12" s="1"/>
  <c r="L460" i="12" s="1"/>
  <c r="M460" i="12" s="1"/>
  <c r="N460" i="12" s="1"/>
  <c r="B460" i="12"/>
  <c r="C460" i="12"/>
  <c r="H459" i="12"/>
  <c r="I459" i="12" s="1"/>
  <c r="J459" i="12" s="1"/>
  <c r="K459" i="12" s="1"/>
  <c r="L459" i="12" s="1"/>
  <c r="M459" i="12" s="1"/>
  <c r="N459" i="12" s="1"/>
  <c r="B459" i="12"/>
  <c r="C459" i="12" s="1"/>
  <c r="H458" i="12"/>
  <c r="I458" i="12"/>
  <c r="J458" i="12"/>
  <c r="K458" i="12" s="1"/>
  <c r="L458" i="12" s="1"/>
  <c r="M458" i="12" s="1"/>
  <c r="N458" i="12" s="1"/>
  <c r="B458" i="12"/>
  <c r="C458" i="12" s="1"/>
  <c r="H457" i="12"/>
  <c r="I457" i="12"/>
  <c r="J457" i="12" s="1"/>
  <c r="K457" i="12" s="1"/>
  <c r="L457" i="12" s="1"/>
  <c r="M457" i="12" s="1"/>
  <c r="N457" i="12" s="1"/>
  <c r="B457" i="12"/>
  <c r="C457" i="12"/>
  <c r="H456" i="12"/>
  <c r="I456" i="12" s="1"/>
  <c r="J456" i="12" s="1"/>
  <c r="K456" i="12" s="1"/>
  <c r="L456" i="12" s="1"/>
  <c r="M456" i="12" s="1"/>
  <c r="N456" i="12" s="1"/>
  <c r="B456" i="12"/>
  <c r="C456" i="12"/>
  <c r="H455" i="12"/>
  <c r="I455" i="12" s="1"/>
  <c r="J455" i="12" s="1"/>
  <c r="K455" i="12" s="1"/>
  <c r="L455" i="12" s="1"/>
  <c r="M455" i="12" s="1"/>
  <c r="N455" i="12" s="1"/>
  <c r="B455" i="12"/>
  <c r="C455" i="12" s="1"/>
  <c r="H454" i="12"/>
  <c r="I454" i="12" s="1"/>
  <c r="J454" i="12" s="1"/>
  <c r="K454" i="12" s="1"/>
  <c r="L454" i="12" s="1"/>
  <c r="M454" i="12" s="1"/>
  <c r="N454" i="12" s="1"/>
  <c r="B454" i="12"/>
  <c r="C454" i="12" s="1"/>
  <c r="H453" i="12"/>
  <c r="I453" i="12"/>
  <c r="J453" i="12" s="1"/>
  <c r="K453" i="12" s="1"/>
  <c r="L453" i="12" s="1"/>
  <c r="M453" i="12" s="1"/>
  <c r="N453" i="12" s="1"/>
  <c r="B453" i="12"/>
  <c r="C453" i="12"/>
  <c r="H452" i="12"/>
  <c r="I452" i="12" s="1"/>
  <c r="J452" i="12" s="1"/>
  <c r="K452" i="12" s="1"/>
  <c r="L452" i="12" s="1"/>
  <c r="M452" i="12" s="1"/>
  <c r="N452" i="12" s="1"/>
  <c r="B452" i="12"/>
  <c r="C452" i="12"/>
  <c r="H451" i="12"/>
  <c r="I451" i="12" s="1"/>
  <c r="J451" i="12" s="1"/>
  <c r="K451" i="12" s="1"/>
  <c r="L451" i="12" s="1"/>
  <c r="M451" i="12" s="1"/>
  <c r="N451" i="12" s="1"/>
  <c r="B451" i="12"/>
  <c r="C451" i="12" s="1"/>
  <c r="H450" i="12"/>
  <c r="I450" i="12"/>
  <c r="J450" i="12"/>
  <c r="K450" i="12" s="1"/>
  <c r="L450" i="12" s="1"/>
  <c r="M450" i="12" s="1"/>
  <c r="N450" i="12" s="1"/>
  <c r="B450" i="12"/>
  <c r="C450" i="12" s="1"/>
  <c r="H449" i="12"/>
  <c r="I449" i="12"/>
  <c r="J449" i="12" s="1"/>
  <c r="K449" i="12" s="1"/>
  <c r="L449" i="12" s="1"/>
  <c r="M449" i="12" s="1"/>
  <c r="N449" i="12" s="1"/>
  <c r="B449" i="12"/>
  <c r="C449" i="12"/>
  <c r="H448" i="12"/>
  <c r="I448" i="12" s="1"/>
  <c r="J448" i="12" s="1"/>
  <c r="K448" i="12" s="1"/>
  <c r="L448" i="12" s="1"/>
  <c r="M448" i="12" s="1"/>
  <c r="N448" i="12" s="1"/>
  <c r="B448" i="12"/>
  <c r="C448" i="12"/>
  <c r="H447" i="12"/>
  <c r="I447" i="12" s="1"/>
  <c r="J447" i="12" s="1"/>
  <c r="K447" i="12" s="1"/>
  <c r="L447" i="12" s="1"/>
  <c r="M447" i="12" s="1"/>
  <c r="N447" i="12" s="1"/>
  <c r="B447" i="12"/>
  <c r="C447" i="12" s="1"/>
  <c r="H446" i="12"/>
  <c r="I446" i="12" s="1"/>
  <c r="J446" i="12" s="1"/>
  <c r="K446" i="12" s="1"/>
  <c r="L446" i="12" s="1"/>
  <c r="M446" i="12" s="1"/>
  <c r="N446" i="12" s="1"/>
  <c r="B446" i="12"/>
  <c r="C446" i="12" s="1"/>
  <c r="H445" i="12"/>
  <c r="I445" i="12"/>
  <c r="J445" i="12"/>
  <c r="K445" i="12" s="1"/>
  <c r="L445" i="12" s="1"/>
  <c r="M445" i="12" s="1"/>
  <c r="N445" i="12" s="1"/>
  <c r="B445" i="12"/>
  <c r="C445" i="12" s="1"/>
  <c r="H444" i="12"/>
  <c r="I444" i="12"/>
  <c r="J444" i="12" s="1"/>
  <c r="K444" i="12" s="1"/>
  <c r="L444" i="12" s="1"/>
  <c r="M444" i="12" s="1"/>
  <c r="N444" i="12" s="1"/>
  <c r="B444" i="12"/>
  <c r="C444" i="12"/>
  <c r="H443" i="12"/>
  <c r="I443" i="12" s="1"/>
  <c r="J443" i="12" s="1"/>
  <c r="K443" i="12" s="1"/>
  <c r="L443" i="12" s="1"/>
  <c r="M443" i="12" s="1"/>
  <c r="N443" i="12" s="1"/>
  <c r="B443" i="12"/>
  <c r="C443" i="12"/>
  <c r="H442" i="12"/>
  <c r="I442" i="12" s="1"/>
  <c r="J442" i="12" s="1"/>
  <c r="K442" i="12" s="1"/>
  <c r="L442" i="12" s="1"/>
  <c r="M442" i="12" s="1"/>
  <c r="N442" i="12" s="1"/>
  <c r="B442" i="12"/>
  <c r="C442" i="12" s="1"/>
  <c r="H441" i="12"/>
  <c r="I441" i="12"/>
  <c r="J441" i="12"/>
  <c r="K441" i="12" s="1"/>
  <c r="L441" i="12" s="1"/>
  <c r="M441" i="12" s="1"/>
  <c r="N441" i="12" s="1"/>
  <c r="B441" i="12"/>
  <c r="C441" i="12" s="1"/>
  <c r="H440" i="12"/>
  <c r="I440" i="12"/>
  <c r="J440" i="12" s="1"/>
  <c r="K440" i="12" s="1"/>
  <c r="L440" i="12" s="1"/>
  <c r="M440" i="12" s="1"/>
  <c r="N440" i="12" s="1"/>
  <c r="B440" i="12"/>
  <c r="C440" i="12"/>
  <c r="H439" i="12"/>
  <c r="I439" i="12" s="1"/>
  <c r="J439" i="12" s="1"/>
  <c r="K439" i="12" s="1"/>
  <c r="L439" i="12" s="1"/>
  <c r="M439" i="12" s="1"/>
  <c r="N439" i="12" s="1"/>
  <c r="B439" i="12"/>
  <c r="C439" i="12"/>
  <c r="H438" i="12"/>
  <c r="I438" i="12" s="1"/>
  <c r="J438" i="12" s="1"/>
  <c r="K438" i="12" s="1"/>
  <c r="L438" i="12" s="1"/>
  <c r="M438" i="12" s="1"/>
  <c r="N438" i="12" s="1"/>
  <c r="B438" i="12"/>
  <c r="C438" i="12" s="1"/>
  <c r="H437" i="12"/>
  <c r="I437" i="12"/>
  <c r="J437" i="12"/>
  <c r="K437" i="12" s="1"/>
  <c r="L437" i="12" s="1"/>
  <c r="M437" i="12" s="1"/>
  <c r="N437" i="12" s="1"/>
  <c r="B437" i="12"/>
  <c r="C437" i="12" s="1"/>
  <c r="H436" i="12"/>
  <c r="I436" i="12"/>
  <c r="J436" i="12" s="1"/>
  <c r="K436" i="12" s="1"/>
  <c r="L436" i="12" s="1"/>
  <c r="M436" i="12" s="1"/>
  <c r="N436" i="12" s="1"/>
  <c r="B436" i="12"/>
  <c r="C436" i="12"/>
  <c r="H435" i="12"/>
  <c r="I435" i="12" s="1"/>
  <c r="J435" i="12" s="1"/>
  <c r="K435" i="12" s="1"/>
  <c r="L435" i="12" s="1"/>
  <c r="M435" i="12" s="1"/>
  <c r="N435" i="12" s="1"/>
  <c r="B435" i="12"/>
  <c r="C435" i="12"/>
  <c r="H434" i="12"/>
  <c r="I434" i="12" s="1"/>
  <c r="J434" i="12" s="1"/>
  <c r="K434" i="12" s="1"/>
  <c r="L434" i="12" s="1"/>
  <c r="M434" i="12" s="1"/>
  <c r="N434" i="12" s="1"/>
  <c r="B434" i="12"/>
  <c r="C434" i="12" s="1"/>
  <c r="H433" i="12"/>
  <c r="I433" i="12"/>
  <c r="J433" i="12"/>
  <c r="K433" i="12" s="1"/>
  <c r="L433" i="12" s="1"/>
  <c r="M433" i="12" s="1"/>
  <c r="N433" i="12" s="1"/>
  <c r="B433" i="12"/>
  <c r="C433" i="12" s="1"/>
  <c r="H432" i="12"/>
  <c r="I432" i="12"/>
  <c r="J432" i="12" s="1"/>
  <c r="K432" i="12" s="1"/>
  <c r="L432" i="12" s="1"/>
  <c r="M432" i="12" s="1"/>
  <c r="N432" i="12" s="1"/>
  <c r="B432" i="12"/>
  <c r="C432" i="12"/>
  <c r="H431" i="12"/>
  <c r="I431" i="12" s="1"/>
  <c r="J431" i="12" s="1"/>
  <c r="K431" i="12" s="1"/>
  <c r="L431" i="12" s="1"/>
  <c r="M431" i="12" s="1"/>
  <c r="N431" i="12" s="1"/>
  <c r="B431" i="12"/>
  <c r="C431" i="12"/>
  <c r="H430" i="12"/>
  <c r="I430" i="12" s="1"/>
  <c r="J430" i="12" s="1"/>
  <c r="K430" i="12" s="1"/>
  <c r="L430" i="12" s="1"/>
  <c r="M430" i="12" s="1"/>
  <c r="N430" i="12" s="1"/>
  <c r="B430" i="12"/>
  <c r="C430" i="12" s="1"/>
  <c r="H429" i="12"/>
  <c r="I429" i="12"/>
  <c r="J429" i="12"/>
  <c r="K429" i="12" s="1"/>
  <c r="L429" i="12" s="1"/>
  <c r="M429" i="12" s="1"/>
  <c r="N429" i="12" s="1"/>
  <c r="B429" i="12"/>
  <c r="C429" i="12" s="1"/>
  <c r="H428" i="12"/>
  <c r="I428" i="12"/>
  <c r="J428" i="12" s="1"/>
  <c r="K428" i="12" s="1"/>
  <c r="L428" i="12" s="1"/>
  <c r="M428" i="12" s="1"/>
  <c r="N428" i="12" s="1"/>
  <c r="B428" i="12"/>
  <c r="C428" i="12"/>
  <c r="H427" i="12"/>
  <c r="I427" i="12" s="1"/>
  <c r="J427" i="12" s="1"/>
  <c r="K427" i="12" s="1"/>
  <c r="L427" i="12" s="1"/>
  <c r="M427" i="12" s="1"/>
  <c r="N427" i="12" s="1"/>
  <c r="B427" i="12"/>
  <c r="C427" i="12"/>
  <c r="H426" i="12"/>
  <c r="I426" i="12" s="1"/>
  <c r="J426" i="12" s="1"/>
  <c r="K426" i="12" s="1"/>
  <c r="L426" i="12" s="1"/>
  <c r="M426" i="12" s="1"/>
  <c r="N426" i="12" s="1"/>
  <c r="B426" i="12"/>
  <c r="C426" i="12" s="1"/>
  <c r="H425" i="12"/>
  <c r="I425" i="12"/>
  <c r="J425" i="12"/>
  <c r="K425" i="12" s="1"/>
  <c r="L425" i="12" s="1"/>
  <c r="M425" i="12" s="1"/>
  <c r="N425" i="12" s="1"/>
  <c r="B425" i="12"/>
  <c r="C425" i="12" s="1"/>
  <c r="H424" i="12"/>
  <c r="I424" i="12"/>
  <c r="J424" i="12" s="1"/>
  <c r="K424" i="12" s="1"/>
  <c r="L424" i="12" s="1"/>
  <c r="M424" i="12"/>
  <c r="N424" i="12" s="1"/>
  <c r="B424" i="12"/>
  <c r="C424" i="12"/>
  <c r="H423" i="12"/>
  <c r="I423" i="12" s="1"/>
  <c r="J423" i="12" s="1"/>
  <c r="K423" i="12" s="1"/>
  <c r="L423" i="12"/>
  <c r="M423" i="12" s="1"/>
  <c r="N423" i="12" s="1"/>
  <c r="B423" i="12"/>
  <c r="C423" i="12"/>
  <c r="H422" i="12"/>
  <c r="I422" i="12" s="1"/>
  <c r="J422" i="12" s="1"/>
  <c r="K422" i="12"/>
  <c r="L422" i="12" s="1"/>
  <c r="M422" i="12" s="1"/>
  <c r="N422" i="12" s="1"/>
  <c r="B422" i="12"/>
  <c r="C422" i="12" s="1"/>
  <c r="H421" i="12"/>
  <c r="I421" i="12"/>
  <c r="J421" i="12"/>
  <c r="K421" i="12" s="1"/>
  <c r="L421" i="12" s="1"/>
  <c r="M421" i="12" s="1"/>
  <c r="N421" i="12" s="1"/>
  <c r="B421" i="12"/>
  <c r="C421" i="12" s="1"/>
  <c r="H420" i="12"/>
  <c r="I420" i="12"/>
  <c r="J420" i="12" s="1"/>
  <c r="K420" i="12" s="1"/>
  <c r="L420" i="12" s="1"/>
  <c r="M420" i="12" s="1"/>
  <c r="N420" i="12" s="1"/>
  <c r="B420" i="12"/>
  <c r="C420" i="12"/>
  <c r="H419" i="12"/>
  <c r="I419" i="12" s="1"/>
  <c r="J419" i="12" s="1"/>
  <c r="K419" i="12" s="1"/>
  <c r="L419" i="12" s="1"/>
  <c r="M419" i="12" s="1"/>
  <c r="N419" i="12" s="1"/>
  <c r="B419" i="12"/>
  <c r="C419" i="12"/>
  <c r="H418" i="12"/>
  <c r="I418" i="12" s="1"/>
  <c r="J418" i="12" s="1"/>
  <c r="K418" i="12" s="1"/>
  <c r="L418" i="12" s="1"/>
  <c r="M418" i="12" s="1"/>
  <c r="N418" i="12" s="1"/>
  <c r="B418" i="12"/>
  <c r="C418" i="12" s="1"/>
  <c r="H417" i="12"/>
  <c r="I417" i="12"/>
  <c r="J417" i="12"/>
  <c r="K417" i="12" s="1"/>
  <c r="L417" i="12" s="1"/>
  <c r="M417" i="12" s="1"/>
  <c r="N417" i="12" s="1"/>
  <c r="B417" i="12"/>
  <c r="C417" i="12" s="1"/>
  <c r="H416" i="12"/>
  <c r="I416" i="12" s="1"/>
  <c r="J416" i="12" s="1"/>
  <c r="K416" i="12" s="1"/>
  <c r="L416" i="12" s="1"/>
  <c r="M416" i="12" s="1"/>
  <c r="N416" i="12" s="1"/>
  <c r="B416" i="12"/>
  <c r="C416" i="12" s="1"/>
  <c r="H415" i="12"/>
  <c r="I415" i="12"/>
  <c r="J415" i="12" s="1"/>
  <c r="K415" i="12" s="1"/>
  <c r="L415" i="12" s="1"/>
  <c r="M415" i="12" s="1"/>
  <c r="N415" i="12" s="1"/>
  <c r="B415" i="12"/>
  <c r="C415" i="12" s="1"/>
  <c r="H414" i="12"/>
  <c r="I414" i="12" s="1"/>
  <c r="J414" i="12" s="1"/>
  <c r="K414" i="12" s="1"/>
  <c r="L414" i="12" s="1"/>
  <c r="M414" i="12" s="1"/>
  <c r="N414" i="12" s="1"/>
  <c r="B414" i="12"/>
  <c r="C414" i="12"/>
  <c r="H413" i="12"/>
  <c r="I413" i="12" s="1"/>
  <c r="J413" i="12" s="1"/>
  <c r="K413" i="12" s="1"/>
  <c r="L413" i="12" s="1"/>
  <c r="M413" i="12" s="1"/>
  <c r="N413" i="12" s="1"/>
  <c r="B413" i="12"/>
  <c r="C413" i="12" s="1"/>
  <c r="H412" i="12"/>
  <c r="I412" i="12" s="1"/>
  <c r="J412" i="12" s="1"/>
  <c r="K412" i="12" s="1"/>
  <c r="L412" i="12" s="1"/>
  <c r="M412" i="12" s="1"/>
  <c r="N412" i="12" s="1"/>
  <c r="B412" i="12"/>
  <c r="C412" i="12" s="1"/>
  <c r="H411" i="12"/>
  <c r="I411" i="12"/>
  <c r="J411" i="12" s="1"/>
  <c r="K411" i="12" s="1"/>
  <c r="L411" i="12" s="1"/>
  <c r="M411" i="12" s="1"/>
  <c r="N411" i="12" s="1"/>
  <c r="B411" i="12"/>
  <c r="C411" i="12" s="1"/>
  <c r="H410" i="12"/>
  <c r="I410" i="12" s="1"/>
  <c r="J410" i="12" s="1"/>
  <c r="K410" i="12" s="1"/>
  <c r="L410" i="12" s="1"/>
  <c r="M410" i="12" s="1"/>
  <c r="N410" i="12" s="1"/>
  <c r="B410" i="12"/>
  <c r="C410" i="12"/>
  <c r="H409" i="12"/>
  <c r="I409" i="12" s="1"/>
  <c r="J409" i="12" s="1"/>
  <c r="K409" i="12" s="1"/>
  <c r="L409" i="12" s="1"/>
  <c r="M409" i="12" s="1"/>
  <c r="N409" i="12" s="1"/>
  <c r="B409" i="12"/>
  <c r="C409" i="12" s="1"/>
  <c r="H408" i="12"/>
  <c r="I408" i="12" s="1"/>
  <c r="J408" i="12" s="1"/>
  <c r="K408" i="12" s="1"/>
  <c r="L408" i="12" s="1"/>
  <c r="M408" i="12" s="1"/>
  <c r="N408" i="12" s="1"/>
  <c r="B408" i="12"/>
  <c r="C408" i="12" s="1"/>
  <c r="H407" i="12"/>
  <c r="I407" i="12"/>
  <c r="J407" i="12" s="1"/>
  <c r="K407" i="12" s="1"/>
  <c r="L407" i="12" s="1"/>
  <c r="M407" i="12" s="1"/>
  <c r="N407" i="12" s="1"/>
  <c r="B407" i="12"/>
  <c r="C407" i="12" s="1"/>
  <c r="H406" i="12"/>
  <c r="I406" i="12" s="1"/>
  <c r="J406" i="12" s="1"/>
  <c r="K406" i="12" s="1"/>
  <c r="L406" i="12" s="1"/>
  <c r="M406" i="12" s="1"/>
  <c r="N406" i="12" s="1"/>
  <c r="B406" i="12"/>
  <c r="C406" i="12"/>
  <c r="H405" i="12"/>
  <c r="I405" i="12" s="1"/>
  <c r="J405" i="12" s="1"/>
  <c r="K405" i="12" s="1"/>
  <c r="L405" i="12" s="1"/>
  <c r="M405" i="12" s="1"/>
  <c r="N405" i="12" s="1"/>
  <c r="B405" i="12"/>
  <c r="C405" i="12" s="1"/>
  <c r="H404" i="12"/>
  <c r="I404" i="12" s="1"/>
  <c r="J404" i="12" s="1"/>
  <c r="K404" i="12" s="1"/>
  <c r="L404" i="12" s="1"/>
  <c r="M404" i="12" s="1"/>
  <c r="N404" i="12" s="1"/>
  <c r="B404" i="12"/>
  <c r="C404" i="12" s="1"/>
  <c r="H403" i="12"/>
  <c r="I403" i="12"/>
  <c r="J403" i="12" s="1"/>
  <c r="K403" i="12" s="1"/>
  <c r="L403" i="12" s="1"/>
  <c r="M403" i="12" s="1"/>
  <c r="N403" i="12" s="1"/>
  <c r="B403" i="12"/>
  <c r="C403" i="12" s="1"/>
  <c r="H402" i="12"/>
  <c r="I402" i="12" s="1"/>
  <c r="J402" i="12" s="1"/>
  <c r="K402" i="12" s="1"/>
  <c r="L402" i="12" s="1"/>
  <c r="M402" i="12" s="1"/>
  <c r="N402" i="12" s="1"/>
  <c r="B402" i="12"/>
  <c r="C402" i="12"/>
  <c r="H401" i="12"/>
  <c r="I401" i="12" s="1"/>
  <c r="J401" i="12" s="1"/>
  <c r="K401" i="12" s="1"/>
  <c r="L401" i="12" s="1"/>
  <c r="M401" i="12" s="1"/>
  <c r="N401" i="12" s="1"/>
  <c r="B401" i="12"/>
  <c r="C401" i="12" s="1"/>
  <c r="H400" i="12"/>
  <c r="I400" i="12" s="1"/>
  <c r="J400" i="12" s="1"/>
  <c r="K400" i="12" s="1"/>
  <c r="L400" i="12" s="1"/>
  <c r="M400" i="12" s="1"/>
  <c r="N400" i="12" s="1"/>
  <c r="B400" i="12"/>
  <c r="C400" i="12" s="1"/>
  <c r="H399" i="12"/>
  <c r="I399" i="12"/>
  <c r="J399" i="12" s="1"/>
  <c r="K399" i="12" s="1"/>
  <c r="L399" i="12" s="1"/>
  <c r="M399" i="12" s="1"/>
  <c r="N399" i="12" s="1"/>
  <c r="B399" i="12"/>
  <c r="C399" i="12" s="1"/>
  <c r="H398" i="12"/>
  <c r="I398" i="12" s="1"/>
  <c r="J398" i="12" s="1"/>
  <c r="K398" i="12" s="1"/>
  <c r="L398" i="12" s="1"/>
  <c r="M398" i="12" s="1"/>
  <c r="N398" i="12" s="1"/>
  <c r="B398" i="12"/>
  <c r="C398" i="12"/>
  <c r="H397" i="12"/>
  <c r="I397" i="12" s="1"/>
  <c r="J397" i="12" s="1"/>
  <c r="K397" i="12" s="1"/>
  <c r="L397" i="12" s="1"/>
  <c r="M397" i="12" s="1"/>
  <c r="N397" i="12" s="1"/>
  <c r="B397" i="12"/>
  <c r="C397" i="12" s="1"/>
  <c r="H396" i="12"/>
  <c r="I396" i="12" s="1"/>
  <c r="J396" i="12" s="1"/>
  <c r="K396" i="12" s="1"/>
  <c r="L396" i="12" s="1"/>
  <c r="M396" i="12" s="1"/>
  <c r="N396" i="12" s="1"/>
  <c r="B396" i="12"/>
  <c r="C396" i="12" s="1"/>
  <c r="H395" i="12"/>
  <c r="I395" i="12"/>
  <c r="J395" i="12" s="1"/>
  <c r="K395" i="12" s="1"/>
  <c r="L395" i="12" s="1"/>
  <c r="M395" i="12" s="1"/>
  <c r="N395" i="12" s="1"/>
  <c r="B395" i="12"/>
  <c r="C395" i="12"/>
  <c r="H394" i="12"/>
  <c r="I394" i="12" s="1"/>
  <c r="J394" i="12" s="1"/>
  <c r="K394" i="12" s="1"/>
  <c r="L394" i="12" s="1"/>
  <c r="M394" i="12" s="1"/>
  <c r="N394" i="12" s="1"/>
  <c r="B394" i="12"/>
  <c r="C394" i="12"/>
  <c r="H393" i="12"/>
  <c r="I393" i="12" s="1"/>
  <c r="J393" i="12" s="1"/>
  <c r="K393" i="12" s="1"/>
  <c r="L393" i="12" s="1"/>
  <c r="M393" i="12" s="1"/>
  <c r="N393" i="12" s="1"/>
  <c r="B393" i="12"/>
  <c r="C393" i="12" s="1"/>
  <c r="H392" i="12"/>
  <c r="I392" i="12" s="1"/>
  <c r="J392" i="12" s="1"/>
  <c r="K392" i="12" s="1"/>
  <c r="L392" i="12" s="1"/>
  <c r="M392" i="12" s="1"/>
  <c r="N392" i="12" s="1"/>
  <c r="B392" i="12"/>
  <c r="C392" i="12" s="1"/>
  <c r="H391" i="12"/>
  <c r="I391" i="12"/>
  <c r="J391" i="12" s="1"/>
  <c r="K391" i="12" s="1"/>
  <c r="L391" i="12" s="1"/>
  <c r="M391" i="12" s="1"/>
  <c r="N391" i="12" s="1"/>
  <c r="B391" i="12"/>
  <c r="C391" i="12" s="1"/>
  <c r="H390" i="12"/>
  <c r="I390" i="12" s="1"/>
  <c r="J390" i="12" s="1"/>
  <c r="K390" i="12" s="1"/>
  <c r="L390" i="12" s="1"/>
  <c r="M390" i="12" s="1"/>
  <c r="N390" i="12" s="1"/>
  <c r="B390" i="12"/>
  <c r="C390" i="12"/>
  <c r="H389" i="12"/>
  <c r="I389" i="12" s="1"/>
  <c r="J389" i="12" s="1"/>
  <c r="K389" i="12" s="1"/>
  <c r="L389" i="12" s="1"/>
  <c r="M389" i="12" s="1"/>
  <c r="N389" i="12" s="1"/>
  <c r="B389" i="12"/>
  <c r="C389" i="12" s="1"/>
  <c r="H388" i="12"/>
  <c r="I388" i="12" s="1"/>
  <c r="J388" i="12" s="1"/>
  <c r="K388" i="12" s="1"/>
  <c r="L388" i="12" s="1"/>
  <c r="M388" i="12" s="1"/>
  <c r="N388" i="12" s="1"/>
  <c r="B388" i="12"/>
  <c r="C388" i="12" s="1"/>
  <c r="H387" i="12"/>
  <c r="I387" i="12"/>
  <c r="J387" i="12" s="1"/>
  <c r="K387" i="12" s="1"/>
  <c r="L387" i="12" s="1"/>
  <c r="M387" i="12" s="1"/>
  <c r="N387" i="12" s="1"/>
  <c r="B387" i="12"/>
  <c r="C387" i="12"/>
  <c r="H386" i="12"/>
  <c r="I386" i="12" s="1"/>
  <c r="J386" i="12" s="1"/>
  <c r="K386" i="12" s="1"/>
  <c r="L386" i="12" s="1"/>
  <c r="M386" i="12" s="1"/>
  <c r="N386" i="12" s="1"/>
  <c r="B386" i="12"/>
  <c r="C386" i="12"/>
  <c r="H385" i="12"/>
  <c r="I385" i="12" s="1"/>
  <c r="J385" i="12" s="1"/>
  <c r="K385" i="12" s="1"/>
  <c r="L385" i="12" s="1"/>
  <c r="M385" i="12" s="1"/>
  <c r="N385" i="12" s="1"/>
  <c r="B385" i="12"/>
  <c r="C385" i="12" s="1"/>
  <c r="H384" i="12"/>
  <c r="I384" i="12" s="1"/>
  <c r="J384" i="12" s="1"/>
  <c r="K384" i="12" s="1"/>
  <c r="L384" i="12" s="1"/>
  <c r="M384" i="12" s="1"/>
  <c r="N384" i="12" s="1"/>
  <c r="B384" i="12"/>
  <c r="C384" i="12" s="1"/>
  <c r="H383" i="12"/>
  <c r="I383" i="12"/>
  <c r="J383" i="12" s="1"/>
  <c r="K383" i="12" s="1"/>
  <c r="L383" i="12" s="1"/>
  <c r="M383" i="12" s="1"/>
  <c r="N383" i="12" s="1"/>
  <c r="B383" i="12"/>
  <c r="C383" i="12" s="1"/>
  <c r="H382" i="12"/>
  <c r="I382" i="12" s="1"/>
  <c r="J382" i="12" s="1"/>
  <c r="K382" i="12" s="1"/>
  <c r="L382" i="12" s="1"/>
  <c r="M382" i="12" s="1"/>
  <c r="N382" i="12" s="1"/>
  <c r="B382" i="12"/>
  <c r="C382" i="12"/>
  <c r="H381" i="12"/>
  <c r="I381" i="12" s="1"/>
  <c r="J381" i="12" s="1"/>
  <c r="K381" i="12" s="1"/>
  <c r="L381" i="12" s="1"/>
  <c r="M381" i="12" s="1"/>
  <c r="N381" i="12" s="1"/>
  <c r="B381" i="12"/>
  <c r="C381" i="12" s="1"/>
  <c r="H380" i="12"/>
  <c r="I380" i="12" s="1"/>
  <c r="J380" i="12" s="1"/>
  <c r="K380" i="12" s="1"/>
  <c r="L380" i="12" s="1"/>
  <c r="M380" i="12" s="1"/>
  <c r="N380" i="12" s="1"/>
  <c r="B380" i="12"/>
  <c r="C380" i="12" s="1"/>
  <c r="H379" i="12"/>
  <c r="I379" i="12"/>
  <c r="J379" i="12" s="1"/>
  <c r="K379" i="12" s="1"/>
  <c r="L379" i="12" s="1"/>
  <c r="M379" i="12" s="1"/>
  <c r="N379" i="12" s="1"/>
  <c r="B379" i="12"/>
  <c r="C379" i="12" s="1"/>
  <c r="H378" i="12"/>
  <c r="I378" i="12" s="1"/>
  <c r="J378" i="12" s="1"/>
  <c r="K378" i="12" s="1"/>
  <c r="L378" i="12" s="1"/>
  <c r="M378" i="12" s="1"/>
  <c r="N378" i="12" s="1"/>
  <c r="B378" i="12"/>
  <c r="C378" i="12"/>
  <c r="H377" i="12"/>
  <c r="I377" i="12" s="1"/>
  <c r="J377" i="12" s="1"/>
  <c r="K377" i="12" s="1"/>
  <c r="L377" i="12" s="1"/>
  <c r="M377" i="12" s="1"/>
  <c r="N377" i="12" s="1"/>
  <c r="B377" i="12"/>
  <c r="C377" i="12" s="1"/>
  <c r="H376" i="12"/>
  <c r="I376" i="12" s="1"/>
  <c r="J376" i="12" s="1"/>
  <c r="K376" i="12" s="1"/>
  <c r="L376" i="12" s="1"/>
  <c r="M376" i="12" s="1"/>
  <c r="N376" i="12" s="1"/>
  <c r="B376" i="12"/>
  <c r="C376" i="12" s="1"/>
  <c r="H375" i="12"/>
  <c r="I375" i="12"/>
  <c r="J375" i="12" s="1"/>
  <c r="K375" i="12" s="1"/>
  <c r="L375" i="12" s="1"/>
  <c r="M375" i="12" s="1"/>
  <c r="N375" i="12" s="1"/>
  <c r="B375" i="12"/>
  <c r="C375" i="12" s="1"/>
  <c r="H374" i="12"/>
  <c r="I374" i="12" s="1"/>
  <c r="J374" i="12" s="1"/>
  <c r="K374" i="12" s="1"/>
  <c r="L374" i="12" s="1"/>
  <c r="M374" i="12" s="1"/>
  <c r="N374" i="12" s="1"/>
  <c r="B374" i="12"/>
  <c r="C374" i="12"/>
  <c r="H373" i="12"/>
  <c r="I373" i="12" s="1"/>
  <c r="J373" i="12" s="1"/>
  <c r="K373" i="12" s="1"/>
  <c r="L373" i="12" s="1"/>
  <c r="M373" i="12" s="1"/>
  <c r="N373" i="12" s="1"/>
  <c r="B373" i="12"/>
  <c r="C373" i="12" s="1"/>
  <c r="H372" i="12"/>
  <c r="I372" i="12" s="1"/>
  <c r="J372" i="12" s="1"/>
  <c r="K372" i="12" s="1"/>
  <c r="L372" i="12" s="1"/>
  <c r="M372" i="12" s="1"/>
  <c r="N372" i="12" s="1"/>
  <c r="B372" i="12"/>
  <c r="C372" i="12" s="1"/>
  <c r="H371" i="12"/>
  <c r="I371" i="12"/>
  <c r="J371" i="12" s="1"/>
  <c r="K371" i="12" s="1"/>
  <c r="L371" i="12" s="1"/>
  <c r="M371" i="12" s="1"/>
  <c r="N371" i="12" s="1"/>
  <c r="B371" i="12"/>
  <c r="C371" i="12" s="1"/>
  <c r="H370" i="12"/>
  <c r="I370" i="12" s="1"/>
  <c r="J370" i="12" s="1"/>
  <c r="K370" i="12" s="1"/>
  <c r="L370" i="12" s="1"/>
  <c r="M370" i="12" s="1"/>
  <c r="N370" i="12" s="1"/>
  <c r="B370" i="12"/>
  <c r="C370" i="12"/>
  <c r="H369" i="12"/>
  <c r="I369" i="12" s="1"/>
  <c r="J369" i="12" s="1"/>
  <c r="K369" i="12" s="1"/>
  <c r="L369" i="12" s="1"/>
  <c r="M369" i="12" s="1"/>
  <c r="N369" i="12" s="1"/>
  <c r="B369" i="12"/>
  <c r="C369" i="12" s="1"/>
  <c r="H368" i="12"/>
  <c r="I368" i="12" s="1"/>
  <c r="J368" i="12" s="1"/>
  <c r="K368" i="12" s="1"/>
  <c r="L368" i="12" s="1"/>
  <c r="M368" i="12" s="1"/>
  <c r="N368" i="12" s="1"/>
  <c r="B368" i="12"/>
  <c r="C368" i="12" s="1"/>
  <c r="H367" i="12"/>
  <c r="I367" i="12"/>
  <c r="J367" i="12" s="1"/>
  <c r="K367" i="12" s="1"/>
  <c r="L367" i="12" s="1"/>
  <c r="M367" i="12" s="1"/>
  <c r="N367" i="12" s="1"/>
  <c r="B367" i="12"/>
  <c r="C367" i="12" s="1"/>
  <c r="H366" i="12"/>
  <c r="I366" i="12" s="1"/>
  <c r="J366" i="12" s="1"/>
  <c r="K366" i="12" s="1"/>
  <c r="L366" i="12" s="1"/>
  <c r="M366" i="12" s="1"/>
  <c r="N366" i="12" s="1"/>
  <c r="B366" i="12"/>
  <c r="C366" i="12"/>
  <c r="H365" i="12"/>
  <c r="I365" i="12" s="1"/>
  <c r="J365" i="12" s="1"/>
  <c r="K365" i="12" s="1"/>
  <c r="L365" i="12" s="1"/>
  <c r="M365" i="12" s="1"/>
  <c r="N365" i="12" s="1"/>
  <c r="B365" i="12"/>
  <c r="C365" i="12" s="1"/>
  <c r="H364" i="12"/>
  <c r="I364" i="12" s="1"/>
  <c r="J364" i="12" s="1"/>
  <c r="K364" i="12" s="1"/>
  <c r="L364" i="12" s="1"/>
  <c r="M364" i="12" s="1"/>
  <c r="N364" i="12" s="1"/>
  <c r="B364" i="12"/>
  <c r="C364" i="12" s="1"/>
  <c r="H363" i="12"/>
  <c r="I363" i="12"/>
  <c r="J363" i="12" s="1"/>
  <c r="K363" i="12" s="1"/>
  <c r="L363" i="12" s="1"/>
  <c r="M363" i="12" s="1"/>
  <c r="N363" i="12" s="1"/>
  <c r="B363" i="12"/>
  <c r="C363" i="12" s="1"/>
  <c r="H362" i="12"/>
  <c r="I362" i="12" s="1"/>
  <c r="J362" i="12" s="1"/>
  <c r="K362" i="12" s="1"/>
  <c r="L362" i="12" s="1"/>
  <c r="M362" i="12" s="1"/>
  <c r="N362" i="12" s="1"/>
  <c r="B362" i="12"/>
  <c r="C362" i="12"/>
  <c r="H361" i="12"/>
  <c r="I361" i="12" s="1"/>
  <c r="J361" i="12" s="1"/>
  <c r="K361" i="12" s="1"/>
  <c r="L361" i="12" s="1"/>
  <c r="M361" i="12" s="1"/>
  <c r="N361" i="12" s="1"/>
  <c r="B361" i="12"/>
  <c r="C361" i="12" s="1"/>
  <c r="H360" i="12"/>
  <c r="I360" i="12" s="1"/>
  <c r="J360" i="12" s="1"/>
  <c r="K360" i="12" s="1"/>
  <c r="L360" i="12" s="1"/>
  <c r="M360" i="12" s="1"/>
  <c r="N360" i="12" s="1"/>
  <c r="B360" i="12"/>
  <c r="C360" i="12" s="1"/>
  <c r="H359" i="12"/>
  <c r="I359" i="12"/>
  <c r="J359" i="12" s="1"/>
  <c r="K359" i="12" s="1"/>
  <c r="L359" i="12" s="1"/>
  <c r="M359" i="12" s="1"/>
  <c r="N359" i="12" s="1"/>
  <c r="B359" i="12"/>
  <c r="C359" i="12" s="1"/>
  <c r="H358" i="12"/>
  <c r="I358" i="12" s="1"/>
  <c r="J358" i="12" s="1"/>
  <c r="K358" i="12" s="1"/>
  <c r="L358" i="12" s="1"/>
  <c r="M358" i="12" s="1"/>
  <c r="N358" i="12" s="1"/>
  <c r="B358" i="12"/>
  <c r="C358" i="12"/>
  <c r="H357" i="12"/>
  <c r="I357" i="12" s="1"/>
  <c r="J357" i="12" s="1"/>
  <c r="K357" i="12" s="1"/>
  <c r="L357" i="12" s="1"/>
  <c r="M357" i="12" s="1"/>
  <c r="N357" i="12" s="1"/>
  <c r="B357" i="12"/>
  <c r="C357" i="12" s="1"/>
  <c r="H356" i="12"/>
  <c r="I356" i="12" s="1"/>
  <c r="J356" i="12" s="1"/>
  <c r="K356" i="12" s="1"/>
  <c r="L356" i="12" s="1"/>
  <c r="M356" i="12" s="1"/>
  <c r="N356" i="12" s="1"/>
  <c r="B356" i="12"/>
  <c r="C356" i="12" s="1"/>
  <c r="H355" i="12"/>
  <c r="I355" i="12"/>
  <c r="J355" i="12" s="1"/>
  <c r="K355" i="12" s="1"/>
  <c r="L355" i="12" s="1"/>
  <c r="M355" i="12" s="1"/>
  <c r="N355" i="12" s="1"/>
  <c r="B355" i="12"/>
  <c r="C355" i="12" s="1"/>
  <c r="H354" i="12"/>
  <c r="I354" i="12" s="1"/>
  <c r="J354" i="12" s="1"/>
  <c r="K354" i="12" s="1"/>
  <c r="L354" i="12" s="1"/>
  <c r="M354" i="12" s="1"/>
  <c r="N354" i="12" s="1"/>
  <c r="B354" i="12"/>
  <c r="C354" i="12"/>
  <c r="H353" i="12"/>
  <c r="I353" i="12" s="1"/>
  <c r="J353" i="12" s="1"/>
  <c r="K353" i="12" s="1"/>
  <c r="L353" i="12" s="1"/>
  <c r="M353" i="12" s="1"/>
  <c r="N353" i="12" s="1"/>
  <c r="B353" i="12"/>
  <c r="C353" i="12" s="1"/>
  <c r="H352" i="12"/>
  <c r="I352" i="12" s="1"/>
  <c r="J352" i="12" s="1"/>
  <c r="K352" i="12" s="1"/>
  <c r="L352" i="12" s="1"/>
  <c r="M352" i="12" s="1"/>
  <c r="N352" i="12" s="1"/>
  <c r="B352" i="12"/>
  <c r="C352" i="12" s="1"/>
  <c r="H351" i="12"/>
  <c r="I351" i="12"/>
  <c r="J351" i="12" s="1"/>
  <c r="K351" i="12" s="1"/>
  <c r="L351" i="12" s="1"/>
  <c r="M351" i="12" s="1"/>
  <c r="N351" i="12" s="1"/>
  <c r="B351" i="12"/>
  <c r="C351" i="12"/>
  <c r="H350" i="12"/>
  <c r="I350" i="12" s="1"/>
  <c r="J350" i="12" s="1"/>
  <c r="K350" i="12" s="1"/>
  <c r="L350" i="12" s="1"/>
  <c r="M350" i="12" s="1"/>
  <c r="N350" i="12" s="1"/>
  <c r="B350" i="12"/>
  <c r="C350" i="12"/>
  <c r="H349" i="12"/>
  <c r="I349" i="12" s="1"/>
  <c r="J349" i="12" s="1"/>
  <c r="K349" i="12" s="1"/>
  <c r="L349" i="12" s="1"/>
  <c r="M349" i="12" s="1"/>
  <c r="N349" i="12" s="1"/>
  <c r="B349" i="12"/>
  <c r="C349" i="12" s="1"/>
  <c r="H348" i="12"/>
  <c r="I348" i="12" s="1"/>
  <c r="J348" i="12" s="1"/>
  <c r="K348" i="12" s="1"/>
  <c r="L348" i="12" s="1"/>
  <c r="M348" i="12" s="1"/>
  <c r="N348" i="12" s="1"/>
  <c r="B348" i="12"/>
  <c r="C348" i="12" s="1"/>
  <c r="H347" i="12"/>
  <c r="I347" i="12"/>
  <c r="J347" i="12" s="1"/>
  <c r="K347" i="12" s="1"/>
  <c r="L347" i="12" s="1"/>
  <c r="M347" i="12" s="1"/>
  <c r="N347" i="12" s="1"/>
  <c r="B347" i="12"/>
  <c r="C347" i="12" s="1"/>
  <c r="H346" i="12"/>
  <c r="I346" i="12" s="1"/>
  <c r="J346" i="12" s="1"/>
  <c r="K346" i="12" s="1"/>
  <c r="L346" i="12" s="1"/>
  <c r="M346" i="12" s="1"/>
  <c r="N346" i="12" s="1"/>
  <c r="B346" i="12"/>
  <c r="C346" i="12"/>
  <c r="H345" i="12"/>
  <c r="I345" i="12" s="1"/>
  <c r="J345" i="12" s="1"/>
  <c r="K345" i="12" s="1"/>
  <c r="L345" i="12" s="1"/>
  <c r="M345" i="12" s="1"/>
  <c r="N345" i="12" s="1"/>
  <c r="B345" i="12"/>
  <c r="C345" i="12" s="1"/>
  <c r="H344" i="12"/>
  <c r="I344" i="12" s="1"/>
  <c r="J344" i="12" s="1"/>
  <c r="K344" i="12" s="1"/>
  <c r="L344" i="12" s="1"/>
  <c r="M344" i="12" s="1"/>
  <c r="N344" i="12" s="1"/>
  <c r="B344" i="12"/>
  <c r="C344" i="12" s="1"/>
  <c r="H343" i="12"/>
  <c r="I343" i="12"/>
  <c r="J343" i="12" s="1"/>
  <c r="K343" i="12" s="1"/>
  <c r="L343" i="12" s="1"/>
  <c r="M343" i="12" s="1"/>
  <c r="N343" i="12" s="1"/>
  <c r="B343" i="12"/>
  <c r="C343" i="12"/>
  <c r="H342" i="12"/>
  <c r="I342" i="12" s="1"/>
  <c r="J342" i="12" s="1"/>
  <c r="K342" i="12" s="1"/>
  <c r="L342" i="12" s="1"/>
  <c r="M342" i="12" s="1"/>
  <c r="N342" i="12" s="1"/>
  <c r="B342" i="12"/>
  <c r="C342" i="12"/>
  <c r="H341" i="12"/>
  <c r="I341" i="12" s="1"/>
  <c r="J341" i="12" s="1"/>
  <c r="K341" i="12" s="1"/>
  <c r="L341" i="12" s="1"/>
  <c r="M341" i="12" s="1"/>
  <c r="N341" i="12" s="1"/>
  <c r="B341" i="12"/>
  <c r="C341" i="12" s="1"/>
  <c r="H340" i="12"/>
  <c r="I340" i="12" s="1"/>
  <c r="J340" i="12" s="1"/>
  <c r="K340" i="12" s="1"/>
  <c r="L340" i="12" s="1"/>
  <c r="M340" i="12" s="1"/>
  <c r="N340" i="12" s="1"/>
  <c r="B340" i="12"/>
  <c r="C340" i="12" s="1"/>
  <c r="H339" i="12"/>
  <c r="I339" i="12"/>
  <c r="J339" i="12" s="1"/>
  <c r="K339" i="12" s="1"/>
  <c r="L339" i="12" s="1"/>
  <c r="M339" i="12" s="1"/>
  <c r="N339" i="12" s="1"/>
  <c r="B339" i="12"/>
  <c r="C339" i="12" s="1"/>
  <c r="H338" i="12"/>
  <c r="I338" i="12" s="1"/>
  <c r="J338" i="12" s="1"/>
  <c r="K338" i="12" s="1"/>
  <c r="L338" i="12" s="1"/>
  <c r="M338" i="12" s="1"/>
  <c r="N338" i="12" s="1"/>
  <c r="B338" i="12"/>
  <c r="C338" i="12"/>
  <c r="H337" i="12"/>
  <c r="I337" i="12" s="1"/>
  <c r="J337" i="12" s="1"/>
  <c r="K337" i="12" s="1"/>
  <c r="L337" i="12" s="1"/>
  <c r="M337" i="12" s="1"/>
  <c r="N337" i="12" s="1"/>
  <c r="B337" i="12"/>
  <c r="C337" i="12" s="1"/>
  <c r="H336" i="12"/>
  <c r="I336" i="12" s="1"/>
  <c r="J336" i="12" s="1"/>
  <c r="K336" i="12" s="1"/>
  <c r="L336" i="12" s="1"/>
  <c r="M336" i="12" s="1"/>
  <c r="N336" i="12" s="1"/>
  <c r="B336" i="12"/>
  <c r="C336" i="12" s="1"/>
  <c r="H335" i="12"/>
  <c r="I335" i="12"/>
  <c r="J335" i="12" s="1"/>
  <c r="K335" i="12" s="1"/>
  <c r="L335" i="12" s="1"/>
  <c r="M335" i="12" s="1"/>
  <c r="N335" i="12" s="1"/>
  <c r="B335" i="12"/>
  <c r="C335" i="12" s="1"/>
  <c r="H334" i="12"/>
  <c r="I334" i="12" s="1"/>
  <c r="J334" i="12" s="1"/>
  <c r="K334" i="12" s="1"/>
  <c r="L334" i="12" s="1"/>
  <c r="M334" i="12" s="1"/>
  <c r="N334" i="12" s="1"/>
  <c r="B334" i="12"/>
  <c r="C334" i="12"/>
  <c r="H333" i="12"/>
  <c r="I333" i="12" s="1"/>
  <c r="J333" i="12" s="1"/>
  <c r="K333" i="12" s="1"/>
  <c r="L333" i="12" s="1"/>
  <c r="M333" i="12" s="1"/>
  <c r="N333" i="12" s="1"/>
  <c r="B333" i="12"/>
  <c r="C333" i="12" s="1"/>
  <c r="H332" i="12"/>
  <c r="I332" i="12" s="1"/>
  <c r="J332" i="12" s="1"/>
  <c r="K332" i="12" s="1"/>
  <c r="L332" i="12" s="1"/>
  <c r="M332" i="12" s="1"/>
  <c r="N332" i="12" s="1"/>
  <c r="B332" i="12"/>
  <c r="C332" i="12" s="1"/>
  <c r="H331" i="12"/>
  <c r="I331" i="12"/>
  <c r="J331" i="12" s="1"/>
  <c r="K331" i="12" s="1"/>
  <c r="L331" i="12" s="1"/>
  <c r="M331" i="12" s="1"/>
  <c r="N331" i="12" s="1"/>
  <c r="B331" i="12"/>
  <c r="C331" i="12"/>
  <c r="H330" i="12"/>
  <c r="I330" i="12" s="1"/>
  <c r="J330" i="12" s="1"/>
  <c r="K330" i="12" s="1"/>
  <c r="L330" i="12" s="1"/>
  <c r="M330" i="12" s="1"/>
  <c r="N330" i="12" s="1"/>
  <c r="B330" i="12"/>
  <c r="C330" i="12"/>
  <c r="H329" i="12"/>
  <c r="I329" i="12" s="1"/>
  <c r="J329" i="12" s="1"/>
  <c r="K329" i="12" s="1"/>
  <c r="L329" i="12" s="1"/>
  <c r="M329" i="12" s="1"/>
  <c r="N329" i="12" s="1"/>
  <c r="B329" i="12"/>
  <c r="C329" i="12" s="1"/>
  <c r="H328" i="12"/>
  <c r="I328" i="12" s="1"/>
  <c r="J328" i="12" s="1"/>
  <c r="K328" i="12" s="1"/>
  <c r="L328" i="12" s="1"/>
  <c r="M328" i="12" s="1"/>
  <c r="N328" i="12" s="1"/>
  <c r="B328" i="12"/>
  <c r="C328" i="12" s="1"/>
  <c r="H327" i="12"/>
  <c r="I327" i="12"/>
  <c r="J327" i="12" s="1"/>
  <c r="K327" i="12" s="1"/>
  <c r="L327" i="12" s="1"/>
  <c r="M327" i="12" s="1"/>
  <c r="N327" i="12" s="1"/>
  <c r="B327" i="12"/>
  <c r="C327" i="12" s="1"/>
  <c r="H326" i="12"/>
  <c r="I326" i="12" s="1"/>
  <c r="J326" i="12" s="1"/>
  <c r="K326" i="12" s="1"/>
  <c r="L326" i="12" s="1"/>
  <c r="M326" i="12" s="1"/>
  <c r="N326" i="12" s="1"/>
  <c r="B326" i="12"/>
  <c r="C326" i="12"/>
  <c r="H325" i="12"/>
  <c r="I325" i="12" s="1"/>
  <c r="J325" i="12" s="1"/>
  <c r="K325" i="12" s="1"/>
  <c r="L325" i="12" s="1"/>
  <c r="M325" i="12" s="1"/>
  <c r="N325" i="12" s="1"/>
  <c r="B325" i="12"/>
  <c r="C325" i="12" s="1"/>
  <c r="H324" i="12"/>
  <c r="I324" i="12" s="1"/>
  <c r="J324" i="12" s="1"/>
  <c r="K324" i="12" s="1"/>
  <c r="L324" i="12" s="1"/>
  <c r="M324" i="12" s="1"/>
  <c r="N324" i="12" s="1"/>
  <c r="B324" i="12"/>
  <c r="C324" i="12" s="1"/>
  <c r="H323" i="12"/>
  <c r="I323" i="12"/>
  <c r="J323" i="12" s="1"/>
  <c r="K323" i="12" s="1"/>
  <c r="L323" i="12" s="1"/>
  <c r="M323" i="12" s="1"/>
  <c r="N323" i="12" s="1"/>
  <c r="B323" i="12"/>
  <c r="C323" i="12" s="1"/>
  <c r="H322" i="12"/>
  <c r="I322" i="12" s="1"/>
  <c r="J322" i="12" s="1"/>
  <c r="K322" i="12" s="1"/>
  <c r="L322" i="12" s="1"/>
  <c r="M322" i="12" s="1"/>
  <c r="N322" i="12" s="1"/>
  <c r="B322" i="12"/>
  <c r="C322" i="12"/>
  <c r="H321" i="12"/>
  <c r="I321" i="12" s="1"/>
  <c r="J321" i="12" s="1"/>
  <c r="K321" i="12" s="1"/>
  <c r="L321" i="12" s="1"/>
  <c r="M321" i="12" s="1"/>
  <c r="N321" i="12" s="1"/>
  <c r="B321" i="12"/>
  <c r="C321" i="12" s="1"/>
  <c r="H320" i="12"/>
  <c r="I320" i="12" s="1"/>
  <c r="J320" i="12" s="1"/>
  <c r="K320" i="12" s="1"/>
  <c r="L320" i="12" s="1"/>
  <c r="M320" i="12" s="1"/>
  <c r="N320" i="12" s="1"/>
  <c r="B320" i="12"/>
  <c r="C320" i="12" s="1"/>
  <c r="H319" i="12"/>
  <c r="I319" i="12"/>
  <c r="J319" i="12" s="1"/>
  <c r="K319" i="12" s="1"/>
  <c r="L319" i="12" s="1"/>
  <c r="M319" i="12" s="1"/>
  <c r="N319" i="12" s="1"/>
  <c r="B319" i="12"/>
  <c r="C319" i="12"/>
  <c r="H318" i="12"/>
  <c r="I318" i="12" s="1"/>
  <c r="J318" i="12" s="1"/>
  <c r="K318" i="12" s="1"/>
  <c r="L318" i="12" s="1"/>
  <c r="M318" i="12" s="1"/>
  <c r="N318" i="12" s="1"/>
  <c r="B318" i="12"/>
  <c r="C318" i="12"/>
  <c r="H317" i="12"/>
  <c r="I317" i="12" s="1"/>
  <c r="J317" i="12" s="1"/>
  <c r="K317" i="12" s="1"/>
  <c r="L317" i="12" s="1"/>
  <c r="M317" i="12" s="1"/>
  <c r="N317" i="12" s="1"/>
  <c r="B317" i="12"/>
  <c r="C317" i="12" s="1"/>
  <c r="H316" i="12"/>
  <c r="I316" i="12" s="1"/>
  <c r="J316" i="12" s="1"/>
  <c r="K316" i="12" s="1"/>
  <c r="L316" i="12" s="1"/>
  <c r="M316" i="12" s="1"/>
  <c r="N316" i="12" s="1"/>
  <c r="B316" i="12"/>
  <c r="C316" i="12" s="1"/>
  <c r="H315" i="12"/>
  <c r="I315" i="12"/>
  <c r="J315" i="12" s="1"/>
  <c r="K315" i="12" s="1"/>
  <c r="L315" i="12" s="1"/>
  <c r="M315" i="12" s="1"/>
  <c r="N315" i="12" s="1"/>
  <c r="B315" i="12"/>
  <c r="C315" i="12" s="1"/>
  <c r="H314" i="12"/>
  <c r="I314" i="12" s="1"/>
  <c r="J314" i="12" s="1"/>
  <c r="K314" i="12" s="1"/>
  <c r="L314" i="12" s="1"/>
  <c r="M314" i="12" s="1"/>
  <c r="N314" i="12" s="1"/>
  <c r="B314" i="12"/>
  <c r="C314" i="12"/>
  <c r="H313" i="12"/>
  <c r="I313" i="12" s="1"/>
  <c r="J313" i="12" s="1"/>
  <c r="K313" i="12" s="1"/>
  <c r="L313" i="12" s="1"/>
  <c r="M313" i="12" s="1"/>
  <c r="N313" i="12" s="1"/>
  <c r="B313" i="12"/>
  <c r="C313" i="12" s="1"/>
  <c r="H312" i="12"/>
  <c r="I312" i="12" s="1"/>
  <c r="J312" i="12" s="1"/>
  <c r="K312" i="12" s="1"/>
  <c r="L312" i="12" s="1"/>
  <c r="M312" i="12" s="1"/>
  <c r="N312" i="12" s="1"/>
  <c r="B312" i="12"/>
  <c r="C312" i="12" s="1"/>
  <c r="H311" i="12"/>
  <c r="I311" i="12"/>
  <c r="J311" i="12" s="1"/>
  <c r="K311" i="12" s="1"/>
  <c r="L311" i="12" s="1"/>
  <c r="M311" i="12" s="1"/>
  <c r="N311" i="12" s="1"/>
  <c r="B311" i="12"/>
  <c r="C311" i="12" s="1"/>
  <c r="H310" i="12"/>
  <c r="I310" i="12" s="1"/>
  <c r="J310" i="12" s="1"/>
  <c r="K310" i="12" s="1"/>
  <c r="L310" i="12" s="1"/>
  <c r="M310" i="12" s="1"/>
  <c r="N310" i="12" s="1"/>
  <c r="B310" i="12"/>
  <c r="C310" i="12"/>
  <c r="H309" i="12"/>
  <c r="I309" i="12" s="1"/>
  <c r="J309" i="12" s="1"/>
  <c r="K309" i="12" s="1"/>
  <c r="L309" i="12" s="1"/>
  <c r="M309" i="12" s="1"/>
  <c r="N309" i="12" s="1"/>
  <c r="B309" i="12"/>
  <c r="C309" i="12" s="1"/>
  <c r="H308" i="12"/>
  <c r="I308" i="12" s="1"/>
  <c r="J308" i="12" s="1"/>
  <c r="K308" i="12" s="1"/>
  <c r="L308" i="12" s="1"/>
  <c r="M308" i="12" s="1"/>
  <c r="N308" i="12" s="1"/>
  <c r="B308" i="12"/>
  <c r="C308" i="12" s="1"/>
  <c r="H307" i="12"/>
  <c r="I307" i="12"/>
  <c r="J307" i="12" s="1"/>
  <c r="K307" i="12" s="1"/>
  <c r="L307" i="12" s="1"/>
  <c r="M307" i="12" s="1"/>
  <c r="N307" i="12" s="1"/>
  <c r="B307" i="12"/>
  <c r="C307" i="12" s="1"/>
  <c r="H306" i="12"/>
  <c r="I306" i="12" s="1"/>
  <c r="J306" i="12" s="1"/>
  <c r="K306" i="12" s="1"/>
  <c r="L306" i="12" s="1"/>
  <c r="M306" i="12" s="1"/>
  <c r="N306" i="12" s="1"/>
  <c r="B306" i="12"/>
  <c r="C306" i="12"/>
  <c r="H305" i="12"/>
  <c r="I305" i="12" s="1"/>
  <c r="J305" i="12" s="1"/>
  <c r="K305" i="12" s="1"/>
  <c r="L305" i="12" s="1"/>
  <c r="M305" i="12" s="1"/>
  <c r="N305" i="12" s="1"/>
  <c r="B305" i="12"/>
  <c r="C305" i="12" s="1"/>
  <c r="H304" i="12"/>
  <c r="I304" i="12" s="1"/>
  <c r="J304" i="12" s="1"/>
  <c r="K304" i="12" s="1"/>
  <c r="L304" i="12" s="1"/>
  <c r="M304" i="12" s="1"/>
  <c r="N304" i="12" s="1"/>
  <c r="B304" i="12"/>
  <c r="C304" i="12" s="1"/>
  <c r="H303" i="12"/>
  <c r="I303" i="12"/>
  <c r="J303" i="12" s="1"/>
  <c r="K303" i="12" s="1"/>
  <c r="L303" i="12" s="1"/>
  <c r="M303" i="12" s="1"/>
  <c r="N303" i="12" s="1"/>
  <c r="B303" i="12"/>
  <c r="C303" i="12" s="1"/>
  <c r="H302" i="12"/>
  <c r="I302" i="12" s="1"/>
  <c r="J302" i="12" s="1"/>
  <c r="K302" i="12" s="1"/>
  <c r="L302" i="12" s="1"/>
  <c r="M302" i="12" s="1"/>
  <c r="N302" i="12" s="1"/>
  <c r="B302" i="12"/>
  <c r="C302" i="12"/>
  <c r="H301" i="12"/>
  <c r="I301" i="12" s="1"/>
  <c r="J301" i="12" s="1"/>
  <c r="K301" i="12" s="1"/>
  <c r="L301" i="12" s="1"/>
  <c r="M301" i="12" s="1"/>
  <c r="N301" i="12" s="1"/>
  <c r="B301" i="12"/>
  <c r="C301" i="12" s="1"/>
  <c r="H300" i="12"/>
  <c r="I300" i="12" s="1"/>
  <c r="J300" i="12" s="1"/>
  <c r="K300" i="12" s="1"/>
  <c r="L300" i="12" s="1"/>
  <c r="M300" i="12" s="1"/>
  <c r="N300" i="12" s="1"/>
  <c r="B300" i="12"/>
  <c r="C300" i="12" s="1"/>
  <c r="H299" i="12"/>
  <c r="I299" i="12"/>
  <c r="J299" i="12" s="1"/>
  <c r="K299" i="12" s="1"/>
  <c r="L299" i="12" s="1"/>
  <c r="M299" i="12" s="1"/>
  <c r="N299" i="12" s="1"/>
  <c r="B299" i="12"/>
  <c r="C299" i="12" s="1"/>
  <c r="H298" i="12"/>
  <c r="I298" i="12" s="1"/>
  <c r="J298" i="12" s="1"/>
  <c r="K298" i="12" s="1"/>
  <c r="L298" i="12" s="1"/>
  <c r="M298" i="12" s="1"/>
  <c r="N298" i="12" s="1"/>
  <c r="B298" i="12"/>
  <c r="C298" i="12"/>
  <c r="H297" i="12"/>
  <c r="I297" i="12" s="1"/>
  <c r="J297" i="12" s="1"/>
  <c r="K297" i="12" s="1"/>
  <c r="L297" i="12" s="1"/>
  <c r="M297" i="12" s="1"/>
  <c r="N297" i="12" s="1"/>
  <c r="B297" i="12"/>
  <c r="C297" i="12" s="1"/>
  <c r="H296" i="12"/>
  <c r="I296" i="12" s="1"/>
  <c r="J296" i="12" s="1"/>
  <c r="K296" i="12" s="1"/>
  <c r="L296" i="12" s="1"/>
  <c r="M296" i="12" s="1"/>
  <c r="N296" i="12" s="1"/>
  <c r="B296" i="12"/>
  <c r="C296" i="12" s="1"/>
  <c r="H295" i="12"/>
  <c r="I295" i="12"/>
  <c r="J295" i="12" s="1"/>
  <c r="K295" i="12" s="1"/>
  <c r="L295" i="12" s="1"/>
  <c r="M295" i="12" s="1"/>
  <c r="N295" i="12" s="1"/>
  <c r="B295" i="12"/>
  <c r="C295" i="12"/>
  <c r="H294" i="12"/>
  <c r="I294" i="12" s="1"/>
  <c r="J294" i="12" s="1"/>
  <c r="K294" i="12" s="1"/>
  <c r="L294" i="12" s="1"/>
  <c r="M294" i="12" s="1"/>
  <c r="N294" i="12" s="1"/>
  <c r="B294" i="12"/>
  <c r="C294" i="12"/>
  <c r="H293" i="12"/>
  <c r="I293" i="12" s="1"/>
  <c r="J293" i="12" s="1"/>
  <c r="K293" i="12" s="1"/>
  <c r="L293" i="12" s="1"/>
  <c r="M293" i="12" s="1"/>
  <c r="N293" i="12" s="1"/>
  <c r="B293" i="12"/>
  <c r="C293" i="12" s="1"/>
  <c r="H292" i="12"/>
  <c r="I292" i="12" s="1"/>
  <c r="J292" i="12" s="1"/>
  <c r="K292" i="12" s="1"/>
  <c r="L292" i="12" s="1"/>
  <c r="M292" i="12" s="1"/>
  <c r="N292" i="12" s="1"/>
  <c r="B292" i="12"/>
  <c r="C292" i="12" s="1"/>
  <c r="H291" i="12"/>
  <c r="I291" i="12"/>
  <c r="J291" i="12" s="1"/>
  <c r="K291" i="12" s="1"/>
  <c r="L291" i="12" s="1"/>
  <c r="M291" i="12" s="1"/>
  <c r="N291" i="12" s="1"/>
  <c r="B291" i="12"/>
  <c r="C291" i="12"/>
  <c r="H290" i="12"/>
  <c r="I290" i="12" s="1"/>
  <c r="J290" i="12" s="1"/>
  <c r="K290" i="12" s="1"/>
  <c r="L290" i="12" s="1"/>
  <c r="M290" i="12" s="1"/>
  <c r="N290" i="12" s="1"/>
  <c r="B290" i="12"/>
  <c r="C290" i="12"/>
  <c r="H289" i="12"/>
  <c r="I289" i="12" s="1"/>
  <c r="J289" i="12" s="1"/>
  <c r="K289" i="12" s="1"/>
  <c r="L289" i="12" s="1"/>
  <c r="M289" i="12" s="1"/>
  <c r="N289" i="12" s="1"/>
  <c r="B289" i="12"/>
  <c r="C289" i="12" s="1"/>
  <c r="H288" i="12"/>
  <c r="I288" i="12" s="1"/>
  <c r="J288" i="12" s="1"/>
  <c r="K288" i="12" s="1"/>
  <c r="L288" i="12" s="1"/>
  <c r="M288" i="12" s="1"/>
  <c r="N288" i="12" s="1"/>
  <c r="B288" i="12"/>
  <c r="C288" i="12" s="1"/>
  <c r="H287" i="12"/>
  <c r="I287" i="12"/>
  <c r="J287" i="12" s="1"/>
  <c r="K287" i="12" s="1"/>
  <c r="L287" i="12" s="1"/>
  <c r="M287" i="12" s="1"/>
  <c r="N287" i="12" s="1"/>
  <c r="B287" i="12"/>
  <c r="C287" i="12"/>
  <c r="H286" i="12"/>
  <c r="I286" i="12" s="1"/>
  <c r="J286" i="12" s="1"/>
  <c r="K286" i="12" s="1"/>
  <c r="L286" i="12" s="1"/>
  <c r="M286" i="12" s="1"/>
  <c r="N286" i="12" s="1"/>
  <c r="B286" i="12"/>
  <c r="C286" i="12"/>
  <c r="H285" i="12"/>
  <c r="I285" i="12" s="1"/>
  <c r="J285" i="12" s="1"/>
  <c r="K285" i="12" s="1"/>
  <c r="L285" i="12" s="1"/>
  <c r="M285" i="12" s="1"/>
  <c r="N285" i="12" s="1"/>
  <c r="B285" i="12"/>
  <c r="C285" i="12" s="1"/>
  <c r="H284" i="12"/>
  <c r="I284" i="12" s="1"/>
  <c r="J284" i="12" s="1"/>
  <c r="K284" i="12" s="1"/>
  <c r="L284" i="12" s="1"/>
  <c r="M284" i="12" s="1"/>
  <c r="N284" i="12" s="1"/>
  <c r="B284" i="12"/>
  <c r="C284" i="12" s="1"/>
  <c r="H283" i="12"/>
  <c r="I283" i="12"/>
  <c r="J283" i="12" s="1"/>
  <c r="K283" i="12" s="1"/>
  <c r="L283" i="12" s="1"/>
  <c r="M283" i="12" s="1"/>
  <c r="N283" i="12" s="1"/>
  <c r="B283" i="12"/>
  <c r="C283" i="12"/>
  <c r="H282" i="12"/>
  <c r="I282" i="12" s="1"/>
  <c r="J282" i="12" s="1"/>
  <c r="K282" i="12" s="1"/>
  <c r="L282" i="12" s="1"/>
  <c r="M282" i="12" s="1"/>
  <c r="N282" i="12" s="1"/>
  <c r="B282" i="12"/>
  <c r="C282" i="12"/>
  <c r="H281" i="12"/>
  <c r="I281" i="12" s="1"/>
  <c r="J281" i="12" s="1"/>
  <c r="K281" i="12" s="1"/>
  <c r="L281" i="12" s="1"/>
  <c r="M281" i="12" s="1"/>
  <c r="N281" i="12" s="1"/>
  <c r="B281" i="12"/>
  <c r="C281" i="12" s="1"/>
  <c r="H280" i="12"/>
  <c r="I280" i="12"/>
  <c r="J280" i="12"/>
  <c r="K280" i="12" s="1"/>
  <c r="L280" i="12" s="1"/>
  <c r="M280" i="12" s="1"/>
  <c r="N280" i="12" s="1"/>
  <c r="B280" i="12"/>
  <c r="C280" i="12" s="1"/>
  <c r="H279" i="12"/>
  <c r="I279" i="12"/>
  <c r="J279" i="12" s="1"/>
  <c r="K279" i="12" s="1"/>
  <c r="L279" i="12" s="1"/>
  <c r="M279" i="12" s="1"/>
  <c r="N279" i="12" s="1"/>
  <c r="B279" i="12"/>
  <c r="C279" i="12"/>
  <c r="H278" i="12"/>
  <c r="I278" i="12" s="1"/>
  <c r="J278" i="12" s="1"/>
  <c r="K278" i="12" s="1"/>
  <c r="L278" i="12" s="1"/>
  <c r="M278" i="12" s="1"/>
  <c r="N278" i="12" s="1"/>
  <c r="B278" i="12"/>
  <c r="C278" i="12"/>
  <c r="H277" i="12"/>
  <c r="I277" i="12" s="1"/>
  <c r="J277" i="12" s="1"/>
  <c r="K277" i="12" s="1"/>
  <c r="L277" i="12" s="1"/>
  <c r="M277" i="12" s="1"/>
  <c r="N277" i="12" s="1"/>
  <c r="B277" i="12"/>
  <c r="C277" i="12" s="1"/>
  <c r="H276" i="12"/>
  <c r="I276" i="12"/>
  <c r="J276" i="12"/>
  <c r="K276" i="12" s="1"/>
  <c r="L276" i="12" s="1"/>
  <c r="M276" i="12" s="1"/>
  <c r="N276" i="12" s="1"/>
  <c r="B276" i="12"/>
  <c r="C276" i="12" s="1"/>
  <c r="H275" i="12"/>
  <c r="I275" i="12"/>
  <c r="J275" i="12" s="1"/>
  <c r="K275" i="12" s="1"/>
  <c r="L275" i="12" s="1"/>
  <c r="M275" i="12" s="1"/>
  <c r="N275" i="12" s="1"/>
  <c r="B275" i="12"/>
  <c r="C275" i="12"/>
  <c r="H274" i="12"/>
  <c r="I274" i="12" s="1"/>
  <c r="J274" i="12" s="1"/>
  <c r="K274" i="12" s="1"/>
  <c r="L274" i="12" s="1"/>
  <c r="M274" i="12" s="1"/>
  <c r="N274" i="12" s="1"/>
  <c r="B274" i="12"/>
  <c r="C274" i="12"/>
  <c r="H273" i="12"/>
  <c r="I273" i="12" s="1"/>
  <c r="J273" i="12" s="1"/>
  <c r="K273" i="12" s="1"/>
  <c r="L273" i="12" s="1"/>
  <c r="M273" i="12" s="1"/>
  <c r="N273" i="12" s="1"/>
  <c r="B273" i="12"/>
  <c r="C273" i="12" s="1"/>
  <c r="H272" i="12"/>
  <c r="I272" i="12"/>
  <c r="J272" i="12"/>
  <c r="K272" i="12" s="1"/>
  <c r="L272" i="12" s="1"/>
  <c r="M272" i="12" s="1"/>
  <c r="N272" i="12" s="1"/>
  <c r="B272" i="12"/>
  <c r="C272" i="12" s="1"/>
  <c r="H271" i="12"/>
  <c r="I271" i="12"/>
  <c r="J271" i="12" s="1"/>
  <c r="K271" i="12" s="1"/>
  <c r="L271" i="12" s="1"/>
  <c r="M271" i="12" s="1"/>
  <c r="N271" i="12" s="1"/>
  <c r="B271" i="12"/>
  <c r="C271" i="12"/>
  <c r="H270" i="12"/>
  <c r="I270" i="12" s="1"/>
  <c r="J270" i="12" s="1"/>
  <c r="K270" i="12" s="1"/>
  <c r="L270" i="12" s="1"/>
  <c r="M270" i="12" s="1"/>
  <c r="N270" i="12" s="1"/>
  <c r="B270" i="12"/>
  <c r="C270" i="12"/>
  <c r="H269" i="12"/>
  <c r="I269" i="12" s="1"/>
  <c r="J269" i="12" s="1"/>
  <c r="K269" i="12" s="1"/>
  <c r="L269" i="12" s="1"/>
  <c r="M269" i="12" s="1"/>
  <c r="N269" i="12" s="1"/>
  <c r="B269" i="12"/>
  <c r="C269" i="12" s="1"/>
  <c r="H268" i="12"/>
  <c r="I268" i="12" s="1"/>
  <c r="J268" i="12" s="1"/>
  <c r="K268" i="12" s="1"/>
  <c r="L268" i="12" s="1"/>
  <c r="M268" i="12" s="1"/>
  <c r="N268" i="12" s="1"/>
  <c r="B268" i="12"/>
  <c r="C268" i="12" s="1"/>
  <c r="H267" i="12"/>
  <c r="I267" i="12"/>
  <c r="J267" i="12" s="1"/>
  <c r="K267" i="12" s="1"/>
  <c r="L267" i="12" s="1"/>
  <c r="M267" i="12" s="1"/>
  <c r="N267" i="12" s="1"/>
  <c r="B267" i="12"/>
  <c r="C267" i="12" s="1"/>
  <c r="H266" i="12"/>
  <c r="I266" i="12" s="1"/>
  <c r="J266" i="12" s="1"/>
  <c r="K266" i="12" s="1"/>
  <c r="L266" i="12" s="1"/>
  <c r="M266" i="12" s="1"/>
  <c r="N266" i="12" s="1"/>
  <c r="B266" i="12"/>
  <c r="C266" i="12"/>
  <c r="H265" i="12"/>
  <c r="I265" i="12" s="1"/>
  <c r="J265" i="12" s="1"/>
  <c r="K265" i="12" s="1"/>
  <c r="L265" i="12" s="1"/>
  <c r="M265" i="12" s="1"/>
  <c r="N265" i="12" s="1"/>
  <c r="B265" i="12"/>
  <c r="C265" i="12" s="1"/>
  <c r="H264" i="12"/>
  <c r="I264" i="12" s="1"/>
  <c r="J264" i="12" s="1"/>
  <c r="K264" i="12" s="1"/>
  <c r="L264" i="12" s="1"/>
  <c r="M264" i="12" s="1"/>
  <c r="N264" i="12" s="1"/>
  <c r="B264" i="12"/>
  <c r="C264" i="12" s="1"/>
  <c r="H263" i="12"/>
  <c r="I263" i="12"/>
  <c r="J263" i="12" s="1"/>
  <c r="K263" i="12" s="1"/>
  <c r="L263" i="12" s="1"/>
  <c r="M263" i="12" s="1"/>
  <c r="N263" i="12" s="1"/>
  <c r="B263" i="12"/>
  <c r="C263" i="12" s="1"/>
  <c r="H262" i="12"/>
  <c r="I262" i="12" s="1"/>
  <c r="J262" i="12" s="1"/>
  <c r="K262" i="12" s="1"/>
  <c r="L262" i="12" s="1"/>
  <c r="M262" i="12" s="1"/>
  <c r="N262" i="12" s="1"/>
  <c r="B262" i="12"/>
  <c r="C262" i="12"/>
  <c r="H261" i="12"/>
  <c r="I261" i="12" s="1"/>
  <c r="J261" i="12" s="1"/>
  <c r="K261" i="12" s="1"/>
  <c r="L261" i="12" s="1"/>
  <c r="M261" i="12" s="1"/>
  <c r="N261" i="12" s="1"/>
  <c r="B261" i="12"/>
  <c r="C261" i="12" s="1"/>
  <c r="H260" i="12"/>
  <c r="I260" i="12" s="1"/>
  <c r="J260" i="12" s="1"/>
  <c r="K260" i="12" s="1"/>
  <c r="L260" i="12" s="1"/>
  <c r="M260" i="12" s="1"/>
  <c r="N260" i="12" s="1"/>
  <c r="B260" i="12"/>
  <c r="C260" i="12" s="1"/>
  <c r="H259" i="12"/>
  <c r="I259" i="12"/>
  <c r="J259" i="12" s="1"/>
  <c r="K259" i="12" s="1"/>
  <c r="L259" i="12" s="1"/>
  <c r="M259" i="12" s="1"/>
  <c r="N259" i="12" s="1"/>
  <c r="B259" i="12"/>
  <c r="C259" i="12" s="1"/>
  <c r="H258" i="12"/>
  <c r="I258" i="12" s="1"/>
  <c r="J258" i="12" s="1"/>
  <c r="K258" i="12" s="1"/>
  <c r="L258" i="12" s="1"/>
  <c r="M258" i="12" s="1"/>
  <c r="N258" i="12" s="1"/>
  <c r="B258" i="12"/>
  <c r="C258" i="12"/>
  <c r="H257" i="12"/>
  <c r="I257" i="12" s="1"/>
  <c r="J257" i="12" s="1"/>
  <c r="K257" i="12" s="1"/>
  <c r="L257" i="12" s="1"/>
  <c r="M257" i="12" s="1"/>
  <c r="N257" i="12" s="1"/>
  <c r="B257" i="12"/>
  <c r="C257" i="12" s="1"/>
  <c r="H256" i="12"/>
  <c r="I256" i="12" s="1"/>
  <c r="J256" i="12" s="1"/>
  <c r="K256" i="12" s="1"/>
  <c r="L256" i="12" s="1"/>
  <c r="M256" i="12" s="1"/>
  <c r="N256" i="12" s="1"/>
  <c r="B256" i="12"/>
  <c r="C256" i="12" s="1"/>
  <c r="H255" i="12"/>
  <c r="I255" i="12"/>
  <c r="J255" i="12" s="1"/>
  <c r="K255" i="12" s="1"/>
  <c r="L255" i="12" s="1"/>
  <c r="M255" i="12" s="1"/>
  <c r="N255" i="12" s="1"/>
  <c r="B255" i="12"/>
  <c r="C255" i="12"/>
  <c r="H254" i="12"/>
  <c r="I254" i="12" s="1"/>
  <c r="J254" i="12" s="1"/>
  <c r="K254" i="12" s="1"/>
  <c r="L254" i="12" s="1"/>
  <c r="M254" i="12" s="1"/>
  <c r="N254" i="12" s="1"/>
  <c r="B254" i="12"/>
  <c r="C254" i="12"/>
  <c r="H253" i="12"/>
  <c r="I253" i="12" s="1"/>
  <c r="J253" i="12" s="1"/>
  <c r="K253" i="12" s="1"/>
  <c r="L253" i="12" s="1"/>
  <c r="M253" i="12" s="1"/>
  <c r="N253" i="12" s="1"/>
  <c r="B253" i="12"/>
  <c r="C253" i="12" s="1"/>
  <c r="H252" i="12"/>
  <c r="I252" i="12" s="1"/>
  <c r="J252" i="12" s="1"/>
  <c r="K252" i="12" s="1"/>
  <c r="L252" i="12" s="1"/>
  <c r="M252" i="12" s="1"/>
  <c r="N252" i="12" s="1"/>
  <c r="B252" i="12"/>
  <c r="C252" i="12" s="1"/>
  <c r="H251" i="12"/>
  <c r="I251" i="12"/>
  <c r="J251" i="12" s="1"/>
  <c r="K251" i="12" s="1"/>
  <c r="L251" i="12" s="1"/>
  <c r="M251" i="12" s="1"/>
  <c r="N251" i="12" s="1"/>
  <c r="B251" i="12"/>
  <c r="C251" i="12" s="1"/>
  <c r="H250" i="12"/>
  <c r="I250" i="12" s="1"/>
  <c r="J250" i="12" s="1"/>
  <c r="K250" i="12" s="1"/>
  <c r="L250" i="12" s="1"/>
  <c r="M250" i="12" s="1"/>
  <c r="N250" i="12" s="1"/>
  <c r="B250" i="12"/>
  <c r="C250" i="12"/>
  <c r="H249" i="12"/>
  <c r="I249" i="12" s="1"/>
  <c r="J249" i="12" s="1"/>
  <c r="K249" i="12" s="1"/>
  <c r="L249" i="12" s="1"/>
  <c r="M249" i="12" s="1"/>
  <c r="N249" i="12" s="1"/>
  <c r="B249" i="12"/>
  <c r="C249" i="12" s="1"/>
  <c r="H248" i="12"/>
  <c r="I248" i="12" s="1"/>
  <c r="J248" i="12" s="1"/>
  <c r="K248" i="12" s="1"/>
  <c r="L248" i="12" s="1"/>
  <c r="M248" i="12" s="1"/>
  <c r="N248" i="12" s="1"/>
  <c r="B248" i="12"/>
  <c r="C248" i="12" s="1"/>
  <c r="H247" i="12"/>
  <c r="I247" i="12"/>
  <c r="J247" i="12" s="1"/>
  <c r="K247" i="12" s="1"/>
  <c r="L247" i="12" s="1"/>
  <c r="M247" i="12" s="1"/>
  <c r="N247" i="12" s="1"/>
  <c r="B247" i="12"/>
  <c r="C247" i="12"/>
  <c r="H246" i="12"/>
  <c r="I246" i="12" s="1"/>
  <c r="J246" i="12" s="1"/>
  <c r="K246" i="12" s="1"/>
  <c r="L246" i="12" s="1"/>
  <c r="M246" i="12" s="1"/>
  <c r="N246" i="12" s="1"/>
  <c r="B246" i="12"/>
  <c r="C246" i="12"/>
  <c r="H245" i="12"/>
  <c r="I245" i="12" s="1"/>
  <c r="J245" i="12" s="1"/>
  <c r="K245" i="12" s="1"/>
  <c r="L245" i="12" s="1"/>
  <c r="M245" i="12" s="1"/>
  <c r="N245" i="12" s="1"/>
  <c r="B245" i="12"/>
  <c r="C245" i="12" s="1"/>
  <c r="H244" i="12"/>
  <c r="I244" i="12" s="1"/>
  <c r="J244" i="12" s="1"/>
  <c r="K244" i="12" s="1"/>
  <c r="L244" i="12" s="1"/>
  <c r="M244" i="12" s="1"/>
  <c r="N244" i="12" s="1"/>
  <c r="B244" i="12"/>
  <c r="C244" i="12" s="1"/>
  <c r="H243" i="12"/>
  <c r="I243" i="12"/>
  <c r="J243" i="12" s="1"/>
  <c r="K243" i="12" s="1"/>
  <c r="L243" i="12" s="1"/>
  <c r="M243" i="12" s="1"/>
  <c r="N243" i="12" s="1"/>
  <c r="B243" i="12"/>
  <c r="C243" i="12"/>
  <c r="H242" i="12"/>
  <c r="I242" i="12" s="1"/>
  <c r="J242" i="12" s="1"/>
  <c r="K242" i="12" s="1"/>
  <c r="L242" i="12" s="1"/>
  <c r="M242" i="12" s="1"/>
  <c r="N242" i="12" s="1"/>
  <c r="B242" i="12"/>
  <c r="C242" i="12"/>
  <c r="H241" i="12"/>
  <c r="I241" i="12" s="1"/>
  <c r="J241" i="12" s="1"/>
  <c r="K241" i="12" s="1"/>
  <c r="L241" i="12" s="1"/>
  <c r="M241" i="12" s="1"/>
  <c r="N241" i="12" s="1"/>
  <c r="B241" i="12"/>
  <c r="C241" i="12" s="1"/>
  <c r="H240" i="12"/>
  <c r="I240" i="12" s="1"/>
  <c r="J240" i="12" s="1"/>
  <c r="K240" i="12" s="1"/>
  <c r="L240" i="12" s="1"/>
  <c r="M240" i="12" s="1"/>
  <c r="N240" i="12" s="1"/>
  <c r="B240" i="12"/>
  <c r="C240" i="12" s="1"/>
  <c r="H239" i="12"/>
  <c r="I239" i="12"/>
  <c r="J239" i="12" s="1"/>
  <c r="K239" i="12" s="1"/>
  <c r="L239" i="12" s="1"/>
  <c r="M239" i="12" s="1"/>
  <c r="N239" i="12" s="1"/>
  <c r="B239" i="12"/>
  <c r="C239" i="12"/>
  <c r="H238" i="12"/>
  <c r="I238" i="12" s="1"/>
  <c r="J238" i="12" s="1"/>
  <c r="K238" i="12" s="1"/>
  <c r="L238" i="12" s="1"/>
  <c r="M238" i="12" s="1"/>
  <c r="N238" i="12" s="1"/>
  <c r="B238" i="12"/>
  <c r="C238" i="12"/>
  <c r="H237" i="12"/>
  <c r="I237" i="12" s="1"/>
  <c r="J237" i="12" s="1"/>
  <c r="K237" i="12" s="1"/>
  <c r="L237" i="12" s="1"/>
  <c r="M237" i="12" s="1"/>
  <c r="N237" i="12" s="1"/>
  <c r="B237" i="12"/>
  <c r="C237" i="12" s="1"/>
  <c r="H236" i="12"/>
  <c r="I236" i="12" s="1"/>
  <c r="J236" i="12" s="1"/>
  <c r="K236" i="12" s="1"/>
  <c r="L236" i="12" s="1"/>
  <c r="M236" i="12" s="1"/>
  <c r="N236" i="12" s="1"/>
  <c r="B236" i="12"/>
  <c r="C236" i="12" s="1"/>
  <c r="H235" i="12"/>
  <c r="I235" i="12"/>
  <c r="J235" i="12" s="1"/>
  <c r="K235" i="12" s="1"/>
  <c r="L235" i="12" s="1"/>
  <c r="M235" i="12" s="1"/>
  <c r="N235" i="12" s="1"/>
  <c r="B235" i="12"/>
  <c r="C235" i="12" s="1"/>
  <c r="H234" i="12"/>
  <c r="I234" i="12" s="1"/>
  <c r="J234" i="12" s="1"/>
  <c r="K234" i="12" s="1"/>
  <c r="L234" i="12" s="1"/>
  <c r="M234" i="12" s="1"/>
  <c r="N234" i="12" s="1"/>
  <c r="B234" i="12"/>
  <c r="C234" i="12"/>
  <c r="H233" i="12"/>
  <c r="I233" i="12" s="1"/>
  <c r="J233" i="12" s="1"/>
  <c r="K233" i="12" s="1"/>
  <c r="L233" i="12" s="1"/>
  <c r="M233" i="12" s="1"/>
  <c r="N233" i="12" s="1"/>
  <c r="B233" i="12"/>
  <c r="C233" i="12" s="1"/>
  <c r="H232" i="12"/>
  <c r="I232" i="12" s="1"/>
  <c r="J232" i="12" s="1"/>
  <c r="K232" i="12" s="1"/>
  <c r="L232" i="12" s="1"/>
  <c r="M232" i="12" s="1"/>
  <c r="N232" i="12" s="1"/>
  <c r="B232" i="12"/>
  <c r="C232" i="12" s="1"/>
  <c r="H231" i="12"/>
  <c r="I231" i="12"/>
  <c r="J231" i="12" s="1"/>
  <c r="K231" i="12" s="1"/>
  <c r="L231" i="12" s="1"/>
  <c r="M231" i="12" s="1"/>
  <c r="N231" i="12" s="1"/>
  <c r="B231" i="12"/>
  <c r="C231" i="12"/>
  <c r="H230" i="12"/>
  <c r="I230" i="12" s="1"/>
  <c r="J230" i="12" s="1"/>
  <c r="K230" i="12" s="1"/>
  <c r="L230" i="12" s="1"/>
  <c r="M230" i="12" s="1"/>
  <c r="N230" i="12" s="1"/>
  <c r="B230" i="12"/>
  <c r="C230" i="12"/>
  <c r="H229" i="12"/>
  <c r="I229" i="12" s="1"/>
  <c r="J229" i="12" s="1"/>
  <c r="K229" i="12" s="1"/>
  <c r="L229" i="12" s="1"/>
  <c r="M229" i="12" s="1"/>
  <c r="N229" i="12" s="1"/>
  <c r="B229" i="12"/>
  <c r="C229" i="12" s="1"/>
  <c r="H228" i="12"/>
  <c r="I228" i="12" s="1"/>
  <c r="J228" i="12" s="1"/>
  <c r="K228" i="12" s="1"/>
  <c r="L228" i="12" s="1"/>
  <c r="M228" i="12" s="1"/>
  <c r="N228" i="12" s="1"/>
  <c r="B228" i="12"/>
  <c r="C228" i="12" s="1"/>
  <c r="H227" i="12"/>
  <c r="I227" i="12"/>
  <c r="J227" i="12" s="1"/>
  <c r="K227" i="12" s="1"/>
  <c r="L227" i="12" s="1"/>
  <c r="M227" i="12" s="1"/>
  <c r="N227" i="12" s="1"/>
  <c r="B227" i="12"/>
  <c r="C227" i="12"/>
  <c r="H226" i="12"/>
  <c r="I226" i="12" s="1"/>
  <c r="J226" i="12" s="1"/>
  <c r="K226" i="12" s="1"/>
  <c r="L226" i="12" s="1"/>
  <c r="M226" i="12" s="1"/>
  <c r="N226" i="12" s="1"/>
  <c r="B226" i="12"/>
  <c r="C226" i="12"/>
  <c r="H225" i="12"/>
  <c r="I225" i="12" s="1"/>
  <c r="J225" i="12" s="1"/>
  <c r="K225" i="12" s="1"/>
  <c r="L225" i="12" s="1"/>
  <c r="M225" i="12" s="1"/>
  <c r="N225" i="12" s="1"/>
  <c r="B225" i="12"/>
  <c r="C225" i="12" s="1"/>
  <c r="H224" i="12"/>
  <c r="I224" i="12" s="1"/>
  <c r="J224" i="12" s="1"/>
  <c r="K224" i="12" s="1"/>
  <c r="L224" i="12" s="1"/>
  <c r="M224" i="12" s="1"/>
  <c r="N224" i="12" s="1"/>
  <c r="B224" i="12"/>
  <c r="C224" i="12" s="1"/>
  <c r="H223" i="12"/>
  <c r="I223" i="12"/>
  <c r="J223" i="12" s="1"/>
  <c r="K223" i="12" s="1"/>
  <c r="L223" i="12" s="1"/>
  <c r="M223" i="12" s="1"/>
  <c r="N223" i="12" s="1"/>
  <c r="B223" i="12"/>
  <c r="C223" i="12" s="1"/>
  <c r="H222" i="12"/>
  <c r="I222" i="12" s="1"/>
  <c r="J222" i="12" s="1"/>
  <c r="K222" i="12" s="1"/>
  <c r="L222" i="12" s="1"/>
  <c r="M222" i="12" s="1"/>
  <c r="N222" i="12" s="1"/>
  <c r="B222" i="12"/>
  <c r="C222" i="12"/>
  <c r="H221" i="12"/>
  <c r="I221" i="12" s="1"/>
  <c r="J221" i="12" s="1"/>
  <c r="K221" i="12" s="1"/>
  <c r="L221" i="12" s="1"/>
  <c r="M221" i="12" s="1"/>
  <c r="N221" i="12" s="1"/>
  <c r="B221" i="12"/>
  <c r="C221" i="12" s="1"/>
  <c r="H220" i="12"/>
  <c r="I220" i="12" s="1"/>
  <c r="J220" i="12" s="1"/>
  <c r="K220" i="12" s="1"/>
  <c r="L220" i="12" s="1"/>
  <c r="M220" i="12" s="1"/>
  <c r="N220" i="12" s="1"/>
  <c r="B220" i="12"/>
  <c r="C220" i="12" s="1"/>
  <c r="H219" i="12"/>
  <c r="I219" i="12"/>
  <c r="J219" i="12" s="1"/>
  <c r="K219" i="12" s="1"/>
  <c r="L219" i="12" s="1"/>
  <c r="M219" i="12" s="1"/>
  <c r="N219" i="12" s="1"/>
  <c r="B219" i="12"/>
  <c r="C219" i="12" s="1"/>
  <c r="H218" i="12"/>
  <c r="I218" i="12" s="1"/>
  <c r="J218" i="12" s="1"/>
  <c r="K218" i="12" s="1"/>
  <c r="L218" i="12" s="1"/>
  <c r="M218" i="12" s="1"/>
  <c r="N218" i="12" s="1"/>
  <c r="B218" i="12"/>
  <c r="C218" i="12"/>
  <c r="H217" i="12"/>
  <c r="I217" i="12" s="1"/>
  <c r="J217" i="12" s="1"/>
  <c r="K217" i="12" s="1"/>
  <c r="L217" i="12" s="1"/>
  <c r="M217" i="12" s="1"/>
  <c r="N217" i="12" s="1"/>
  <c r="B217" i="12"/>
  <c r="C217" i="12" s="1"/>
  <c r="H216" i="12"/>
  <c r="I216" i="12" s="1"/>
  <c r="J216" i="12" s="1"/>
  <c r="K216" i="12" s="1"/>
  <c r="L216" i="12" s="1"/>
  <c r="M216" i="12" s="1"/>
  <c r="N216" i="12" s="1"/>
  <c r="B216" i="12"/>
  <c r="C216" i="12" s="1"/>
  <c r="H215" i="12"/>
  <c r="I215" i="12"/>
  <c r="J215" i="12" s="1"/>
  <c r="K215" i="12" s="1"/>
  <c r="L215" i="12" s="1"/>
  <c r="M215" i="12" s="1"/>
  <c r="N215" i="12" s="1"/>
  <c r="B215" i="12"/>
  <c r="C215" i="12" s="1"/>
  <c r="H214" i="12"/>
  <c r="I214" i="12" s="1"/>
  <c r="J214" i="12" s="1"/>
  <c r="K214" i="12" s="1"/>
  <c r="L214" i="12" s="1"/>
  <c r="M214" i="12" s="1"/>
  <c r="N214" i="12" s="1"/>
  <c r="B214" i="12"/>
  <c r="C214" i="12"/>
  <c r="H213" i="12"/>
  <c r="I213" i="12" s="1"/>
  <c r="J213" i="12" s="1"/>
  <c r="K213" i="12" s="1"/>
  <c r="L213" i="12" s="1"/>
  <c r="M213" i="12" s="1"/>
  <c r="N213" i="12" s="1"/>
  <c r="B213" i="12"/>
  <c r="C213" i="12" s="1"/>
  <c r="H212" i="12"/>
  <c r="I212" i="12" s="1"/>
  <c r="J212" i="12" s="1"/>
  <c r="K212" i="12" s="1"/>
  <c r="L212" i="12" s="1"/>
  <c r="M212" i="12" s="1"/>
  <c r="N212" i="12" s="1"/>
  <c r="B212" i="12"/>
  <c r="C212" i="12" s="1"/>
  <c r="H211" i="12"/>
  <c r="I211" i="12"/>
  <c r="J211" i="12" s="1"/>
  <c r="K211" i="12" s="1"/>
  <c r="L211" i="12" s="1"/>
  <c r="M211" i="12" s="1"/>
  <c r="N211" i="12" s="1"/>
  <c r="B211" i="12"/>
  <c r="C211" i="12" s="1"/>
  <c r="H210" i="12"/>
  <c r="I210" i="12" s="1"/>
  <c r="J210" i="12" s="1"/>
  <c r="K210" i="12" s="1"/>
  <c r="L210" i="12" s="1"/>
  <c r="M210" i="12" s="1"/>
  <c r="N210" i="12" s="1"/>
  <c r="B210" i="12"/>
  <c r="C210" i="12"/>
  <c r="H209" i="12"/>
  <c r="I209" i="12" s="1"/>
  <c r="J209" i="12" s="1"/>
  <c r="K209" i="12" s="1"/>
  <c r="L209" i="12" s="1"/>
  <c r="M209" i="12" s="1"/>
  <c r="N209" i="12" s="1"/>
  <c r="B209" i="12"/>
  <c r="C209" i="12" s="1"/>
  <c r="H208" i="12"/>
  <c r="I208" i="12" s="1"/>
  <c r="J208" i="12" s="1"/>
  <c r="K208" i="12" s="1"/>
  <c r="L208" i="12" s="1"/>
  <c r="M208" i="12" s="1"/>
  <c r="N208" i="12" s="1"/>
  <c r="B208" i="12"/>
  <c r="C208" i="12" s="1"/>
  <c r="H207" i="12"/>
  <c r="I207" i="12"/>
  <c r="J207" i="12" s="1"/>
  <c r="K207" i="12" s="1"/>
  <c r="L207" i="12" s="1"/>
  <c r="M207" i="12" s="1"/>
  <c r="N207" i="12" s="1"/>
  <c r="B207" i="12"/>
  <c r="C207" i="12" s="1"/>
  <c r="H206" i="12"/>
  <c r="I206" i="12" s="1"/>
  <c r="J206" i="12" s="1"/>
  <c r="K206" i="12" s="1"/>
  <c r="L206" i="12" s="1"/>
  <c r="M206" i="12" s="1"/>
  <c r="N206" i="12" s="1"/>
  <c r="B206" i="12"/>
  <c r="C206" i="12"/>
  <c r="H205" i="12"/>
  <c r="I205" i="12" s="1"/>
  <c r="J205" i="12" s="1"/>
  <c r="K205" i="12" s="1"/>
  <c r="L205" i="12" s="1"/>
  <c r="M205" i="12" s="1"/>
  <c r="N205" i="12" s="1"/>
  <c r="B205" i="12"/>
  <c r="C205" i="12" s="1"/>
  <c r="H204" i="12"/>
  <c r="I204" i="12" s="1"/>
  <c r="J204" i="12" s="1"/>
  <c r="K204" i="12" s="1"/>
  <c r="L204" i="12" s="1"/>
  <c r="M204" i="12" s="1"/>
  <c r="N204" i="12" s="1"/>
  <c r="B204" i="12"/>
  <c r="C204" i="12" s="1"/>
  <c r="H203" i="12"/>
  <c r="I203" i="12"/>
  <c r="J203" i="12" s="1"/>
  <c r="K203" i="12" s="1"/>
  <c r="L203" i="12" s="1"/>
  <c r="M203" i="12" s="1"/>
  <c r="N203" i="12" s="1"/>
  <c r="B203" i="12"/>
  <c r="C203" i="12" s="1"/>
  <c r="H202" i="12"/>
  <c r="I202" i="12" s="1"/>
  <c r="J202" i="12" s="1"/>
  <c r="K202" i="12" s="1"/>
  <c r="L202" i="12" s="1"/>
  <c r="M202" i="12" s="1"/>
  <c r="N202" i="12" s="1"/>
  <c r="B202" i="12"/>
  <c r="C202" i="12"/>
  <c r="H201" i="12"/>
  <c r="I201" i="12" s="1"/>
  <c r="J201" i="12" s="1"/>
  <c r="K201" i="12" s="1"/>
  <c r="L201" i="12" s="1"/>
  <c r="M201" i="12" s="1"/>
  <c r="N201" i="12" s="1"/>
  <c r="B201" i="12"/>
  <c r="C201" i="12" s="1"/>
  <c r="H200" i="12"/>
  <c r="I200" i="12" s="1"/>
  <c r="J200" i="12" s="1"/>
  <c r="K200" i="12" s="1"/>
  <c r="L200" i="12" s="1"/>
  <c r="M200" i="12" s="1"/>
  <c r="N200" i="12" s="1"/>
  <c r="B200" i="12"/>
  <c r="C200" i="12" s="1"/>
  <c r="H199" i="12"/>
  <c r="I199" i="12"/>
  <c r="J199" i="12" s="1"/>
  <c r="K199" i="12" s="1"/>
  <c r="L199" i="12" s="1"/>
  <c r="M199" i="12" s="1"/>
  <c r="N199" i="12" s="1"/>
  <c r="B199" i="12"/>
  <c r="C199" i="12"/>
  <c r="H198" i="12"/>
  <c r="I198" i="12" s="1"/>
  <c r="J198" i="12" s="1"/>
  <c r="K198" i="12" s="1"/>
  <c r="L198" i="12" s="1"/>
  <c r="M198" i="12" s="1"/>
  <c r="N198" i="12" s="1"/>
  <c r="B198" i="12"/>
  <c r="C198" i="12"/>
  <c r="H197" i="12"/>
  <c r="I197" i="12" s="1"/>
  <c r="J197" i="12" s="1"/>
  <c r="K197" i="12" s="1"/>
  <c r="L197" i="12" s="1"/>
  <c r="M197" i="12" s="1"/>
  <c r="N197" i="12" s="1"/>
  <c r="B197" i="12"/>
  <c r="C197" i="12" s="1"/>
  <c r="H196" i="12"/>
  <c r="I196" i="12" s="1"/>
  <c r="J196" i="12" s="1"/>
  <c r="K196" i="12" s="1"/>
  <c r="L196" i="12" s="1"/>
  <c r="M196" i="12" s="1"/>
  <c r="N196" i="12" s="1"/>
  <c r="B196" i="12"/>
  <c r="C196" i="12" s="1"/>
  <c r="H195" i="12"/>
  <c r="I195" i="12"/>
  <c r="J195" i="12" s="1"/>
  <c r="K195" i="12" s="1"/>
  <c r="L195" i="12" s="1"/>
  <c r="M195" i="12" s="1"/>
  <c r="N195" i="12" s="1"/>
  <c r="B195" i="12"/>
  <c r="C195" i="12" s="1"/>
  <c r="H194" i="12"/>
  <c r="I194" i="12" s="1"/>
  <c r="J194" i="12" s="1"/>
  <c r="K194" i="12" s="1"/>
  <c r="L194" i="12" s="1"/>
  <c r="M194" i="12" s="1"/>
  <c r="N194" i="12" s="1"/>
  <c r="B194" i="12"/>
  <c r="C194" i="12"/>
  <c r="H193" i="12"/>
  <c r="I193" i="12" s="1"/>
  <c r="J193" i="12" s="1"/>
  <c r="K193" i="12" s="1"/>
  <c r="L193" i="12" s="1"/>
  <c r="M193" i="12" s="1"/>
  <c r="N193" i="12" s="1"/>
  <c r="B193" i="12"/>
  <c r="C193" i="12" s="1"/>
  <c r="H192" i="12"/>
  <c r="I192" i="12" s="1"/>
  <c r="J192" i="12" s="1"/>
  <c r="K192" i="12" s="1"/>
  <c r="L192" i="12" s="1"/>
  <c r="M192" i="12" s="1"/>
  <c r="N192" i="12" s="1"/>
  <c r="B192" i="12"/>
  <c r="C192" i="12" s="1"/>
  <c r="H191" i="12"/>
  <c r="I191" i="12"/>
  <c r="J191" i="12" s="1"/>
  <c r="K191" i="12" s="1"/>
  <c r="L191" i="12" s="1"/>
  <c r="M191" i="12" s="1"/>
  <c r="N191" i="12" s="1"/>
  <c r="B191" i="12"/>
  <c r="C191" i="12" s="1"/>
  <c r="H190" i="12"/>
  <c r="I190" i="12" s="1"/>
  <c r="J190" i="12" s="1"/>
  <c r="K190" i="12" s="1"/>
  <c r="L190" i="12" s="1"/>
  <c r="M190" i="12" s="1"/>
  <c r="N190" i="12" s="1"/>
  <c r="B190" i="12"/>
  <c r="C190" i="12"/>
  <c r="H189" i="12"/>
  <c r="I189" i="12" s="1"/>
  <c r="J189" i="12" s="1"/>
  <c r="K189" i="12" s="1"/>
  <c r="L189" i="12" s="1"/>
  <c r="M189" i="12" s="1"/>
  <c r="N189" i="12" s="1"/>
  <c r="B189" i="12"/>
  <c r="C189" i="12" s="1"/>
  <c r="H188" i="12"/>
  <c r="I188" i="12" s="1"/>
  <c r="J188" i="12" s="1"/>
  <c r="K188" i="12" s="1"/>
  <c r="L188" i="12" s="1"/>
  <c r="M188" i="12" s="1"/>
  <c r="N188" i="12" s="1"/>
  <c r="B188" i="12"/>
  <c r="C188" i="12" s="1"/>
  <c r="H187" i="12"/>
  <c r="I187" i="12"/>
  <c r="J187" i="12" s="1"/>
  <c r="K187" i="12" s="1"/>
  <c r="L187" i="12" s="1"/>
  <c r="M187" i="12" s="1"/>
  <c r="N187" i="12" s="1"/>
  <c r="B187" i="12"/>
  <c r="C187" i="12" s="1"/>
  <c r="H186" i="12"/>
  <c r="I186" i="12" s="1"/>
  <c r="J186" i="12" s="1"/>
  <c r="K186" i="12" s="1"/>
  <c r="L186" i="12" s="1"/>
  <c r="M186" i="12" s="1"/>
  <c r="N186" i="12" s="1"/>
  <c r="B186" i="12"/>
  <c r="C186" i="12"/>
  <c r="H185" i="12"/>
  <c r="I185" i="12" s="1"/>
  <c r="J185" i="12" s="1"/>
  <c r="K185" i="12" s="1"/>
  <c r="L185" i="12" s="1"/>
  <c r="M185" i="12" s="1"/>
  <c r="N185" i="12" s="1"/>
  <c r="B185" i="12"/>
  <c r="C185" i="12" s="1"/>
  <c r="H184" i="12"/>
  <c r="I184" i="12" s="1"/>
  <c r="J184" i="12" s="1"/>
  <c r="K184" i="12" s="1"/>
  <c r="L184" i="12" s="1"/>
  <c r="M184" i="12" s="1"/>
  <c r="N184" i="12" s="1"/>
  <c r="B184" i="12"/>
  <c r="C184" i="12" s="1"/>
  <c r="H183" i="12"/>
  <c r="I183" i="12"/>
  <c r="J183" i="12" s="1"/>
  <c r="K183" i="12" s="1"/>
  <c r="L183" i="12" s="1"/>
  <c r="M183" i="12" s="1"/>
  <c r="N183" i="12" s="1"/>
  <c r="B183" i="12"/>
  <c r="C183" i="12" s="1"/>
  <c r="H182" i="12"/>
  <c r="I182" i="12" s="1"/>
  <c r="J182" i="12" s="1"/>
  <c r="K182" i="12" s="1"/>
  <c r="L182" i="12" s="1"/>
  <c r="M182" i="12" s="1"/>
  <c r="N182" i="12" s="1"/>
  <c r="B182" i="12"/>
  <c r="C182" i="12"/>
  <c r="H181" i="12"/>
  <c r="I181" i="12" s="1"/>
  <c r="J181" i="12" s="1"/>
  <c r="K181" i="12" s="1"/>
  <c r="L181" i="12" s="1"/>
  <c r="M181" i="12" s="1"/>
  <c r="N181" i="12" s="1"/>
  <c r="B181" i="12"/>
  <c r="C181" i="12" s="1"/>
  <c r="H180" i="12"/>
  <c r="I180" i="12" s="1"/>
  <c r="J180" i="12" s="1"/>
  <c r="K180" i="12" s="1"/>
  <c r="L180" i="12" s="1"/>
  <c r="M180" i="12" s="1"/>
  <c r="N180" i="12" s="1"/>
  <c r="B180" i="12"/>
  <c r="C180" i="12" s="1"/>
  <c r="H179" i="12"/>
  <c r="I179" i="12"/>
  <c r="J179" i="12" s="1"/>
  <c r="K179" i="12" s="1"/>
  <c r="L179" i="12" s="1"/>
  <c r="M179" i="12" s="1"/>
  <c r="N179" i="12" s="1"/>
  <c r="B179" i="12"/>
  <c r="C179" i="12" s="1"/>
  <c r="H178" i="12"/>
  <c r="I178" i="12" s="1"/>
  <c r="J178" i="12" s="1"/>
  <c r="K178" i="12" s="1"/>
  <c r="L178" i="12" s="1"/>
  <c r="M178" i="12" s="1"/>
  <c r="N178" i="12" s="1"/>
  <c r="B178" i="12"/>
  <c r="C178" i="12"/>
  <c r="H177" i="12"/>
  <c r="I177" i="12" s="1"/>
  <c r="J177" i="12" s="1"/>
  <c r="K177" i="12" s="1"/>
  <c r="L177" i="12" s="1"/>
  <c r="M177" i="12" s="1"/>
  <c r="N177" i="12" s="1"/>
  <c r="B177" i="12"/>
  <c r="C177" i="12" s="1"/>
  <c r="H176" i="12"/>
  <c r="I176" i="12" s="1"/>
  <c r="J176" i="12" s="1"/>
  <c r="K176" i="12" s="1"/>
  <c r="L176" i="12" s="1"/>
  <c r="M176" i="12" s="1"/>
  <c r="N176" i="12" s="1"/>
  <c r="B176" i="12"/>
  <c r="C176" i="12" s="1"/>
  <c r="H175" i="12"/>
  <c r="I175" i="12"/>
  <c r="J175" i="12" s="1"/>
  <c r="K175" i="12" s="1"/>
  <c r="L175" i="12" s="1"/>
  <c r="M175" i="12" s="1"/>
  <c r="N175" i="12" s="1"/>
  <c r="B175" i="12"/>
  <c r="C175" i="12"/>
  <c r="H174" i="12"/>
  <c r="I174" i="12" s="1"/>
  <c r="J174" i="12" s="1"/>
  <c r="K174" i="12" s="1"/>
  <c r="L174" i="12" s="1"/>
  <c r="M174" i="12" s="1"/>
  <c r="N174" i="12" s="1"/>
  <c r="B174" i="12"/>
  <c r="C174" i="12"/>
  <c r="H173" i="12"/>
  <c r="I173" i="12" s="1"/>
  <c r="J173" i="12" s="1"/>
  <c r="K173" i="12" s="1"/>
  <c r="L173" i="12" s="1"/>
  <c r="M173" i="12" s="1"/>
  <c r="N173" i="12" s="1"/>
  <c r="B173" i="12"/>
  <c r="C173" i="12" s="1"/>
  <c r="H172" i="12"/>
  <c r="I172" i="12" s="1"/>
  <c r="J172" i="12" s="1"/>
  <c r="K172" i="12" s="1"/>
  <c r="L172" i="12" s="1"/>
  <c r="M172" i="12" s="1"/>
  <c r="N172" i="12" s="1"/>
  <c r="B172" i="12"/>
  <c r="C172" i="12" s="1"/>
  <c r="H171" i="12"/>
  <c r="I171" i="12"/>
  <c r="J171" i="12" s="1"/>
  <c r="K171" i="12" s="1"/>
  <c r="L171" i="12" s="1"/>
  <c r="M171" i="12" s="1"/>
  <c r="N171" i="12" s="1"/>
  <c r="B171" i="12"/>
  <c r="C171" i="12" s="1"/>
  <c r="H170" i="12"/>
  <c r="I170" i="12" s="1"/>
  <c r="J170" i="12" s="1"/>
  <c r="K170" i="12" s="1"/>
  <c r="L170" i="12" s="1"/>
  <c r="M170" i="12" s="1"/>
  <c r="N170" i="12" s="1"/>
  <c r="B170" i="12"/>
  <c r="C170" i="12"/>
  <c r="H169" i="12"/>
  <c r="I169" i="12" s="1"/>
  <c r="J169" i="12" s="1"/>
  <c r="K169" i="12" s="1"/>
  <c r="L169" i="12" s="1"/>
  <c r="M169" i="12" s="1"/>
  <c r="N169" i="12" s="1"/>
  <c r="B169" i="12"/>
  <c r="C169" i="12" s="1"/>
  <c r="H168" i="12"/>
  <c r="I168" i="12" s="1"/>
  <c r="J168" i="12" s="1"/>
  <c r="K168" i="12" s="1"/>
  <c r="L168" i="12" s="1"/>
  <c r="M168" i="12" s="1"/>
  <c r="N168" i="12" s="1"/>
  <c r="B168" i="12"/>
  <c r="C168" i="12" s="1"/>
  <c r="H167" i="12"/>
  <c r="I167" i="12"/>
  <c r="J167" i="12" s="1"/>
  <c r="K167" i="12" s="1"/>
  <c r="L167" i="12" s="1"/>
  <c r="M167" i="12" s="1"/>
  <c r="N167" i="12" s="1"/>
  <c r="B167" i="12"/>
  <c r="C167" i="12" s="1"/>
  <c r="H166" i="12"/>
  <c r="I166" i="12" s="1"/>
  <c r="J166" i="12" s="1"/>
  <c r="K166" i="12" s="1"/>
  <c r="L166" i="12" s="1"/>
  <c r="M166" i="12" s="1"/>
  <c r="N166" i="12" s="1"/>
  <c r="B166" i="12"/>
  <c r="C166" i="12"/>
  <c r="H165" i="12"/>
  <c r="I165" i="12" s="1"/>
  <c r="J165" i="12" s="1"/>
  <c r="K165" i="12" s="1"/>
  <c r="L165" i="12" s="1"/>
  <c r="M165" i="12" s="1"/>
  <c r="N165" i="12" s="1"/>
  <c r="B165" i="12"/>
  <c r="C165" i="12" s="1"/>
  <c r="H164" i="12"/>
  <c r="I164" i="12" s="1"/>
  <c r="J164" i="12" s="1"/>
  <c r="K164" i="12" s="1"/>
  <c r="L164" i="12" s="1"/>
  <c r="M164" i="12" s="1"/>
  <c r="N164" i="12" s="1"/>
  <c r="B164" i="12"/>
  <c r="C164" i="12" s="1"/>
  <c r="H163" i="12"/>
  <c r="I163" i="12"/>
  <c r="J163" i="12" s="1"/>
  <c r="K163" i="12" s="1"/>
  <c r="L163" i="12" s="1"/>
  <c r="M163" i="12" s="1"/>
  <c r="N163" i="12" s="1"/>
  <c r="B163" i="12"/>
  <c r="C163" i="12" s="1"/>
  <c r="H162" i="12"/>
  <c r="I162" i="12" s="1"/>
  <c r="J162" i="12" s="1"/>
  <c r="K162" i="12" s="1"/>
  <c r="L162" i="12" s="1"/>
  <c r="M162" i="12" s="1"/>
  <c r="N162" i="12" s="1"/>
  <c r="B162" i="12"/>
  <c r="C162" i="12"/>
  <c r="H161" i="12"/>
  <c r="I161" i="12" s="1"/>
  <c r="J161" i="12" s="1"/>
  <c r="K161" i="12" s="1"/>
  <c r="L161" i="12" s="1"/>
  <c r="M161" i="12" s="1"/>
  <c r="N161" i="12" s="1"/>
  <c r="B161" i="12"/>
  <c r="C161" i="12" s="1"/>
  <c r="H160" i="12"/>
  <c r="I160" i="12" s="1"/>
  <c r="J160" i="12" s="1"/>
  <c r="K160" i="12" s="1"/>
  <c r="L160" i="12" s="1"/>
  <c r="M160" i="12" s="1"/>
  <c r="N160" i="12" s="1"/>
  <c r="B160" i="12"/>
  <c r="C160" i="12" s="1"/>
  <c r="H159" i="12"/>
  <c r="I159" i="12"/>
  <c r="J159" i="12" s="1"/>
  <c r="K159" i="12" s="1"/>
  <c r="L159" i="12" s="1"/>
  <c r="M159" i="12" s="1"/>
  <c r="N159" i="12" s="1"/>
  <c r="B159" i="12"/>
  <c r="C159" i="12" s="1"/>
  <c r="H158" i="12"/>
  <c r="I158" i="12" s="1"/>
  <c r="J158" i="12" s="1"/>
  <c r="K158" i="12" s="1"/>
  <c r="L158" i="12" s="1"/>
  <c r="M158" i="12" s="1"/>
  <c r="N158" i="12" s="1"/>
  <c r="B158" i="12"/>
  <c r="C158" i="12"/>
  <c r="H157" i="12"/>
  <c r="I157" i="12" s="1"/>
  <c r="J157" i="12" s="1"/>
  <c r="K157" i="12" s="1"/>
  <c r="L157" i="12" s="1"/>
  <c r="M157" i="12" s="1"/>
  <c r="N157" i="12" s="1"/>
  <c r="B157" i="12"/>
  <c r="C157" i="12" s="1"/>
  <c r="H156" i="12"/>
  <c r="I156" i="12" s="1"/>
  <c r="J156" i="12" s="1"/>
  <c r="K156" i="12" s="1"/>
  <c r="L156" i="12" s="1"/>
  <c r="M156" i="12" s="1"/>
  <c r="N156" i="12" s="1"/>
  <c r="B156" i="12"/>
  <c r="C156" i="12" s="1"/>
  <c r="H155" i="12"/>
  <c r="I155" i="12"/>
  <c r="J155" i="12" s="1"/>
  <c r="K155" i="12" s="1"/>
  <c r="L155" i="12" s="1"/>
  <c r="M155" i="12" s="1"/>
  <c r="N155" i="12" s="1"/>
  <c r="B155" i="12"/>
  <c r="C155" i="12"/>
  <c r="H154" i="12"/>
  <c r="I154" i="12" s="1"/>
  <c r="J154" i="12" s="1"/>
  <c r="K154" i="12" s="1"/>
  <c r="L154" i="12" s="1"/>
  <c r="M154" i="12" s="1"/>
  <c r="N154" i="12" s="1"/>
  <c r="B154" i="12"/>
  <c r="C154" i="12"/>
  <c r="H153" i="12"/>
  <c r="I153" i="12" s="1"/>
  <c r="J153" i="12" s="1"/>
  <c r="K153" i="12" s="1"/>
  <c r="L153" i="12" s="1"/>
  <c r="M153" i="12" s="1"/>
  <c r="N153" i="12" s="1"/>
  <c r="B153" i="12"/>
  <c r="C153" i="12" s="1"/>
  <c r="H152" i="12"/>
  <c r="I152" i="12" s="1"/>
  <c r="J152" i="12" s="1"/>
  <c r="K152" i="12" s="1"/>
  <c r="L152" i="12" s="1"/>
  <c r="M152" i="12" s="1"/>
  <c r="N152" i="12" s="1"/>
  <c r="B152" i="12"/>
  <c r="C152" i="12" s="1"/>
  <c r="H151" i="12"/>
  <c r="I151" i="12"/>
  <c r="J151" i="12" s="1"/>
  <c r="K151" i="12" s="1"/>
  <c r="L151" i="12" s="1"/>
  <c r="M151" i="12" s="1"/>
  <c r="N151" i="12" s="1"/>
  <c r="B151" i="12"/>
  <c r="C151" i="12" s="1"/>
  <c r="H150" i="12"/>
  <c r="I150" i="12" s="1"/>
  <c r="J150" i="12" s="1"/>
  <c r="K150" i="12" s="1"/>
  <c r="L150" i="12" s="1"/>
  <c r="M150" i="12" s="1"/>
  <c r="N150" i="12" s="1"/>
  <c r="B150" i="12"/>
  <c r="C150" i="12"/>
  <c r="H149" i="12"/>
  <c r="I149" i="12" s="1"/>
  <c r="J149" i="12" s="1"/>
  <c r="K149" i="12" s="1"/>
  <c r="L149" i="12" s="1"/>
  <c r="M149" i="12" s="1"/>
  <c r="N149" i="12" s="1"/>
  <c r="B149" i="12"/>
  <c r="C149" i="12" s="1"/>
  <c r="H148" i="12"/>
  <c r="I148" i="12" s="1"/>
  <c r="J148" i="12" s="1"/>
  <c r="K148" i="12" s="1"/>
  <c r="L148" i="12" s="1"/>
  <c r="M148" i="12" s="1"/>
  <c r="N148" i="12" s="1"/>
  <c r="B148" i="12"/>
  <c r="C148" i="12" s="1"/>
  <c r="H147" i="12"/>
  <c r="I147" i="12"/>
  <c r="J147" i="12" s="1"/>
  <c r="K147" i="12" s="1"/>
  <c r="L147" i="12" s="1"/>
  <c r="M147" i="12" s="1"/>
  <c r="N147" i="12" s="1"/>
  <c r="B147" i="12"/>
  <c r="C147" i="12"/>
  <c r="H146" i="12"/>
  <c r="I146" i="12" s="1"/>
  <c r="J146" i="12" s="1"/>
  <c r="K146" i="12" s="1"/>
  <c r="L146" i="12" s="1"/>
  <c r="M146" i="12" s="1"/>
  <c r="N146" i="12" s="1"/>
  <c r="B146" i="12"/>
  <c r="C146" i="12"/>
  <c r="H145" i="12"/>
  <c r="I145" i="12" s="1"/>
  <c r="J145" i="12" s="1"/>
  <c r="K145" i="12" s="1"/>
  <c r="L145" i="12" s="1"/>
  <c r="M145" i="12" s="1"/>
  <c r="N145" i="12" s="1"/>
  <c r="B145" i="12"/>
  <c r="C145" i="12" s="1"/>
  <c r="H144" i="12"/>
  <c r="I144" i="12" s="1"/>
  <c r="J144" i="12" s="1"/>
  <c r="K144" i="12" s="1"/>
  <c r="L144" i="12" s="1"/>
  <c r="M144" i="12" s="1"/>
  <c r="N144" i="12" s="1"/>
  <c r="B144" i="12"/>
  <c r="C144" i="12" s="1"/>
  <c r="H143" i="12"/>
  <c r="I143" i="12"/>
  <c r="J143" i="12" s="1"/>
  <c r="K143" i="12" s="1"/>
  <c r="L143" i="12" s="1"/>
  <c r="M143" i="12" s="1"/>
  <c r="N143" i="12" s="1"/>
  <c r="B143" i="12"/>
  <c r="C143" i="12" s="1"/>
  <c r="H142" i="12"/>
  <c r="I142" i="12" s="1"/>
  <c r="J142" i="12" s="1"/>
  <c r="K142" i="12" s="1"/>
  <c r="L142" i="12" s="1"/>
  <c r="M142" i="12" s="1"/>
  <c r="N142" i="12" s="1"/>
  <c r="B142" i="12"/>
  <c r="C142" i="12"/>
  <c r="H141" i="12"/>
  <c r="I141" i="12" s="1"/>
  <c r="J141" i="12" s="1"/>
  <c r="K141" i="12" s="1"/>
  <c r="L141" i="12" s="1"/>
  <c r="M141" i="12" s="1"/>
  <c r="N141" i="12" s="1"/>
  <c r="B141" i="12"/>
  <c r="C141" i="12" s="1"/>
  <c r="H140" i="12"/>
  <c r="I140" i="12" s="1"/>
  <c r="J140" i="12" s="1"/>
  <c r="K140" i="12" s="1"/>
  <c r="L140" i="12" s="1"/>
  <c r="M140" i="12" s="1"/>
  <c r="N140" i="12" s="1"/>
  <c r="B140" i="12"/>
  <c r="C140" i="12" s="1"/>
  <c r="H139" i="12"/>
  <c r="I139" i="12" s="1"/>
  <c r="J139" i="12" s="1"/>
  <c r="K139" i="12" s="1"/>
  <c r="L139" i="12" s="1"/>
  <c r="M139" i="12" s="1"/>
  <c r="N139" i="12" s="1"/>
  <c r="B139" i="12"/>
  <c r="C139" i="12"/>
  <c r="H138" i="12"/>
  <c r="I138" i="12" s="1"/>
  <c r="J138" i="12" s="1"/>
  <c r="K138" i="12" s="1"/>
  <c r="L138" i="12" s="1"/>
  <c r="M138" i="12" s="1"/>
  <c r="N138" i="12" s="1"/>
  <c r="B138" i="12"/>
  <c r="C138" i="12" s="1"/>
  <c r="H137" i="12"/>
  <c r="I137" i="12" s="1"/>
  <c r="J137" i="12" s="1"/>
  <c r="K137" i="12" s="1"/>
  <c r="L137" i="12" s="1"/>
  <c r="M137" i="12" s="1"/>
  <c r="N137" i="12" s="1"/>
  <c r="B137" i="12"/>
  <c r="C137" i="12" s="1"/>
  <c r="H136" i="12"/>
  <c r="I136" i="12" s="1"/>
  <c r="J136" i="12" s="1"/>
  <c r="K136" i="12" s="1"/>
  <c r="L136" i="12" s="1"/>
  <c r="M136" i="12" s="1"/>
  <c r="N136" i="12" s="1"/>
  <c r="B136" i="12"/>
  <c r="C136" i="12" s="1"/>
  <c r="H135" i="12"/>
  <c r="I135" i="12" s="1"/>
  <c r="J135" i="12" s="1"/>
  <c r="K135" i="12" s="1"/>
  <c r="L135" i="12" s="1"/>
  <c r="M135" i="12" s="1"/>
  <c r="N135" i="12" s="1"/>
  <c r="B135" i="12"/>
  <c r="C135" i="12"/>
  <c r="H134" i="12"/>
  <c r="I134" i="12" s="1"/>
  <c r="J134" i="12" s="1"/>
  <c r="K134" i="12" s="1"/>
  <c r="L134" i="12" s="1"/>
  <c r="M134" i="12" s="1"/>
  <c r="N134" i="12" s="1"/>
  <c r="B134" i="12"/>
  <c r="C134" i="12"/>
  <c r="H133" i="12"/>
  <c r="I133" i="12"/>
  <c r="J133" i="12" s="1"/>
  <c r="K133" i="12" s="1"/>
  <c r="L133" i="12" s="1"/>
  <c r="M133" i="12" s="1"/>
  <c r="N133" i="12" s="1"/>
  <c r="B133" i="12"/>
  <c r="C133" i="12" s="1"/>
  <c r="H132" i="12"/>
  <c r="I132" i="12" s="1"/>
  <c r="J132" i="12" s="1"/>
  <c r="K132" i="12" s="1"/>
  <c r="L132" i="12" s="1"/>
  <c r="M132" i="12" s="1"/>
  <c r="N132" i="12" s="1"/>
  <c r="B132" i="12"/>
  <c r="C132" i="12"/>
  <c r="H131" i="12"/>
  <c r="I131" i="12" s="1"/>
  <c r="J131" i="12" s="1"/>
  <c r="K131" i="12" s="1"/>
  <c r="L131" i="12" s="1"/>
  <c r="M131" i="12" s="1"/>
  <c r="N131" i="12" s="1"/>
  <c r="B131" i="12"/>
  <c r="C131" i="12"/>
  <c r="H130" i="12"/>
  <c r="I130" i="12" s="1"/>
  <c r="J130" i="12" s="1"/>
  <c r="K130" i="12" s="1"/>
  <c r="L130" i="12" s="1"/>
  <c r="M130" i="12" s="1"/>
  <c r="N130" i="12" s="1"/>
  <c r="B130" i="12"/>
  <c r="C130" i="12"/>
  <c r="H129" i="12"/>
  <c r="I129" i="12" s="1"/>
  <c r="J129" i="12" s="1"/>
  <c r="K129" i="12" s="1"/>
  <c r="L129" i="12" s="1"/>
  <c r="M129" i="12" s="1"/>
  <c r="N129" i="12" s="1"/>
  <c r="B129" i="12"/>
  <c r="C129" i="12"/>
  <c r="H128" i="12"/>
  <c r="I128" i="12" s="1"/>
  <c r="J128" i="12" s="1"/>
  <c r="K128" i="12" s="1"/>
  <c r="L128" i="12" s="1"/>
  <c r="M128" i="12" s="1"/>
  <c r="N128" i="12" s="1"/>
  <c r="B128" i="12"/>
  <c r="C128" i="12" s="1"/>
  <c r="H127" i="12"/>
  <c r="I127" i="12" s="1"/>
  <c r="J127" i="12" s="1"/>
  <c r="K127" i="12" s="1"/>
  <c r="L127" i="12" s="1"/>
  <c r="M127" i="12" s="1"/>
  <c r="N127" i="12" s="1"/>
  <c r="B127" i="12"/>
  <c r="C127" i="12" s="1"/>
  <c r="H126" i="12"/>
  <c r="I126" i="12" s="1"/>
  <c r="J126" i="12" s="1"/>
  <c r="K126" i="12" s="1"/>
  <c r="L126" i="12" s="1"/>
  <c r="M126" i="12" s="1"/>
  <c r="N126" i="12" s="1"/>
  <c r="B126" i="12"/>
  <c r="C126" i="12"/>
  <c r="H125" i="12"/>
  <c r="I125" i="12" s="1"/>
  <c r="J125" i="12" s="1"/>
  <c r="K125" i="12" s="1"/>
  <c r="L125" i="12" s="1"/>
  <c r="M125" i="12" s="1"/>
  <c r="N125" i="12" s="1"/>
  <c r="B125" i="12"/>
  <c r="C125" i="12" s="1"/>
  <c r="H124" i="12"/>
  <c r="I124" i="12" s="1"/>
  <c r="J124" i="12" s="1"/>
  <c r="K124" i="12" s="1"/>
  <c r="L124" i="12" s="1"/>
  <c r="M124" i="12" s="1"/>
  <c r="N124" i="12" s="1"/>
  <c r="B124" i="12"/>
  <c r="C124" i="12"/>
  <c r="H123" i="12"/>
  <c r="I123" i="12" s="1"/>
  <c r="J123" i="12" s="1"/>
  <c r="K123" i="12" s="1"/>
  <c r="L123" i="12" s="1"/>
  <c r="M123" i="12" s="1"/>
  <c r="N123" i="12" s="1"/>
  <c r="B123" i="12"/>
  <c r="C123" i="12"/>
  <c r="H122" i="12"/>
  <c r="I122" i="12" s="1"/>
  <c r="J122" i="12" s="1"/>
  <c r="K122" i="12" s="1"/>
  <c r="L122" i="12" s="1"/>
  <c r="M122" i="12" s="1"/>
  <c r="N122" i="12" s="1"/>
  <c r="B122" i="12"/>
  <c r="C122" i="12"/>
  <c r="H121" i="12"/>
  <c r="I121" i="12" s="1"/>
  <c r="J121" i="12" s="1"/>
  <c r="K121" i="12" s="1"/>
  <c r="L121" i="12" s="1"/>
  <c r="M121" i="12" s="1"/>
  <c r="N121" i="12" s="1"/>
  <c r="B121" i="12"/>
  <c r="C121" i="12"/>
  <c r="H120" i="12"/>
  <c r="I120" i="12" s="1"/>
  <c r="J120" i="12" s="1"/>
  <c r="K120" i="12" s="1"/>
  <c r="L120" i="12" s="1"/>
  <c r="M120" i="12" s="1"/>
  <c r="N120" i="12" s="1"/>
  <c r="B120" i="12"/>
  <c r="C120" i="12"/>
  <c r="H119" i="12"/>
  <c r="I119" i="12" s="1"/>
  <c r="J119" i="12" s="1"/>
  <c r="K119" i="12" s="1"/>
  <c r="L119" i="12" s="1"/>
  <c r="M119" i="12" s="1"/>
  <c r="N119" i="12" s="1"/>
  <c r="B119" i="12"/>
  <c r="C119" i="12" s="1"/>
  <c r="H118" i="12"/>
  <c r="I118" i="12" s="1"/>
  <c r="J118" i="12" s="1"/>
  <c r="K118" i="12" s="1"/>
  <c r="L118" i="12" s="1"/>
  <c r="M118" i="12" s="1"/>
  <c r="N118" i="12" s="1"/>
  <c r="B118" i="12"/>
  <c r="C118" i="12" s="1"/>
  <c r="H117" i="12"/>
  <c r="I117" i="12"/>
  <c r="J117" i="12" s="1"/>
  <c r="K117" i="12" s="1"/>
  <c r="L117" i="12" s="1"/>
  <c r="M117" i="12" s="1"/>
  <c r="N117" i="12" s="1"/>
  <c r="B117" i="12"/>
  <c r="C117" i="12" s="1"/>
  <c r="H116" i="12"/>
  <c r="I116" i="12" s="1"/>
  <c r="J116" i="12" s="1"/>
  <c r="K116" i="12" s="1"/>
  <c r="L116" i="12" s="1"/>
  <c r="M116" i="12" s="1"/>
  <c r="N116" i="12" s="1"/>
  <c r="B116" i="12"/>
  <c r="C116" i="12"/>
  <c r="H115" i="12"/>
  <c r="I115" i="12" s="1"/>
  <c r="J115" i="12" s="1"/>
  <c r="K115" i="12" s="1"/>
  <c r="L115" i="12" s="1"/>
  <c r="M115" i="12" s="1"/>
  <c r="N115" i="12" s="1"/>
  <c r="B115" i="12"/>
  <c r="C115" i="12" s="1"/>
  <c r="H114" i="12"/>
  <c r="I114" i="12" s="1"/>
  <c r="J114" i="12" s="1"/>
  <c r="K114" i="12" s="1"/>
  <c r="L114" i="12" s="1"/>
  <c r="M114" i="12" s="1"/>
  <c r="N114" i="12" s="1"/>
  <c r="B114" i="12"/>
  <c r="C114" i="12" s="1"/>
  <c r="H113" i="12"/>
  <c r="I113" i="12"/>
  <c r="J113" i="12" s="1"/>
  <c r="K113" i="12" s="1"/>
  <c r="L113" i="12" s="1"/>
  <c r="M113" i="12" s="1"/>
  <c r="N113" i="12" s="1"/>
  <c r="B113" i="12"/>
  <c r="C113" i="12" s="1"/>
  <c r="H112" i="12"/>
  <c r="I112" i="12" s="1"/>
  <c r="J112" i="12" s="1"/>
  <c r="K112" i="12" s="1"/>
  <c r="L112" i="12" s="1"/>
  <c r="M112" i="12" s="1"/>
  <c r="N112" i="12" s="1"/>
  <c r="B112" i="12"/>
  <c r="C112" i="12"/>
  <c r="H111" i="12"/>
  <c r="I111" i="12" s="1"/>
  <c r="J111" i="12" s="1"/>
  <c r="K111" i="12" s="1"/>
  <c r="L111" i="12" s="1"/>
  <c r="M111" i="12" s="1"/>
  <c r="N111" i="12" s="1"/>
  <c r="B111" i="12"/>
  <c r="C111" i="12"/>
  <c r="H110" i="12"/>
  <c r="I110" i="12" s="1"/>
  <c r="J110" i="12" s="1"/>
  <c r="K110" i="12" s="1"/>
  <c r="L110" i="12" s="1"/>
  <c r="M110" i="12" s="1"/>
  <c r="N110" i="12" s="1"/>
  <c r="B110" i="12"/>
  <c r="C110" i="12" s="1"/>
  <c r="H109" i="12"/>
  <c r="I109" i="12" s="1"/>
  <c r="J109" i="12" s="1"/>
  <c r="K109" i="12" s="1"/>
  <c r="L109" i="12" s="1"/>
  <c r="M109" i="12" s="1"/>
  <c r="N109" i="12" s="1"/>
  <c r="B109" i="12"/>
  <c r="C109" i="12" s="1"/>
  <c r="H108" i="12"/>
  <c r="I108" i="12"/>
  <c r="J108" i="12" s="1"/>
  <c r="K108" i="12" s="1"/>
  <c r="L108" i="12" s="1"/>
  <c r="M108" i="12" s="1"/>
  <c r="N108" i="12" s="1"/>
  <c r="B108" i="12"/>
  <c r="C108" i="12" s="1"/>
  <c r="H107" i="12"/>
  <c r="I107" i="12" s="1"/>
  <c r="J107" i="12" s="1"/>
  <c r="K107" i="12" s="1"/>
  <c r="L107" i="12" s="1"/>
  <c r="M107" i="12" s="1"/>
  <c r="N107" i="12" s="1"/>
  <c r="B107" i="12"/>
  <c r="C107" i="12"/>
  <c r="H106" i="12"/>
  <c r="I106" i="12" s="1"/>
  <c r="J106" i="12" s="1"/>
  <c r="K106" i="12" s="1"/>
  <c r="L106" i="12" s="1"/>
  <c r="M106" i="12" s="1"/>
  <c r="N106" i="12" s="1"/>
  <c r="B106" i="12"/>
  <c r="C106" i="12" s="1"/>
  <c r="H105" i="12"/>
  <c r="I105" i="12" s="1"/>
  <c r="J105" i="12" s="1"/>
  <c r="K105" i="12" s="1"/>
  <c r="L105" i="12" s="1"/>
  <c r="M105" i="12" s="1"/>
  <c r="N105" i="12" s="1"/>
  <c r="B105" i="12"/>
  <c r="C105" i="12"/>
  <c r="H104" i="12"/>
  <c r="I104" i="12" s="1"/>
  <c r="J104" i="12" s="1"/>
  <c r="K104" i="12" s="1"/>
  <c r="L104" i="12" s="1"/>
  <c r="M104" i="12" s="1"/>
  <c r="N104" i="12" s="1"/>
  <c r="B104" i="12"/>
  <c r="C104" i="12" s="1"/>
  <c r="H103" i="12"/>
  <c r="I103" i="12" s="1"/>
  <c r="J103" i="12" s="1"/>
  <c r="K103" i="12" s="1"/>
  <c r="L103" i="12" s="1"/>
  <c r="M103" i="12" s="1"/>
  <c r="N103" i="12" s="1"/>
  <c r="B103" i="12"/>
  <c r="C103" i="12" s="1"/>
  <c r="H102" i="12"/>
  <c r="I102" i="12" s="1"/>
  <c r="J102" i="12" s="1"/>
  <c r="K102" i="12" s="1"/>
  <c r="L102" i="12" s="1"/>
  <c r="M102" i="12" s="1"/>
  <c r="N102" i="12" s="1"/>
  <c r="B102" i="12"/>
  <c r="C102" i="12" s="1"/>
  <c r="H101" i="12"/>
  <c r="I101" i="12"/>
  <c r="J101" i="12" s="1"/>
  <c r="K101" i="12" s="1"/>
  <c r="L101" i="12" s="1"/>
  <c r="M101" i="12" s="1"/>
  <c r="N101" i="12" s="1"/>
  <c r="B101" i="12"/>
  <c r="C101" i="12" s="1"/>
  <c r="H100" i="12"/>
  <c r="I100" i="12" s="1"/>
  <c r="J100" i="12" s="1"/>
  <c r="K100" i="12" s="1"/>
  <c r="L100" i="12" s="1"/>
  <c r="M100" i="12" s="1"/>
  <c r="N100" i="12" s="1"/>
  <c r="B100" i="12"/>
  <c r="C100" i="12"/>
  <c r="H99" i="12"/>
  <c r="I99" i="12" s="1"/>
  <c r="J99" i="12" s="1"/>
  <c r="K99" i="12" s="1"/>
  <c r="L99" i="12" s="1"/>
  <c r="M99" i="12" s="1"/>
  <c r="N99" i="12" s="1"/>
  <c r="B99" i="12"/>
  <c r="C99" i="12" s="1"/>
  <c r="H98" i="12"/>
  <c r="I98" i="12" s="1"/>
  <c r="J98" i="12" s="1"/>
  <c r="K98" i="12" s="1"/>
  <c r="L98" i="12" s="1"/>
  <c r="M98" i="12" s="1"/>
  <c r="N98" i="12" s="1"/>
  <c r="B98" i="12"/>
  <c r="C98" i="12" s="1"/>
  <c r="H97" i="12"/>
  <c r="I97" i="12"/>
  <c r="J97" i="12" s="1"/>
  <c r="K97" i="12" s="1"/>
  <c r="L97" i="12" s="1"/>
  <c r="M97" i="12" s="1"/>
  <c r="N97" i="12" s="1"/>
  <c r="B97" i="12"/>
  <c r="C97" i="12" s="1"/>
  <c r="H96" i="12"/>
  <c r="I96" i="12" s="1"/>
  <c r="J96" i="12" s="1"/>
  <c r="K96" i="12" s="1"/>
  <c r="L96" i="12" s="1"/>
  <c r="M96" i="12" s="1"/>
  <c r="N96" i="12" s="1"/>
  <c r="B96" i="12"/>
  <c r="C96" i="12"/>
  <c r="H95" i="12"/>
  <c r="I95" i="12" s="1"/>
  <c r="J95" i="12" s="1"/>
  <c r="K95" i="12" s="1"/>
  <c r="L95" i="12" s="1"/>
  <c r="M95" i="12" s="1"/>
  <c r="N95" i="12" s="1"/>
  <c r="B95" i="12"/>
  <c r="C95" i="12" s="1"/>
  <c r="H94" i="12"/>
  <c r="I94" i="12" s="1"/>
  <c r="J94" i="12" s="1"/>
  <c r="K94" i="12" s="1"/>
  <c r="L94" i="12" s="1"/>
  <c r="M94" i="12" s="1"/>
  <c r="N94" i="12" s="1"/>
  <c r="B94" i="12"/>
  <c r="C94" i="12" s="1"/>
  <c r="H93" i="12"/>
  <c r="I93" i="12"/>
  <c r="J93" i="12" s="1"/>
  <c r="K93" i="12" s="1"/>
  <c r="L93" i="12" s="1"/>
  <c r="M93" i="12" s="1"/>
  <c r="N93" i="12" s="1"/>
  <c r="B93" i="12"/>
  <c r="C93" i="12" s="1"/>
  <c r="H92" i="12"/>
  <c r="I92" i="12" s="1"/>
  <c r="J92" i="12" s="1"/>
  <c r="K92" i="12" s="1"/>
  <c r="L92" i="12" s="1"/>
  <c r="M92" i="12" s="1"/>
  <c r="N92" i="12" s="1"/>
  <c r="B92" i="12"/>
  <c r="C92" i="12"/>
  <c r="H91" i="12"/>
  <c r="I91" i="12" s="1"/>
  <c r="J91" i="12" s="1"/>
  <c r="K91" i="12" s="1"/>
  <c r="L91" i="12" s="1"/>
  <c r="M91" i="12" s="1"/>
  <c r="N91" i="12" s="1"/>
  <c r="B91" i="12"/>
  <c r="C91" i="12" s="1"/>
  <c r="H90" i="12"/>
  <c r="I90" i="12" s="1"/>
  <c r="J90" i="12" s="1"/>
  <c r="K90" i="12" s="1"/>
  <c r="L90" i="12" s="1"/>
  <c r="M90" i="12" s="1"/>
  <c r="N90" i="12" s="1"/>
  <c r="B90" i="12"/>
  <c r="C90" i="12" s="1"/>
  <c r="H89" i="12"/>
  <c r="I89" i="12"/>
  <c r="J89" i="12" s="1"/>
  <c r="K89" i="12" s="1"/>
  <c r="L89" i="12" s="1"/>
  <c r="M89" i="12" s="1"/>
  <c r="N89" i="12" s="1"/>
  <c r="B89" i="12"/>
  <c r="C89" i="12" s="1"/>
  <c r="H88" i="12"/>
  <c r="I88" i="12" s="1"/>
  <c r="J88" i="12" s="1"/>
  <c r="K88" i="12" s="1"/>
  <c r="L88" i="12" s="1"/>
  <c r="M88" i="12" s="1"/>
  <c r="N88" i="12" s="1"/>
  <c r="B88" i="12"/>
  <c r="C88" i="12"/>
  <c r="H87" i="12"/>
  <c r="I87" i="12"/>
  <c r="J87" i="12" s="1"/>
  <c r="K87" i="12" s="1"/>
  <c r="L87" i="12" s="1"/>
  <c r="M87" i="12" s="1"/>
  <c r="N87" i="12" s="1"/>
  <c r="B87" i="12"/>
  <c r="C87" i="12" s="1"/>
  <c r="H86" i="12"/>
  <c r="I86" i="12" s="1"/>
  <c r="J86" i="12" s="1"/>
  <c r="K86" i="12" s="1"/>
  <c r="L86" i="12" s="1"/>
  <c r="M86" i="12" s="1"/>
  <c r="N86" i="12" s="1"/>
  <c r="B86" i="12"/>
  <c r="C86" i="12"/>
  <c r="H85" i="12"/>
  <c r="I85" i="12" s="1"/>
  <c r="J85" i="12" s="1"/>
  <c r="K85" i="12" s="1"/>
  <c r="L85" i="12" s="1"/>
  <c r="M85" i="12" s="1"/>
  <c r="N85" i="12" s="1"/>
  <c r="B85" i="12"/>
  <c r="C85" i="12"/>
  <c r="H84" i="12"/>
  <c r="I84" i="12" s="1"/>
  <c r="J84" i="12" s="1"/>
  <c r="K84" i="12" s="1"/>
  <c r="L84" i="12" s="1"/>
  <c r="M84" i="12" s="1"/>
  <c r="N84" i="12" s="1"/>
  <c r="B84" i="12"/>
  <c r="C84" i="12" s="1"/>
  <c r="H83" i="12"/>
  <c r="I83" i="12"/>
  <c r="J83" i="12" s="1"/>
  <c r="K83" i="12" s="1"/>
  <c r="L83" i="12" s="1"/>
  <c r="M83" i="12" s="1"/>
  <c r="N83" i="12" s="1"/>
  <c r="B83" i="12"/>
  <c r="C83" i="12" s="1"/>
  <c r="H82" i="12"/>
  <c r="I82" i="12" s="1"/>
  <c r="J82" i="12" s="1"/>
  <c r="K82" i="12" s="1"/>
  <c r="L82" i="12" s="1"/>
  <c r="M82" i="12" s="1"/>
  <c r="N82" i="12" s="1"/>
  <c r="B82" i="12"/>
  <c r="C82" i="12"/>
  <c r="H81" i="12"/>
  <c r="I81" i="12" s="1"/>
  <c r="J81" i="12" s="1"/>
  <c r="K81" i="12" s="1"/>
  <c r="L81" i="12" s="1"/>
  <c r="M81" i="12" s="1"/>
  <c r="N81" i="12" s="1"/>
  <c r="B81" i="12"/>
  <c r="C81" i="12"/>
  <c r="H80" i="12"/>
  <c r="I80" i="12" s="1"/>
  <c r="J80" i="12" s="1"/>
  <c r="K80" i="12" s="1"/>
  <c r="L80" i="12" s="1"/>
  <c r="M80" i="12" s="1"/>
  <c r="N80" i="12" s="1"/>
  <c r="B80" i="12"/>
  <c r="C80" i="12" s="1"/>
  <c r="H79" i="12"/>
  <c r="I79" i="12" s="1"/>
  <c r="J79" i="12" s="1"/>
  <c r="K79" i="12" s="1"/>
  <c r="L79" i="12" s="1"/>
  <c r="M79" i="12" s="1"/>
  <c r="N79" i="12" s="1"/>
  <c r="B79" i="12"/>
  <c r="C79" i="12" s="1"/>
  <c r="H78" i="12"/>
  <c r="I78" i="12" s="1"/>
  <c r="J78" i="12" s="1"/>
  <c r="K78" i="12" s="1"/>
  <c r="L78" i="12" s="1"/>
  <c r="M78" i="12" s="1"/>
  <c r="N78" i="12" s="1"/>
  <c r="B78" i="12"/>
  <c r="C78" i="12"/>
  <c r="H77" i="12"/>
  <c r="I77" i="12" s="1"/>
  <c r="J77" i="12" s="1"/>
  <c r="K77" i="12" s="1"/>
  <c r="L77" i="12" s="1"/>
  <c r="M77" i="12" s="1"/>
  <c r="N77" i="12" s="1"/>
  <c r="B77" i="12"/>
  <c r="C77" i="12" s="1"/>
  <c r="H76" i="12"/>
  <c r="I76" i="12" s="1"/>
  <c r="J76" i="12" s="1"/>
  <c r="K76" i="12" s="1"/>
  <c r="L76" i="12" s="1"/>
  <c r="M76" i="12" s="1"/>
  <c r="N76" i="12" s="1"/>
  <c r="B76" i="12"/>
  <c r="C76" i="12"/>
  <c r="H75" i="12"/>
  <c r="I75" i="12" s="1"/>
  <c r="J75" i="12" s="1"/>
  <c r="K75" i="12" s="1"/>
  <c r="L75" i="12" s="1"/>
  <c r="M75" i="12" s="1"/>
  <c r="N75" i="12" s="1"/>
  <c r="B75" i="12"/>
  <c r="C75" i="12" s="1"/>
  <c r="H74" i="12"/>
  <c r="I74" i="12" s="1"/>
  <c r="J74" i="12" s="1"/>
  <c r="K74" i="12" s="1"/>
  <c r="L74" i="12" s="1"/>
  <c r="M74" i="12" s="1"/>
  <c r="N74" i="12" s="1"/>
  <c r="B74" i="12"/>
  <c r="C74" i="12" s="1"/>
  <c r="H73" i="12"/>
  <c r="I73" i="12" s="1"/>
  <c r="J73" i="12" s="1"/>
  <c r="K73" i="12" s="1"/>
  <c r="L73" i="12" s="1"/>
  <c r="M73" i="12" s="1"/>
  <c r="N73" i="12" s="1"/>
  <c r="B73" i="12"/>
  <c r="C73" i="12" s="1"/>
  <c r="H72" i="12"/>
  <c r="I72" i="12" s="1"/>
  <c r="J72" i="12" s="1"/>
  <c r="K72" i="12" s="1"/>
  <c r="L72" i="12" s="1"/>
  <c r="M72" i="12" s="1"/>
  <c r="N72" i="12" s="1"/>
  <c r="B72" i="12"/>
  <c r="C72" i="12"/>
  <c r="H71" i="12"/>
  <c r="I71" i="12" s="1"/>
  <c r="J71" i="12" s="1"/>
  <c r="K71" i="12" s="1"/>
  <c r="L71" i="12" s="1"/>
  <c r="M71" i="12" s="1"/>
  <c r="N71" i="12" s="1"/>
  <c r="B71" i="12"/>
  <c r="C71" i="12" s="1"/>
  <c r="H70" i="12"/>
  <c r="I70" i="12" s="1"/>
  <c r="J70" i="12" s="1"/>
  <c r="K70" i="12" s="1"/>
  <c r="L70" i="12" s="1"/>
  <c r="M70" i="12" s="1"/>
  <c r="N70" i="12" s="1"/>
  <c r="B70" i="12"/>
  <c r="C70" i="12" s="1"/>
  <c r="H69" i="12"/>
  <c r="I69" i="12"/>
  <c r="J69" i="12" s="1"/>
  <c r="K69" i="12" s="1"/>
  <c r="L69" i="12" s="1"/>
  <c r="M69" i="12" s="1"/>
  <c r="N69" i="12" s="1"/>
  <c r="B69" i="12"/>
  <c r="C69" i="12" s="1"/>
  <c r="H68" i="12"/>
  <c r="I68" i="12" s="1"/>
  <c r="J68" i="12" s="1"/>
  <c r="K68" i="12" s="1"/>
  <c r="L68" i="12" s="1"/>
  <c r="M68" i="12" s="1"/>
  <c r="N68" i="12" s="1"/>
  <c r="B68" i="12"/>
  <c r="C68" i="12"/>
  <c r="H67" i="12"/>
  <c r="I67" i="12" s="1"/>
  <c r="J67" i="12" s="1"/>
  <c r="K67" i="12" s="1"/>
  <c r="L67" i="12" s="1"/>
  <c r="M67" i="12" s="1"/>
  <c r="N67" i="12" s="1"/>
  <c r="B67" i="12"/>
  <c r="C67" i="12" s="1"/>
  <c r="H66" i="12"/>
  <c r="I66" i="12" s="1"/>
  <c r="J66" i="12" s="1"/>
  <c r="K66" i="12" s="1"/>
  <c r="L66" i="12" s="1"/>
  <c r="M66" i="12" s="1"/>
  <c r="N66" i="12" s="1"/>
  <c r="B66" i="12"/>
  <c r="C66" i="12"/>
  <c r="H65" i="12"/>
  <c r="I65" i="12"/>
  <c r="J65" i="12" s="1"/>
  <c r="K65" i="12" s="1"/>
  <c r="L65" i="12" s="1"/>
  <c r="M65" i="12" s="1"/>
  <c r="N65" i="12" s="1"/>
  <c r="B65" i="12"/>
  <c r="C65" i="12" s="1"/>
  <c r="H64" i="12"/>
  <c r="I64" i="12" s="1"/>
  <c r="J64" i="12" s="1"/>
  <c r="K64" i="12" s="1"/>
  <c r="L64" i="12" s="1"/>
  <c r="M64" i="12" s="1"/>
  <c r="N64" i="12" s="1"/>
  <c r="B64" i="12"/>
  <c r="C64" i="12"/>
  <c r="H63" i="12"/>
  <c r="I63" i="12" s="1"/>
  <c r="J63" i="12" s="1"/>
  <c r="K63" i="12" s="1"/>
  <c r="L63" i="12" s="1"/>
  <c r="M63" i="12" s="1"/>
  <c r="N63" i="12" s="1"/>
  <c r="B63" i="12"/>
  <c r="C63" i="12" s="1"/>
  <c r="H62" i="12"/>
  <c r="I62" i="12" s="1"/>
  <c r="J62" i="12" s="1"/>
  <c r="K62" i="12" s="1"/>
  <c r="L62" i="12" s="1"/>
  <c r="M62" i="12" s="1"/>
  <c r="N62" i="12" s="1"/>
  <c r="B62" i="12"/>
  <c r="C62" i="12"/>
  <c r="H61" i="12"/>
  <c r="I61" i="12" s="1"/>
  <c r="J61" i="12" s="1"/>
  <c r="K61" i="12" s="1"/>
  <c r="L61" i="12" s="1"/>
  <c r="M61" i="12" s="1"/>
  <c r="N61" i="12" s="1"/>
  <c r="B61" i="12"/>
  <c r="C61" i="12" s="1"/>
  <c r="H60" i="12"/>
  <c r="I60" i="12" s="1"/>
  <c r="J60" i="12" s="1"/>
  <c r="K60" i="12" s="1"/>
  <c r="L60" i="12" s="1"/>
  <c r="M60" i="12" s="1"/>
  <c r="N60" i="12" s="1"/>
  <c r="B60" i="12"/>
  <c r="C60" i="12" s="1"/>
  <c r="H59" i="12"/>
  <c r="I59" i="12"/>
  <c r="J59" i="12" s="1"/>
  <c r="K59" i="12" s="1"/>
  <c r="L59" i="12" s="1"/>
  <c r="M59" i="12" s="1"/>
  <c r="N59" i="12" s="1"/>
  <c r="B59" i="12"/>
  <c r="C59" i="12" s="1"/>
  <c r="H58" i="12"/>
  <c r="I58" i="12" s="1"/>
  <c r="J58" i="12" s="1"/>
  <c r="K58" i="12" s="1"/>
  <c r="L58" i="12" s="1"/>
  <c r="M58" i="12" s="1"/>
  <c r="N58" i="12" s="1"/>
  <c r="B58" i="12"/>
  <c r="C58" i="12"/>
  <c r="H57" i="12"/>
  <c r="I57" i="12" s="1"/>
  <c r="J57" i="12" s="1"/>
  <c r="K57" i="12" s="1"/>
  <c r="L57" i="12" s="1"/>
  <c r="M57" i="12" s="1"/>
  <c r="N57" i="12" s="1"/>
  <c r="B57" i="12"/>
  <c r="C57" i="12" s="1"/>
  <c r="H56" i="12"/>
  <c r="I56" i="12" s="1"/>
  <c r="J56" i="12" s="1"/>
  <c r="K56" i="12" s="1"/>
  <c r="L56" i="12" s="1"/>
  <c r="M56" i="12" s="1"/>
  <c r="N56" i="12" s="1"/>
  <c r="B56" i="12"/>
  <c r="C56" i="12" s="1"/>
  <c r="H55" i="12"/>
  <c r="I55" i="12" s="1"/>
  <c r="J55" i="12" s="1"/>
  <c r="K55" i="12" s="1"/>
  <c r="L55" i="12" s="1"/>
  <c r="M55" i="12" s="1"/>
  <c r="N55" i="12" s="1"/>
  <c r="B55" i="12"/>
  <c r="C55" i="12"/>
  <c r="H54" i="12"/>
  <c r="I54" i="12" s="1"/>
  <c r="J54" i="12" s="1"/>
  <c r="K54" i="12" s="1"/>
  <c r="L54" i="12" s="1"/>
  <c r="M54" i="12" s="1"/>
  <c r="N54" i="12" s="1"/>
  <c r="B54" i="12"/>
  <c r="C54" i="12"/>
  <c r="H53" i="12"/>
  <c r="I53" i="12" s="1"/>
  <c r="J53" i="12" s="1"/>
  <c r="K53" i="12" s="1"/>
  <c r="L53" i="12" s="1"/>
  <c r="M53" i="12" s="1"/>
  <c r="N53" i="12" s="1"/>
  <c r="B53" i="12"/>
  <c r="C53" i="12"/>
  <c r="H52" i="12"/>
  <c r="I52" i="12" s="1"/>
  <c r="J52" i="12" s="1"/>
  <c r="K52" i="12" s="1"/>
  <c r="L52" i="12" s="1"/>
  <c r="M52" i="12" s="1"/>
  <c r="N52" i="12" s="1"/>
  <c r="B52" i="12"/>
  <c r="C52" i="12" s="1"/>
  <c r="H51" i="12"/>
  <c r="I51" i="12" s="1"/>
  <c r="J51" i="12" s="1"/>
  <c r="K51" i="12" s="1"/>
  <c r="L51" i="12" s="1"/>
  <c r="M51" i="12" s="1"/>
  <c r="N51" i="12" s="1"/>
  <c r="B51" i="12"/>
  <c r="C51" i="12"/>
  <c r="H50" i="12"/>
  <c r="I50" i="12" s="1"/>
  <c r="J50" i="12" s="1"/>
  <c r="K50" i="12" s="1"/>
  <c r="L50" i="12" s="1"/>
  <c r="M50" i="12" s="1"/>
  <c r="N50" i="12" s="1"/>
  <c r="B50" i="12"/>
  <c r="C50" i="12"/>
  <c r="H49" i="12"/>
  <c r="I49" i="12" s="1"/>
  <c r="J49" i="12" s="1"/>
  <c r="K49" i="12" s="1"/>
  <c r="L49" i="12" s="1"/>
  <c r="M49" i="12" s="1"/>
  <c r="N49" i="12" s="1"/>
  <c r="B49" i="12"/>
  <c r="C49" i="12" s="1"/>
  <c r="H48" i="12"/>
  <c r="I48" i="12" s="1"/>
  <c r="J48" i="12" s="1"/>
  <c r="K48" i="12" s="1"/>
  <c r="L48" i="12" s="1"/>
  <c r="M48" i="12" s="1"/>
  <c r="N48" i="12" s="1"/>
  <c r="B48" i="12"/>
  <c r="C48" i="12" s="1"/>
  <c r="H47" i="12"/>
  <c r="I47" i="12" s="1"/>
  <c r="J47" i="12" s="1"/>
  <c r="K47" i="12" s="1"/>
  <c r="L47" i="12" s="1"/>
  <c r="M47" i="12" s="1"/>
  <c r="N47" i="12" s="1"/>
  <c r="B47" i="12"/>
  <c r="C47" i="12"/>
  <c r="H46" i="12"/>
  <c r="I46" i="12" s="1"/>
  <c r="J46" i="12" s="1"/>
  <c r="K46" i="12" s="1"/>
  <c r="L46" i="12" s="1"/>
  <c r="M46" i="12" s="1"/>
  <c r="N46" i="12" s="1"/>
  <c r="B46" i="12"/>
  <c r="C46" i="12"/>
  <c r="H45" i="12"/>
  <c r="I45" i="12" s="1"/>
  <c r="J45" i="12" s="1"/>
  <c r="K45" i="12" s="1"/>
  <c r="L45" i="12" s="1"/>
  <c r="M45" i="12" s="1"/>
  <c r="N45" i="12" s="1"/>
  <c r="B45" i="12"/>
  <c r="C45" i="12" s="1"/>
  <c r="H44" i="12"/>
  <c r="I44" i="12" s="1"/>
  <c r="J44" i="12" s="1"/>
  <c r="K44" i="12" s="1"/>
  <c r="L44" i="12" s="1"/>
  <c r="M44" i="12" s="1"/>
  <c r="N44" i="12" s="1"/>
  <c r="B44" i="12"/>
  <c r="C44" i="12" s="1"/>
  <c r="H43" i="12"/>
  <c r="I43" i="12" s="1"/>
  <c r="J43" i="12" s="1"/>
  <c r="K43" i="12" s="1"/>
  <c r="L43" i="12" s="1"/>
  <c r="M43" i="12" s="1"/>
  <c r="N43" i="12" s="1"/>
  <c r="B43" i="12"/>
  <c r="C43" i="12"/>
  <c r="H42" i="12"/>
  <c r="I42" i="12" s="1"/>
  <c r="J42" i="12" s="1"/>
  <c r="K42" i="12" s="1"/>
  <c r="L42" i="12" s="1"/>
  <c r="M42" i="12" s="1"/>
  <c r="N42" i="12" s="1"/>
  <c r="B42" i="12"/>
  <c r="C42" i="12"/>
  <c r="H41" i="12"/>
  <c r="I41" i="12" s="1"/>
  <c r="J41" i="12" s="1"/>
  <c r="K41" i="12" s="1"/>
  <c r="L41" i="12" s="1"/>
  <c r="M41" i="12" s="1"/>
  <c r="N41" i="12" s="1"/>
  <c r="B41" i="12"/>
  <c r="C41" i="12" s="1"/>
  <c r="H40" i="12"/>
  <c r="I40" i="12" s="1"/>
  <c r="J40" i="12" s="1"/>
  <c r="K40" i="12" s="1"/>
  <c r="L40" i="12" s="1"/>
  <c r="M40" i="12" s="1"/>
  <c r="N40" i="12" s="1"/>
  <c r="B40" i="12"/>
  <c r="C40" i="12" s="1"/>
  <c r="H39" i="12"/>
  <c r="I39" i="12" s="1"/>
  <c r="J39" i="12" s="1"/>
  <c r="K39" i="12" s="1"/>
  <c r="L39" i="12" s="1"/>
  <c r="M39" i="12" s="1"/>
  <c r="N39" i="12" s="1"/>
  <c r="B39" i="12"/>
  <c r="C39" i="12" s="1"/>
  <c r="H38" i="12"/>
  <c r="I38" i="12" s="1"/>
  <c r="J38" i="12" s="1"/>
  <c r="K38" i="12" s="1"/>
  <c r="L38" i="12" s="1"/>
  <c r="M38" i="12" s="1"/>
  <c r="N38" i="12" s="1"/>
  <c r="B38" i="12"/>
  <c r="C38" i="12"/>
  <c r="H37" i="12"/>
  <c r="I37" i="12" s="1"/>
  <c r="J37" i="12" s="1"/>
  <c r="K37" i="12" s="1"/>
  <c r="L37" i="12" s="1"/>
  <c r="M37" i="12" s="1"/>
  <c r="N37" i="12" s="1"/>
  <c r="B37" i="12"/>
  <c r="C37" i="12" s="1"/>
  <c r="H36" i="12"/>
  <c r="I36" i="12" s="1"/>
  <c r="J36" i="12" s="1"/>
  <c r="K36" i="12" s="1"/>
  <c r="L36" i="12" s="1"/>
  <c r="M36" i="12" s="1"/>
  <c r="N36" i="12" s="1"/>
  <c r="B36" i="12"/>
  <c r="C36" i="12" s="1"/>
  <c r="H35" i="12"/>
  <c r="I35" i="12" s="1"/>
  <c r="J35" i="12" s="1"/>
  <c r="K35" i="12" s="1"/>
  <c r="L35" i="12" s="1"/>
  <c r="M35" i="12" s="1"/>
  <c r="N35" i="12" s="1"/>
  <c r="B35" i="12"/>
  <c r="C35" i="12"/>
  <c r="H34" i="12"/>
  <c r="I34" i="12" s="1"/>
  <c r="J34" i="12" s="1"/>
  <c r="K34" i="12" s="1"/>
  <c r="L34" i="12" s="1"/>
  <c r="M34" i="12" s="1"/>
  <c r="N34" i="12" s="1"/>
  <c r="B34" i="12"/>
  <c r="C34" i="12"/>
  <c r="H33" i="12"/>
  <c r="I33" i="12" s="1"/>
  <c r="J33" i="12" s="1"/>
  <c r="K33" i="12" s="1"/>
  <c r="L33" i="12" s="1"/>
  <c r="M33" i="12" s="1"/>
  <c r="N33" i="12" s="1"/>
  <c r="B33" i="12"/>
  <c r="C33" i="12" s="1"/>
  <c r="H32" i="12"/>
  <c r="I32" i="12" s="1"/>
  <c r="J32" i="12" s="1"/>
  <c r="K32" i="12" s="1"/>
  <c r="L32" i="12" s="1"/>
  <c r="M32" i="12" s="1"/>
  <c r="N32" i="12" s="1"/>
  <c r="B32" i="12"/>
  <c r="C32" i="12" s="1"/>
  <c r="H31" i="12"/>
  <c r="I31" i="12" s="1"/>
  <c r="J31" i="12" s="1"/>
  <c r="K31" i="12" s="1"/>
  <c r="L31" i="12" s="1"/>
  <c r="M31" i="12" s="1"/>
  <c r="N31" i="12" s="1"/>
  <c r="B31" i="12"/>
  <c r="C31" i="12"/>
  <c r="H30" i="12"/>
  <c r="I30" i="12" s="1"/>
  <c r="J30" i="12" s="1"/>
  <c r="K30" i="12" s="1"/>
  <c r="L30" i="12" s="1"/>
  <c r="M30" i="12" s="1"/>
  <c r="N30" i="12" s="1"/>
  <c r="B30" i="12"/>
  <c r="C30" i="12" s="1"/>
  <c r="H29" i="12"/>
  <c r="I29" i="12" s="1"/>
  <c r="J29" i="12" s="1"/>
  <c r="K29" i="12" s="1"/>
  <c r="L29" i="12" s="1"/>
  <c r="M29" i="12" s="1"/>
  <c r="N29" i="12" s="1"/>
  <c r="B29" i="12"/>
  <c r="C29" i="12" s="1"/>
  <c r="H28" i="12"/>
  <c r="I28" i="12" s="1"/>
  <c r="J28" i="12" s="1"/>
  <c r="K28" i="12" s="1"/>
  <c r="L28" i="12" s="1"/>
  <c r="M28" i="12" s="1"/>
  <c r="N28" i="12" s="1"/>
  <c r="B28" i="12"/>
  <c r="C28" i="12" s="1"/>
  <c r="H27" i="12"/>
  <c r="I27" i="12" s="1"/>
  <c r="J27" i="12" s="1"/>
  <c r="K27" i="12" s="1"/>
  <c r="L27" i="12" s="1"/>
  <c r="M27" i="12" s="1"/>
  <c r="N27" i="12" s="1"/>
  <c r="B27" i="12"/>
  <c r="C27" i="12"/>
  <c r="H26" i="12"/>
  <c r="I26" i="12" s="1"/>
  <c r="J26" i="12" s="1"/>
  <c r="K26" i="12" s="1"/>
  <c r="L26" i="12" s="1"/>
  <c r="M26" i="12" s="1"/>
  <c r="N26" i="12" s="1"/>
  <c r="B26" i="12"/>
  <c r="C26" i="12"/>
  <c r="H25" i="12"/>
  <c r="I25" i="12"/>
  <c r="J25" i="12"/>
  <c r="K25" i="12" s="1"/>
  <c r="L25" i="12" s="1"/>
  <c r="M25" i="12" s="1"/>
  <c r="N25" i="12" s="1"/>
  <c r="B25" i="12"/>
  <c r="C25" i="12" s="1"/>
  <c r="H24" i="12"/>
  <c r="I24" i="12"/>
  <c r="J24" i="12" s="1"/>
  <c r="K24" i="12" s="1"/>
  <c r="L24" i="12" s="1"/>
  <c r="M24" i="12" s="1"/>
  <c r="N24" i="12" s="1"/>
  <c r="B24" i="12"/>
  <c r="C24" i="12"/>
  <c r="H23" i="12"/>
  <c r="I23" i="12" s="1"/>
  <c r="J23" i="12" s="1"/>
  <c r="K23" i="12" s="1"/>
  <c r="L23" i="12" s="1"/>
  <c r="M23" i="12" s="1"/>
  <c r="N23" i="12" s="1"/>
  <c r="B23" i="12"/>
  <c r="C23" i="12"/>
  <c r="H22" i="12"/>
  <c r="I22" i="12" s="1"/>
  <c r="J22" i="12" s="1"/>
  <c r="K22" i="12" s="1"/>
  <c r="L22" i="12" s="1"/>
  <c r="M22" i="12" s="1"/>
  <c r="N22" i="12" s="1"/>
  <c r="B22" i="12"/>
  <c r="C22" i="12" s="1"/>
  <c r="H21" i="12"/>
  <c r="I21" i="12"/>
  <c r="J21" i="12"/>
  <c r="K21" i="12" s="1"/>
  <c r="L21" i="12" s="1"/>
  <c r="M21" i="12" s="1"/>
  <c r="N21" i="12" s="1"/>
  <c r="B21" i="12"/>
  <c r="C21" i="12" s="1"/>
  <c r="H20" i="12"/>
  <c r="I20" i="12"/>
  <c r="J20" i="12" s="1"/>
  <c r="K20" i="12" s="1"/>
  <c r="L20" i="12" s="1"/>
  <c r="M20" i="12" s="1"/>
  <c r="N20" i="12" s="1"/>
  <c r="B20" i="12"/>
  <c r="C20" i="12"/>
  <c r="H19" i="12"/>
  <c r="I19" i="12" s="1"/>
  <c r="J19" i="12" s="1"/>
  <c r="K19" i="12" s="1"/>
  <c r="L19" i="12" s="1"/>
  <c r="M19" i="12" s="1"/>
  <c r="N19" i="12" s="1"/>
  <c r="B19" i="12"/>
  <c r="C19" i="12"/>
  <c r="H18" i="12"/>
  <c r="I18" i="12" s="1"/>
  <c r="J18" i="12" s="1"/>
  <c r="K18" i="12" s="1"/>
  <c r="L18" i="12" s="1"/>
  <c r="M18" i="12" s="1"/>
  <c r="N18" i="12" s="1"/>
  <c r="B18" i="12"/>
  <c r="C18" i="12" s="1"/>
  <c r="H17" i="12"/>
  <c r="I17" i="12"/>
  <c r="J17" i="12"/>
  <c r="K17" i="12" s="1"/>
  <c r="L17" i="12" s="1"/>
  <c r="M17" i="12" s="1"/>
  <c r="N17" i="12" s="1"/>
  <c r="B17" i="12"/>
  <c r="C17" i="12" s="1"/>
  <c r="H16" i="12"/>
  <c r="I16" i="12"/>
  <c r="J16" i="12" s="1"/>
  <c r="K16" i="12" s="1"/>
  <c r="L16" i="12" s="1"/>
  <c r="M16" i="12" s="1"/>
  <c r="N16" i="12" s="1"/>
  <c r="B16" i="12"/>
  <c r="C16" i="12"/>
  <c r="H15" i="12"/>
  <c r="I15" i="12" s="1"/>
  <c r="J15" i="12" s="1"/>
  <c r="K15" i="12" s="1"/>
  <c r="L15" i="12" s="1"/>
  <c r="M15" i="12" s="1"/>
  <c r="N15" i="12" s="1"/>
  <c r="B15" i="12"/>
  <c r="C15" i="12"/>
  <c r="H14" i="12"/>
  <c r="I14" i="12" s="1"/>
  <c r="J14" i="12" s="1"/>
  <c r="K14" i="12" s="1"/>
  <c r="L14" i="12" s="1"/>
  <c r="M14" i="12" s="1"/>
  <c r="N14" i="12" s="1"/>
  <c r="B14" i="12"/>
  <c r="C14" i="12" s="1"/>
  <c r="H13" i="12"/>
  <c r="I13" i="12"/>
  <c r="J13" i="12"/>
  <c r="K13" i="12" s="1"/>
  <c r="L13" i="12" s="1"/>
  <c r="M13" i="12" s="1"/>
  <c r="N13" i="12" s="1"/>
  <c r="B13" i="12"/>
  <c r="C13" i="12" s="1"/>
  <c r="H12" i="12"/>
  <c r="I12" i="12"/>
  <c r="J12" i="12" s="1"/>
  <c r="K12" i="12" s="1"/>
  <c r="L12" i="12" s="1"/>
  <c r="M12" i="12" s="1"/>
  <c r="N12" i="12" s="1"/>
  <c r="B12" i="12"/>
  <c r="C12" i="12"/>
  <c r="H11" i="12"/>
  <c r="I11" i="12" s="1"/>
  <c r="J11" i="12" s="1"/>
  <c r="K11" i="12" s="1"/>
  <c r="L11" i="12" s="1"/>
  <c r="M11" i="12" s="1"/>
  <c r="N11" i="12" s="1"/>
  <c r="B11" i="12"/>
  <c r="C11" i="12"/>
  <c r="H10" i="12"/>
  <c r="I10" i="12" s="1"/>
  <c r="J10" i="12" s="1"/>
  <c r="K10" i="12" s="1"/>
  <c r="L10" i="12" s="1"/>
  <c r="M10" i="12" s="1"/>
  <c r="N10" i="12" s="1"/>
  <c r="B10" i="12"/>
  <c r="C10" i="12" s="1"/>
  <c r="H9" i="12"/>
  <c r="I9" i="12"/>
  <c r="J9" i="12"/>
  <c r="K9" i="12" s="1"/>
  <c r="L9" i="12" s="1"/>
  <c r="M9" i="12" s="1"/>
  <c r="N9" i="12" s="1"/>
  <c r="B9" i="12"/>
  <c r="C9" i="12" s="1"/>
  <c r="H8" i="12"/>
  <c r="I8" i="12"/>
  <c r="J8" i="12" s="1"/>
  <c r="K8" i="12" s="1"/>
  <c r="L8" i="12" s="1"/>
  <c r="M8" i="12" s="1"/>
  <c r="N8" i="12" s="1"/>
  <c r="B8" i="12"/>
  <c r="C8" i="12" s="1"/>
  <c r="H7" i="12"/>
  <c r="I7" i="12"/>
  <c r="J7" i="12" s="1"/>
  <c r="K7" i="12" s="1"/>
  <c r="L7" i="12" s="1"/>
  <c r="M7" i="12" s="1"/>
  <c r="N7" i="12" s="1"/>
  <c r="B7" i="12"/>
  <c r="C7" i="12"/>
  <c r="H6" i="12"/>
  <c r="I6" i="12" s="1"/>
  <c r="J6" i="12" s="1"/>
  <c r="K6" i="12" s="1"/>
  <c r="L6" i="12" s="1"/>
  <c r="M6" i="12" s="1"/>
  <c r="N6" i="12" s="1"/>
  <c r="B6" i="12"/>
  <c r="C6" i="12"/>
  <c r="H5" i="12"/>
  <c r="I5" i="12" s="1"/>
  <c r="J5" i="12" s="1"/>
  <c r="K5" i="12" s="1"/>
  <c r="L5" i="12" s="1"/>
  <c r="M5" i="12" s="1"/>
  <c r="N5" i="12" s="1"/>
  <c r="B5" i="12"/>
  <c r="C5" i="12" s="1"/>
  <c r="H4" i="12"/>
  <c r="I4" i="12"/>
  <c r="J4" i="12"/>
  <c r="K4" i="12" s="1"/>
  <c r="L4" i="12" s="1"/>
  <c r="M4" i="12" s="1"/>
  <c r="N4" i="12" s="1"/>
  <c r="B4" i="12"/>
  <c r="C4" i="12" s="1"/>
  <c r="M3" i="10"/>
  <c r="M4" i="10"/>
  <c r="M5" i="10"/>
  <c r="M7" i="10"/>
  <c r="M8" i="10"/>
  <c r="K10" i="10"/>
  <c r="L10" i="10"/>
  <c r="M6" i="10" s="1"/>
  <c r="M10" i="10" s="1"/>
  <c r="M2" i="10"/>
  <c r="F12" i="10"/>
  <c r="F13" i="10"/>
  <c r="F56" i="10"/>
  <c r="F57" i="10"/>
  <c r="F73" i="10"/>
  <c r="F74" i="10"/>
  <c r="F89" i="10"/>
  <c r="F90" i="10"/>
  <c r="F98" i="10"/>
  <c r="F99" i="10"/>
  <c r="F114" i="10"/>
  <c r="F115" i="10"/>
  <c r="F134" i="10"/>
  <c r="F135" i="10"/>
  <c r="K7" i="9"/>
  <c r="L7" i="9"/>
  <c r="F31" i="9"/>
  <c r="F85" i="9"/>
  <c r="F86" i="9"/>
  <c r="F117" i="9"/>
  <c r="F118" i="9"/>
  <c r="AB3" i="2"/>
  <c r="AB4" i="2" s="1"/>
  <c r="AB5" i="2"/>
  <c r="AB6" i="2" s="1"/>
  <c r="AB7" i="2" s="1"/>
  <c r="AB8" i="2" s="1"/>
  <c r="AB9" i="2" s="1"/>
  <c r="AB10" i="2" s="1"/>
  <c r="AB11" i="2" s="1"/>
  <c r="AB12" i="2" s="1"/>
  <c r="AB13" i="2" s="1"/>
  <c r="AB14" i="2" s="1"/>
  <c r="AB15" i="2" s="1"/>
  <c r="AB16" i="2" s="1"/>
  <c r="AB17" i="2" s="1"/>
  <c r="AB18" i="2" s="1"/>
  <c r="AB19" i="2" s="1"/>
  <c r="AB20" i="2" s="1"/>
  <c r="AB21" i="2" s="1"/>
  <c r="AB22" i="2" s="1"/>
  <c r="AB23" i="2" s="1"/>
  <c r="AB24" i="2" s="1"/>
  <c r="AB25" i="2" s="1"/>
  <c r="AB26" i="2" s="1"/>
  <c r="AB27" i="2" s="1"/>
  <c r="AB28" i="2" s="1"/>
  <c r="AB29" i="2" s="1"/>
  <c r="AB30" i="2" s="1"/>
  <c r="AB31" i="2" s="1"/>
  <c r="AB32" i="2" s="1"/>
  <c r="AB33" i="2" s="1"/>
  <c r="AB34" i="2" s="1"/>
  <c r="AB35" i="2" s="1"/>
  <c r="AB36" i="2" s="1"/>
  <c r="AB37" i="2" s="1"/>
  <c r="AB38" i="2" s="1"/>
  <c r="AB39" i="2" s="1"/>
  <c r="AB40" i="2" s="1"/>
  <c r="AB41" i="2" s="1"/>
  <c r="AB42" i="2" s="1"/>
  <c r="AB43" i="2" s="1"/>
  <c r="AB44" i="2" s="1"/>
  <c r="AB45" i="2" s="1"/>
  <c r="AB46" i="2" s="1"/>
  <c r="AB47" i="2" s="1"/>
  <c r="AB48" i="2" s="1"/>
  <c r="AB49" i="2" s="1"/>
  <c r="AB50" i="2" s="1"/>
  <c r="AB51" i="2" s="1"/>
  <c r="AB52" i="2" s="1"/>
  <c r="AB53" i="2" s="1"/>
  <c r="AB54" i="2" s="1"/>
  <c r="AB55" i="2" s="1"/>
  <c r="AB56" i="2" s="1"/>
  <c r="AB57" i="2" s="1"/>
  <c r="AB58" i="2" s="1"/>
  <c r="AB59" i="2" s="1"/>
  <c r="AB60" i="2" s="1"/>
  <c r="AB61" i="2" s="1"/>
  <c r="AB62" i="2" s="1"/>
  <c r="AB63" i="2" s="1"/>
  <c r="AB64" i="2" s="1"/>
  <c r="AB65" i="2" s="1"/>
  <c r="AB66" i="2" s="1"/>
  <c r="AB67" i="2" s="1"/>
  <c r="AB68" i="2" s="1"/>
  <c r="AB69" i="2" s="1"/>
  <c r="AB70" i="2" s="1"/>
  <c r="AB71" i="2" s="1"/>
  <c r="AB72" i="2" s="1"/>
  <c r="AB73" i="2" s="1"/>
  <c r="AB74" i="2" s="1"/>
  <c r="AB75" i="2" s="1"/>
  <c r="AB76" i="2" s="1"/>
  <c r="AB77" i="2" s="1"/>
  <c r="AB78" i="2" s="1"/>
  <c r="AB79" i="2" s="1"/>
  <c r="AB80" i="2" s="1"/>
  <c r="AB81" i="2" s="1"/>
  <c r="AB82" i="2" s="1"/>
  <c r="AB83" i="2" s="1"/>
  <c r="AB84" i="2" s="1"/>
  <c r="AB85" i="2" s="1"/>
  <c r="AB86" i="2" s="1"/>
  <c r="AB87" i="2" s="1"/>
  <c r="AB88" i="2" s="1"/>
  <c r="AB89" i="2" s="1"/>
  <c r="AB90" i="2" s="1"/>
  <c r="AB91" i="2" s="1"/>
  <c r="AB92" i="2" s="1"/>
  <c r="AB93" i="2" s="1"/>
  <c r="AB94" i="2" s="1"/>
  <c r="AB95" i="2" s="1"/>
  <c r="AB96" i="2" s="1"/>
  <c r="AB97" i="2" s="1"/>
  <c r="AB98" i="2" s="1"/>
  <c r="AB99" i="2" s="1"/>
  <c r="AB100" i="2" s="1"/>
  <c r="AB101" i="2" s="1"/>
  <c r="AB102" i="2" s="1"/>
  <c r="AB103" i="2" s="1"/>
  <c r="AB104" i="2" s="1"/>
  <c r="AB105" i="2" s="1"/>
  <c r="AB106" i="2" s="1"/>
  <c r="AB107" i="2" s="1"/>
  <c r="AB108" i="2" s="1"/>
  <c r="AB109" i="2" s="1"/>
  <c r="AB110" i="2" s="1"/>
  <c r="AB111" i="2" s="1"/>
  <c r="AB112" i="2" s="1"/>
  <c r="AB113" i="2" s="1"/>
  <c r="AB114" i="2" s="1"/>
  <c r="AB115" i="2" s="1"/>
  <c r="AB116" i="2" s="1"/>
  <c r="AB117" i="2" s="1"/>
  <c r="AB118" i="2" s="1"/>
  <c r="AB119" i="2" s="1"/>
  <c r="AB120" i="2" s="1"/>
  <c r="AB121" i="2" s="1"/>
  <c r="AB122" i="2" s="1"/>
  <c r="AB123" i="2" s="1"/>
  <c r="AB124" i="2" s="1"/>
  <c r="AB125" i="2" s="1"/>
  <c r="AB126" i="2" s="1"/>
  <c r="AB127" i="2" s="1"/>
  <c r="AB128" i="2" s="1"/>
  <c r="AB129" i="2" s="1"/>
  <c r="AB130" i="2" s="1"/>
  <c r="AB131" i="2" s="1"/>
  <c r="AB132" i="2" s="1"/>
  <c r="AB133" i="2" s="1"/>
  <c r="AB134" i="2" s="1"/>
  <c r="AB135" i="2" s="1"/>
  <c r="AB136" i="2" s="1"/>
  <c r="AB137" i="2" s="1"/>
  <c r="AB138" i="2" s="1"/>
  <c r="AB139" i="2" s="1"/>
  <c r="AB140" i="2" s="1"/>
  <c r="AB141" i="2" s="1"/>
  <c r="AB142" i="2" s="1"/>
  <c r="AB143" i="2" s="1"/>
  <c r="AB144" i="2" s="1"/>
  <c r="AB145" i="2" s="1"/>
  <c r="AB146" i="2" s="1"/>
  <c r="AB147" i="2" s="1"/>
  <c r="AB148" i="2" s="1"/>
  <c r="AB149" i="2" s="1"/>
  <c r="AB150" i="2" s="1"/>
  <c r="AB151" i="2" s="1"/>
  <c r="AB152" i="2" s="1"/>
  <c r="AB153" i="2" s="1"/>
  <c r="AB154" i="2" s="1"/>
  <c r="AB155" i="2" s="1"/>
  <c r="AB156" i="2" s="1"/>
  <c r="AB157" i="2" s="1"/>
  <c r="AB158" i="2" s="1"/>
  <c r="AB159" i="2" s="1"/>
  <c r="AB160" i="2" s="1"/>
  <c r="AB161" i="2" s="1"/>
  <c r="AB162" i="2" s="1"/>
  <c r="AB163" i="2" s="1"/>
  <c r="AB164" i="2" s="1"/>
  <c r="AB165" i="2" s="1"/>
  <c r="AB166" i="2" s="1"/>
  <c r="AB167" i="2" s="1"/>
  <c r="AB168" i="2" s="1"/>
  <c r="AB169" i="2" s="1"/>
  <c r="AB170" i="2" s="1"/>
  <c r="AB171" i="2" s="1"/>
  <c r="AB172" i="2" s="1"/>
  <c r="AB173" i="2" s="1"/>
  <c r="AB174" i="2" s="1"/>
  <c r="AB175" i="2" s="1"/>
  <c r="AB176" i="2" s="1"/>
  <c r="AB177" i="2" s="1"/>
  <c r="AB178" i="2" s="1"/>
  <c r="AB179" i="2" s="1"/>
  <c r="AB180" i="2" s="1"/>
  <c r="AB181" i="2" s="1"/>
  <c r="AB182" i="2" s="1"/>
  <c r="AB183" i="2" s="1"/>
  <c r="AB184" i="2" s="1"/>
  <c r="AB185" i="2" s="1"/>
  <c r="AB186" i="2" s="1"/>
  <c r="AB187" i="2" s="1"/>
  <c r="AB188" i="2" s="1"/>
  <c r="AB189" i="2" s="1"/>
  <c r="AB190" i="2" s="1"/>
  <c r="AB191" i="2" s="1"/>
  <c r="AB192" i="2" s="1"/>
  <c r="AB193" i="2" s="1"/>
  <c r="AB194" i="2" s="1"/>
  <c r="AB195" i="2" s="1"/>
  <c r="AB196" i="2" s="1"/>
  <c r="AB197" i="2" s="1"/>
  <c r="AB198" i="2" s="1"/>
  <c r="AB199" i="2" s="1"/>
  <c r="AB200" i="2" s="1"/>
  <c r="AB201" i="2" s="1"/>
  <c r="AB202" i="2" s="1"/>
  <c r="AB203" i="2" s="1"/>
  <c r="AB204" i="2" s="1"/>
  <c r="AB205" i="2" s="1"/>
  <c r="AB206" i="2" s="1"/>
  <c r="AB207" i="2" s="1"/>
  <c r="AB208" i="2" s="1"/>
  <c r="AB209" i="2" s="1"/>
  <c r="AB210" i="2" s="1"/>
  <c r="AB211" i="2" s="1"/>
  <c r="AB212" i="2" s="1"/>
  <c r="AB213" i="2" s="1"/>
  <c r="AB214" i="2" s="1"/>
  <c r="AB215" i="2" s="1"/>
  <c r="AB216" i="2" s="1"/>
  <c r="AB217" i="2" s="1"/>
  <c r="AB218" i="2" s="1"/>
  <c r="AB219" i="2" s="1"/>
  <c r="AB220" i="2" s="1"/>
  <c r="AB221" i="2" s="1"/>
  <c r="AB222" i="2" s="1"/>
  <c r="AB223" i="2" s="1"/>
  <c r="AB224" i="2" s="1"/>
  <c r="AB225" i="2" s="1"/>
  <c r="AB226" i="2" s="1"/>
  <c r="AB227" i="2" s="1"/>
  <c r="AB228" i="2" s="1"/>
  <c r="AB229" i="2" s="1"/>
  <c r="AB230" i="2" s="1"/>
  <c r="AB231" i="2" s="1"/>
  <c r="AB232" i="2" s="1"/>
  <c r="AB233" i="2" s="1"/>
  <c r="AB234" i="2" s="1"/>
  <c r="AB235" i="2" s="1"/>
  <c r="AB236" i="2" s="1"/>
  <c r="AB237" i="2" s="1"/>
  <c r="AB238" i="2" s="1"/>
  <c r="AB239" i="2" s="1"/>
  <c r="AB240" i="2" s="1"/>
  <c r="AB241" i="2" s="1"/>
  <c r="AB242" i="2" s="1"/>
  <c r="AB243" i="2" s="1"/>
  <c r="AB244" i="2" s="1"/>
  <c r="AB245" i="2" s="1"/>
  <c r="AB246" i="2" s="1"/>
  <c r="AB247" i="2" s="1"/>
  <c r="AB248" i="2" s="1"/>
  <c r="AB249" i="2" s="1"/>
  <c r="AB250" i="2" s="1"/>
  <c r="AB251" i="2" s="1"/>
  <c r="AB252" i="2" s="1"/>
  <c r="AB253" i="2" s="1"/>
  <c r="AB254" i="2" s="1"/>
  <c r="AB255" i="2" s="1"/>
  <c r="AB256" i="2" s="1"/>
  <c r="AB257" i="2" s="1"/>
  <c r="AB258" i="2" s="1"/>
  <c r="AB259" i="2" s="1"/>
  <c r="AB260" i="2" s="1"/>
  <c r="AB261" i="2" s="1"/>
  <c r="AB262" i="2" s="1"/>
  <c r="AB263" i="2" s="1"/>
  <c r="AB264" i="2" s="1"/>
  <c r="AB265" i="2" s="1"/>
  <c r="AB266" i="2" s="1"/>
  <c r="AB267" i="2" s="1"/>
  <c r="AB268" i="2" s="1"/>
  <c r="AB269" i="2" s="1"/>
  <c r="AB270" i="2" s="1"/>
  <c r="AB271" i="2" s="1"/>
  <c r="AB272" i="2" s="1"/>
  <c r="AB273" i="2" s="1"/>
  <c r="AB274" i="2" s="1"/>
  <c r="AB275" i="2" s="1"/>
  <c r="AB276" i="2" s="1"/>
  <c r="AB277" i="2" s="1"/>
  <c r="AB278" i="2" s="1"/>
  <c r="AB279" i="2" s="1"/>
  <c r="AB280" i="2" s="1"/>
  <c r="AB281" i="2" s="1"/>
  <c r="AB282" i="2" s="1"/>
  <c r="AB283" i="2" s="1"/>
  <c r="AB284" i="2" s="1"/>
  <c r="AB285" i="2" s="1"/>
  <c r="AB286" i="2" s="1"/>
  <c r="AB287" i="2" s="1"/>
  <c r="AB288" i="2" s="1"/>
  <c r="AB289" i="2" s="1"/>
  <c r="AB290" i="2" s="1"/>
  <c r="AB291" i="2" s="1"/>
  <c r="AB292" i="2" s="1"/>
  <c r="AB293" i="2" s="1"/>
  <c r="AB294" i="2" s="1"/>
  <c r="AB295" i="2" s="1"/>
  <c r="AB296" i="2" s="1"/>
  <c r="AB297" i="2" s="1"/>
  <c r="AB298" i="2" s="1"/>
  <c r="AB299" i="2" s="1"/>
  <c r="AB300" i="2" s="1"/>
  <c r="AB301" i="2" s="1"/>
  <c r="AB302" i="2" s="1"/>
  <c r="AB303" i="2" s="1"/>
  <c r="AB304" i="2" s="1"/>
  <c r="AB305" i="2" s="1"/>
  <c r="AB306" i="2" s="1"/>
  <c r="AB307" i="2" s="1"/>
  <c r="AB308" i="2" s="1"/>
  <c r="AB309" i="2" s="1"/>
  <c r="AB310" i="2" s="1"/>
  <c r="AB311" i="2" s="1"/>
  <c r="AB312" i="2" s="1"/>
  <c r="AB313" i="2" s="1"/>
  <c r="AB314" i="2" s="1"/>
  <c r="AB315" i="2" s="1"/>
  <c r="AB316" i="2" s="1"/>
  <c r="AB317" i="2" s="1"/>
  <c r="AB318" i="2" s="1"/>
  <c r="AB319" i="2" s="1"/>
  <c r="AB320" i="2" s="1"/>
  <c r="AB321" i="2" s="1"/>
  <c r="AB322" i="2" s="1"/>
  <c r="AB323" i="2" s="1"/>
  <c r="AB324" i="2" s="1"/>
  <c r="AB325" i="2" s="1"/>
  <c r="AB326" i="2" s="1"/>
  <c r="AB327" i="2" s="1"/>
  <c r="AB328" i="2" s="1"/>
  <c r="AB329" i="2" s="1"/>
  <c r="AB330" i="2" s="1"/>
  <c r="AB331" i="2" s="1"/>
  <c r="AB332" i="2" s="1"/>
  <c r="AB333" i="2" s="1"/>
  <c r="AB334" i="2" s="1"/>
  <c r="AB335" i="2" s="1"/>
  <c r="AB336" i="2" s="1"/>
  <c r="AB337" i="2" s="1"/>
  <c r="AB338" i="2" s="1"/>
  <c r="AB339" i="2" s="1"/>
  <c r="AB340" i="2" s="1"/>
  <c r="AB341" i="2" s="1"/>
  <c r="AB342" i="2" s="1"/>
  <c r="AB343" i="2" s="1"/>
  <c r="AB344" i="2" s="1"/>
  <c r="AB345" i="2" s="1"/>
  <c r="AB346" i="2" s="1"/>
  <c r="AB347" i="2" s="1"/>
  <c r="AB348" i="2" s="1"/>
  <c r="AB349" i="2" s="1"/>
  <c r="AB350" i="2" s="1"/>
  <c r="AB351" i="2" s="1"/>
  <c r="AB352" i="2" s="1"/>
  <c r="AB353" i="2" s="1"/>
  <c r="AB354" i="2" s="1"/>
  <c r="AB355" i="2" s="1"/>
  <c r="AB356" i="2" s="1"/>
  <c r="AB357" i="2" s="1"/>
  <c r="AB358" i="2" s="1"/>
  <c r="AB359" i="2" s="1"/>
  <c r="AB360" i="2" s="1"/>
  <c r="AB361" i="2" s="1"/>
  <c r="AB362" i="2" s="1"/>
  <c r="AB363" i="2" s="1"/>
  <c r="AB364" i="2" s="1"/>
  <c r="AB365" i="2" s="1"/>
  <c r="AB366" i="2" s="1"/>
  <c r="AB367" i="2" s="1"/>
  <c r="AB368" i="2" s="1"/>
  <c r="AB369" i="2" s="1"/>
  <c r="AB370" i="2" s="1"/>
  <c r="AB371" i="2" s="1"/>
  <c r="AB372" i="2" s="1"/>
  <c r="AB373" i="2" s="1"/>
  <c r="AB374" i="2" s="1"/>
  <c r="AB375" i="2" s="1"/>
  <c r="AB376" i="2" s="1"/>
  <c r="AB377" i="2" s="1"/>
  <c r="AB378" i="2" s="1"/>
  <c r="AB379" i="2" s="1"/>
  <c r="AB380" i="2" s="1"/>
  <c r="AB381" i="2" s="1"/>
  <c r="AB382" i="2" s="1"/>
  <c r="AB383" i="2" s="1"/>
  <c r="AB384" i="2" s="1"/>
  <c r="AB385" i="2" s="1"/>
  <c r="AB386" i="2" s="1"/>
  <c r="AB387" i="2" s="1"/>
  <c r="AB388" i="2" s="1"/>
  <c r="AB389" i="2" s="1"/>
  <c r="AB390" i="2" s="1"/>
  <c r="AB391" i="2" s="1"/>
  <c r="AB392" i="2" s="1"/>
  <c r="AB393" i="2" s="1"/>
  <c r="AB394" i="2" s="1"/>
  <c r="AB395" i="2" s="1"/>
  <c r="AB396" i="2" s="1"/>
  <c r="AB397" i="2" s="1"/>
  <c r="AB398" i="2" s="1"/>
  <c r="AB399" i="2" s="1"/>
  <c r="AB400" i="2" s="1"/>
  <c r="AB401" i="2" s="1"/>
  <c r="AB402" i="2" s="1"/>
  <c r="AB403" i="2" s="1"/>
  <c r="AB404" i="2" s="1"/>
  <c r="AB405" i="2" s="1"/>
  <c r="AB406" i="2" s="1"/>
  <c r="AB407" i="2" s="1"/>
  <c r="AB408" i="2" s="1"/>
  <c r="AB409" i="2" s="1"/>
  <c r="AB410" i="2" s="1"/>
  <c r="AB411" i="2" s="1"/>
  <c r="AB412" i="2" s="1"/>
  <c r="AB413" i="2" s="1"/>
  <c r="AB414" i="2" s="1"/>
  <c r="AB415" i="2" s="1"/>
  <c r="AB416" i="2" s="1"/>
  <c r="AB417" i="2" s="1"/>
  <c r="AB418" i="2" s="1"/>
  <c r="AB419" i="2" s="1"/>
  <c r="AB420" i="2" s="1"/>
  <c r="AB421" i="2" s="1"/>
  <c r="AB422" i="2" s="1"/>
  <c r="AB423" i="2" s="1"/>
  <c r="AB424" i="2" s="1"/>
  <c r="AB425" i="2" s="1"/>
  <c r="AB426" i="2" s="1"/>
  <c r="AB427" i="2" s="1"/>
  <c r="AB428" i="2" s="1"/>
  <c r="AB429" i="2" s="1"/>
  <c r="AB430" i="2" s="1"/>
  <c r="AB431" i="2" s="1"/>
  <c r="AB432" i="2" s="1"/>
  <c r="AB433" i="2" s="1"/>
  <c r="AB434" i="2" s="1"/>
  <c r="AB435" i="2" s="1"/>
  <c r="AB436" i="2" s="1"/>
  <c r="AB437" i="2" s="1"/>
  <c r="AB438" i="2" s="1"/>
  <c r="AB439" i="2" s="1"/>
  <c r="AB440" i="2" s="1"/>
  <c r="AB441" i="2" s="1"/>
  <c r="AB442" i="2" s="1"/>
  <c r="AB443" i="2" s="1"/>
  <c r="AB444" i="2" s="1"/>
  <c r="AB445" i="2" s="1"/>
  <c r="AB446" i="2" s="1"/>
  <c r="AB447" i="2" s="1"/>
  <c r="AB448" i="2" s="1"/>
  <c r="AB449" i="2" s="1"/>
  <c r="AB450" i="2" s="1"/>
  <c r="AB451" i="2" s="1"/>
  <c r="AB452" i="2" s="1"/>
  <c r="AB453" i="2" s="1"/>
  <c r="AB454" i="2" s="1"/>
  <c r="AB455" i="2" s="1"/>
  <c r="AB456" i="2" s="1"/>
  <c r="AB457" i="2" s="1"/>
  <c r="AB458" i="2" s="1"/>
  <c r="AB459" i="2" s="1"/>
  <c r="AB460" i="2" s="1"/>
  <c r="AB461" i="2" s="1"/>
  <c r="AB462" i="2" s="1"/>
  <c r="AB463" i="2" s="1"/>
  <c r="AB464" i="2" s="1"/>
  <c r="AB465" i="2" s="1"/>
  <c r="AB466" i="2" s="1"/>
  <c r="AB467" i="2" s="1"/>
  <c r="AB468" i="2" s="1"/>
  <c r="AB469" i="2" s="1"/>
  <c r="AB470" i="2" s="1"/>
  <c r="AB471" i="2" s="1"/>
  <c r="AB472" i="2" s="1"/>
  <c r="AB473" i="2" s="1"/>
  <c r="AB474" i="2" s="1"/>
  <c r="AB475" i="2" s="1"/>
  <c r="AB476" i="2" s="1"/>
  <c r="AB477" i="2" s="1"/>
  <c r="AB478" i="2" s="1"/>
  <c r="AB479" i="2" s="1"/>
  <c r="AB480" i="2" s="1"/>
  <c r="AB481" i="2" s="1"/>
  <c r="AB482" i="2" s="1"/>
  <c r="AB483" i="2" s="1"/>
  <c r="AB484" i="2" s="1"/>
  <c r="AB485" i="2" s="1"/>
  <c r="AB486" i="2" s="1"/>
  <c r="AB487" i="2" s="1"/>
  <c r="AB488" i="2" s="1"/>
  <c r="AB489" i="2" s="1"/>
  <c r="AB490" i="2" s="1"/>
  <c r="AB491" i="2" s="1"/>
  <c r="AB492" i="2" s="1"/>
  <c r="AB493" i="2" s="1"/>
  <c r="AB494" i="2" s="1"/>
  <c r="AB495" i="2" s="1"/>
  <c r="AB496" i="2" s="1"/>
  <c r="AB497" i="2" s="1"/>
  <c r="AB498" i="2" s="1"/>
  <c r="AB499" i="2" s="1"/>
  <c r="AB500" i="2" s="1"/>
  <c r="AB501" i="2" s="1"/>
  <c r="AB502" i="2" s="1"/>
  <c r="AB503" i="2" s="1"/>
  <c r="AB504" i="2" s="1"/>
  <c r="AB505" i="2" s="1"/>
  <c r="AB506" i="2" s="1"/>
  <c r="AB507" i="2" s="1"/>
  <c r="AB508" i="2" s="1"/>
  <c r="AB509" i="2" s="1"/>
  <c r="AB510" i="2" s="1"/>
  <c r="AB511" i="2" s="1"/>
  <c r="AB512" i="2" s="1"/>
  <c r="AB513" i="2" s="1"/>
  <c r="AB514" i="2" s="1"/>
  <c r="AB515" i="2" s="1"/>
  <c r="AB516" i="2" s="1"/>
  <c r="AB517" i="2" s="1"/>
  <c r="AB518" i="2" s="1"/>
  <c r="AB519" i="2" s="1"/>
  <c r="AB520" i="2" s="1"/>
  <c r="AB521" i="2" s="1"/>
  <c r="AB522" i="2" s="1"/>
  <c r="AB523" i="2" s="1"/>
  <c r="AB524" i="2" s="1"/>
  <c r="AB525" i="2" s="1"/>
  <c r="AB526" i="2" s="1"/>
  <c r="AB527" i="2" s="1"/>
  <c r="AB528" i="2" s="1"/>
  <c r="AB529" i="2" s="1"/>
  <c r="AB530" i="2" s="1"/>
  <c r="AB531" i="2" s="1"/>
  <c r="AB532" i="2" s="1"/>
  <c r="AB533" i="2" s="1"/>
  <c r="AB534" i="2" s="1"/>
  <c r="AB535" i="2" s="1"/>
  <c r="AB536" i="2" s="1"/>
  <c r="AB537" i="2" s="1"/>
  <c r="AB538" i="2" s="1"/>
  <c r="AB539" i="2" s="1"/>
  <c r="AB540" i="2" s="1"/>
  <c r="AB541" i="2" s="1"/>
  <c r="AB542" i="2" s="1"/>
  <c r="AB543" i="2" s="1"/>
  <c r="AB544" i="2" s="1"/>
  <c r="AB545" i="2" s="1"/>
  <c r="AB546" i="2" s="1"/>
  <c r="AB547" i="2" s="1"/>
  <c r="AB548" i="2" s="1"/>
  <c r="AB549" i="2" s="1"/>
  <c r="AB550" i="2" s="1"/>
  <c r="AB551" i="2" s="1"/>
  <c r="AB552" i="2" s="1"/>
  <c r="AB553" i="2" s="1"/>
  <c r="AB554" i="2" s="1"/>
  <c r="AB555" i="2" s="1"/>
  <c r="AB556" i="2" s="1"/>
  <c r="AB557" i="2" s="1"/>
  <c r="AB558" i="2" s="1"/>
  <c r="AB559" i="2" s="1"/>
  <c r="AB560" i="2" s="1"/>
  <c r="AB561" i="2" s="1"/>
  <c r="AB562" i="2" s="1"/>
  <c r="AB563" i="2" s="1"/>
  <c r="AB564" i="2" s="1"/>
  <c r="AB565" i="2" s="1"/>
  <c r="AB566" i="2" s="1"/>
  <c r="AB567" i="2" s="1"/>
  <c r="AB568" i="2" s="1"/>
  <c r="AB569" i="2" s="1"/>
  <c r="AB570" i="2" s="1"/>
  <c r="AB571" i="2" s="1"/>
  <c r="AB572" i="2" s="1"/>
  <c r="AB573" i="2" s="1"/>
  <c r="AB574" i="2" s="1"/>
  <c r="AB575" i="2" s="1"/>
  <c r="AB576" i="2" s="1"/>
  <c r="AB577" i="2" s="1"/>
  <c r="AB578" i="2" s="1"/>
  <c r="AB579" i="2" s="1"/>
  <c r="AB580" i="2" s="1"/>
  <c r="AB581" i="2" s="1"/>
  <c r="AB582" i="2" s="1"/>
  <c r="AB583" i="2" s="1"/>
  <c r="AB584" i="2" s="1"/>
  <c r="AB585" i="2" s="1"/>
  <c r="AB586" i="2" s="1"/>
  <c r="AB587" i="2" s="1"/>
  <c r="AB588" i="2" s="1"/>
  <c r="AB589" i="2" s="1"/>
  <c r="AB590" i="2" s="1"/>
  <c r="AB591" i="2" s="1"/>
  <c r="AB592" i="2" s="1"/>
  <c r="AB593" i="2" s="1"/>
  <c r="AB594" i="2" s="1"/>
  <c r="AB595" i="2" s="1"/>
  <c r="AB596" i="2" s="1"/>
  <c r="AB597" i="2" s="1"/>
  <c r="AB598" i="2" s="1"/>
  <c r="AB599" i="2" s="1"/>
  <c r="AB600" i="2" s="1"/>
  <c r="AB601" i="2" s="1"/>
  <c r="AB602" i="2" s="1"/>
  <c r="AB603" i="2" s="1"/>
  <c r="AB604" i="2" s="1"/>
  <c r="AB605" i="2" s="1"/>
  <c r="AB606" i="2" s="1"/>
  <c r="AB607" i="2" s="1"/>
  <c r="AB608" i="2" s="1"/>
  <c r="AB609" i="2" s="1"/>
  <c r="AB610" i="2" s="1"/>
  <c r="AB611" i="2" s="1"/>
  <c r="AB612" i="2" s="1"/>
  <c r="AB613" i="2" s="1"/>
  <c r="AB614" i="2" s="1"/>
  <c r="AB615" i="2" s="1"/>
  <c r="AB616" i="2" s="1"/>
  <c r="AB617" i="2" s="1"/>
  <c r="AB618" i="2" s="1"/>
  <c r="AB619" i="2" s="1"/>
  <c r="AB620" i="2" s="1"/>
  <c r="AB621" i="2" s="1"/>
  <c r="AB622" i="2" s="1"/>
  <c r="AB623" i="2" s="1"/>
  <c r="AB624" i="2" s="1"/>
  <c r="AB625" i="2" s="1"/>
  <c r="AB626" i="2" s="1"/>
  <c r="AB627" i="2" s="1"/>
  <c r="AB628" i="2" s="1"/>
  <c r="AB629" i="2" s="1"/>
  <c r="AB630" i="2" s="1"/>
  <c r="AB631" i="2" s="1"/>
  <c r="AB632" i="2" s="1"/>
  <c r="AB633" i="2" s="1"/>
  <c r="AB634" i="2" s="1"/>
  <c r="AB635" i="2" s="1"/>
  <c r="AB636" i="2" s="1"/>
  <c r="AB637" i="2" s="1"/>
  <c r="AB638" i="2" s="1"/>
  <c r="AB639" i="2" s="1"/>
  <c r="AB640" i="2" s="1"/>
  <c r="AB641" i="2" s="1"/>
  <c r="AB642" i="2" s="1"/>
  <c r="AB643" i="2" s="1"/>
  <c r="AB644" i="2" s="1"/>
  <c r="AB645" i="2" s="1"/>
  <c r="AB646" i="2" s="1"/>
  <c r="AB647" i="2" s="1"/>
  <c r="AB648" i="2" s="1"/>
  <c r="AB649" i="2" s="1"/>
  <c r="AB650" i="2" s="1"/>
  <c r="AB651" i="2" s="1"/>
  <c r="AB652" i="2" s="1"/>
  <c r="AB653" i="2" s="1"/>
  <c r="AB654" i="2" s="1"/>
  <c r="AB655" i="2" s="1"/>
  <c r="AB656" i="2" s="1"/>
  <c r="AB657" i="2" s="1"/>
  <c r="AB658" i="2" s="1"/>
  <c r="AB659" i="2" s="1"/>
  <c r="AB660" i="2" s="1"/>
  <c r="AB661" i="2" s="1"/>
  <c r="AB662" i="2" s="1"/>
  <c r="AB663" i="2" s="1"/>
  <c r="AB664" i="2" s="1"/>
  <c r="AB665" i="2" s="1"/>
  <c r="AB666" i="2" s="1"/>
  <c r="AB667" i="2" s="1"/>
  <c r="AB668" i="2" s="1"/>
  <c r="AB669" i="2" s="1"/>
  <c r="AB670" i="2" s="1"/>
  <c r="AB671" i="2" s="1"/>
  <c r="AB672" i="2" s="1"/>
  <c r="AB673" i="2" s="1"/>
  <c r="AB674" i="2" s="1"/>
  <c r="AB675" i="2" s="1"/>
  <c r="AB676" i="2" s="1"/>
  <c r="AB677" i="2" s="1"/>
  <c r="AB678" i="2" s="1"/>
  <c r="AB679" i="2" s="1"/>
  <c r="AB680" i="2" s="1"/>
  <c r="AB681" i="2" s="1"/>
  <c r="AB682" i="2" s="1"/>
  <c r="AB683" i="2" s="1"/>
  <c r="AB684" i="2" s="1"/>
  <c r="AB685" i="2" s="1"/>
  <c r="AB686" i="2" s="1"/>
  <c r="AB687" i="2" s="1"/>
  <c r="AB688" i="2" s="1"/>
  <c r="AB689" i="2" s="1"/>
  <c r="AB690" i="2" s="1"/>
  <c r="AB691" i="2" s="1"/>
  <c r="AB692" i="2" s="1"/>
  <c r="AB693" i="2" s="1"/>
  <c r="AB694" i="2" s="1"/>
  <c r="AB695" i="2" s="1"/>
  <c r="AB696" i="2" s="1"/>
  <c r="AB697" i="2" s="1"/>
  <c r="AB698" i="2" s="1"/>
  <c r="AB699" i="2" s="1"/>
  <c r="AB700" i="2" s="1"/>
  <c r="AB701" i="2" s="1"/>
  <c r="AB702" i="2" s="1"/>
  <c r="AB703" i="2" s="1"/>
  <c r="AB704" i="2" s="1"/>
  <c r="AB705" i="2" s="1"/>
  <c r="AB706" i="2" s="1"/>
  <c r="AB707" i="2" s="1"/>
  <c r="AB708" i="2" s="1"/>
  <c r="AB709" i="2" s="1"/>
  <c r="AB710" i="2" s="1"/>
  <c r="AB711" i="2" s="1"/>
  <c r="AB712" i="2" s="1"/>
  <c r="AB713" i="2" s="1"/>
  <c r="AB714" i="2" s="1"/>
  <c r="AB715" i="2" s="1"/>
  <c r="AB716" i="2" s="1"/>
  <c r="AB717" i="2" s="1"/>
  <c r="AB718" i="2" s="1"/>
  <c r="AB719" i="2" s="1"/>
  <c r="AB720" i="2" s="1"/>
  <c r="AB721" i="2" s="1"/>
  <c r="AB722" i="2" s="1"/>
  <c r="AB723" i="2" s="1"/>
  <c r="AB724" i="2" s="1"/>
  <c r="AB725" i="2" s="1"/>
  <c r="AB726" i="2" s="1"/>
  <c r="AB727" i="2" s="1"/>
  <c r="AB728" i="2" s="1"/>
  <c r="AB729" i="2" s="1"/>
  <c r="AB730" i="2" s="1"/>
  <c r="AB731" i="2" s="1"/>
  <c r="AB732" i="2" s="1"/>
  <c r="AA3" i="2"/>
  <c r="AA4" i="2" s="1"/>
  <c r="AA5" i="2" s="1"/>
  <c r="AA6" i="2" s="1"/>
  <c r="AA7" i="2" s="1"/>
  <c r="AA8" i="2" s="1"/>
  <c r="AA9" i="2" s="1"/>
  <c r="AA10" i="2" s="1"/>
  <c r="AA11" i="2"/>
  <c r="AA12" i="2" s="1"/>
  <c r="AA13" i="2" s="1"/>
  <c r="AA14" i="2" s="1"/>
  <c r="AA15" i="2" s="1"/>
  <c r="AA16" i="2" s="1"/>
  <c r="AA17" i="2" s="1"/>
  <c r="AA18" i="2" s="1"/>
  <c r="AA19" i="2" s="1"/>
  <c r="AA20" i="2" s="1"/>
  <c r="AA21" i="2" s="1"/>
  <c r="AA22" i="2" s="1"/>
  <c r="AA23" i="2" s="1"/>
  <c r="AA24" i="2" s="1"/>
  <c r="AA25" i="2" s="1"/>
  <c r="AA26" i="2" s="1"/>
  <c r="AA27" i="2" s="1"/>
  <c r="AA28" i="2" s="1"/>
  <c r="AA29" i="2" s="1"/>
  <c r="AA30" i="2" s="1"/>
  <c r="AA31" i="2" s="1"/>
  <c r="AA32" i="2" s="1"/>
  <c r="AA33" i="2" s="1"/>
  <c r="AA34" i="2" s="1"/>
  <c r="AA35" i="2" s="1"/>
  <c r="AA36" i="2" s="1"/>
  <c r="AA37" i="2" s="1"/>
  <c r="AA38" i="2" s="1"/>
  <c r="AA39" i="2" s="1"/>
  <c r="AA40" i="2" s="1"/>
  <c r="AA41" i="2" s="1"/>
  <c r="AA42" i="2" s="1"/>
  <c r="AA43" i="2" s="1"/>
  <c r="AA44" i="2" s="1"/>
  <c r="AA45" i="2" s="1"/>
  <c r="AA46" i="2" s="1"/>
  <c r="AA47" i="2" s="1"/>
  <c r="AA48" i="2" s="1"/>
  <c r="AA49" i="2" s="1"/>
  <c r="AA50" i="2" s="1"/>
  <c r="AA51" i="2" s="1"/>
  <c r="AA52" i="2" s="1"/>
  <c r="AA53" i="2" s="1"/>
  <c r="AA54" i="2" s="1"/>
  <c r="AA55" i="2" s="1"/>
  <c r="AA56" i="2" s="1"/>
  <c r="AA57" i="2" s="1"/>
  <c r="AA58" i="2" s="1"/>
  <c r="AA59" i="2" s="1"/>
  <c r="AA60" i="2" s="1"/>
  <c r="AA61" i="2" s="1"/>
  <c r="AA62" i="2" s="1"/>
  <c r="AA63" i="2" s="1"/>
  <c r="AA64" i="2" s="1"/>
  <c r="AA65" i="2" s="1"/>
  <c r="AA66" i="2" s="1"/>
  <c r="AA67" i="2" s="1"/>
  <c r="AA68" i="2" s="1"/>
  <c r="AA69" i="2" s="1"/>
  <c r="AA70" i="2" s="1"/>
  <c r="AA71" i="2" s="1"/>
  <c r="AA72" i="2" s="1"/>
  <c r="AA73" i="2" s="1"/>
  <c r="AA74" i="2" s="1"/>
  <c r="AA75" i="2" s="1"/>
  <c r="AA76" i="2" s="1"/>
  <c r="AA77" i="2" s="1"/>
  <c r="AA78" i="2" s="1"/>
  <c r="AA79" i="2" s="1"/>
  <c r="AA80" i="2" s="1"/>
  <c r="AA81" i="2" s="1"/>
  <c r="AA82" i="2" s="1"/>
  <c r="AA83" i="2" s="1"/>
  <c r="AA84" i="2" s="1"/>
  <c r="AA85" i="2" s="1"/>
  <c r="AA86" i="2" s="1"/>
  <c r="AA87" i="2" s="1"/>
  <c r="AA88" i="2" s="1"/>
  <c r="AA89" i="2" s="1"/>
  <c r="AA90" i="2" s="1"/>
  <c r="AA91" i="2" s="1"/>
  <c r="AA92" i="2" s="1"/>
  <c r="AA93" i="2" s="1"/>
  <c r="AA94" i="2" s="1"/>
  <c r="AA95" i="2" s="1"/>
  <c r="AA96" i="2" s="1"/>
  <c r="AA97" i="2" s="1"/>
  <c r="AA98" i="2" s="1"/>
  <c r="AA99" i="2" s="1"/>
  <c r="AA100" i="2" s="1"/>
  <c r="AA101" i="2" s="1"/>
  <c r="AA102" i="2" s="1"/>
  <c r="AA103" i="2" s="1"/>
  <c r="AA104" i="2" s="1"/>
  <c r="AA105" i="2" s="1"/>
  <c r="AA106" i="2" s="1"/>
  <c r="AA107" i="2" s="1"/>
  <c r="AA108" i="2" s="1"/>
  <c r="AA109" i="2" s="1"/>
  <c r="AA110" i="2" s="1"/>
  <c r="AA111" i="2" s="1"/>
  <c r="AA112" i="2" s="1"/>
  <c r="AA113" i="2" s="1"/>
  <c r="AA114" i="2" s="1"/>
  <c r="AA115" i="2" s="1"/>
  <c r="AA116" i="2" s="1"/>
  <c r="AA117" i="2" s="1"/>
  <c r="AA118" i="2" s="1"/>
  <c r="AA119" i="2" s="1"/>
  <c r="AA120" i="2" s="1"/>
  <c r="AA121" i="2" s="1"/>
  <c r="AA122" i="2" s="1"/>
  <c r="AA123" i="2" s="1"/>
  <c r="AA124" i="2" s="1"/>
  <c r="AA125" i="2" s="1"/>
  <c r="AA126" i="2" s="1"/>
  <c r="AA127" i="2" s="1"/>
  <c r="AA128" i="2" s="1"/>
  <c r="AA129" i="2" s="1"/>
  <c r="AA130" i="2" s="1"/>
  <c r="AA131" i="2" s="1"/>
  <c r="AA132" i="2" s="1"/>
  <c r="AA133" i="2" s="1"/>
  <c r="AA134" i="2" s="1"/>
  <c r="AA135" i="2" s="1"/>
  <c r="AA136" i="2" s="1"/>
  <c r="AA137" i="2" s="1"/>
  <c r="AA138" i="2" s="1"/>
  <c r="AA139" i="2" s="1"/>
  <c r="AA140" i="2" s="1"/>
  <c r="AA141" i="2" s="1"/>
  <c r="AA142" i="2" s="1"/>
  <c r="AA143" i="2" s="1"/>
  <c r="AA144" i="2" s="1"/>
  <c r="AA145" i="2" s="1"/>
  <c r="AA146" i="2" s="1"/>
  <c r="AA147" i="2" s="1"/>
  <c r="AA148" i="2" s="1"/>
  <c r="AA149" i="2" s="1"/>
  <c r="AA150" i="2" s="1"/>
  <c r="AA151" i="2" s="1"/>
  <c r="AA152" i="2" s="1"/>
  <c r="AA153" i="2" s="1"/>
  <c r="AA154" i="2" s="1"/>
  <c r="AA155" i="2" s="1"/>
  <c r="AA156" i="2" s="1"/>
  <c r="AA157" i="2" s="1"/>
  <c r="AA158" i="2" s="1"/>
  <c r="AA159" i="2" s="1"/>
  <c r="AA160" i="2" s="1"/>
  <c r="AA161" i="2" s="1"/>
  <c r="AA162" i="2" s="1"/>
  <c r="AA163" i="2" s="1"/>
  <c r="AA164" i="2" s="1"/>
  <c r="AA165" i="2" s="1"/>
  <c r="AA166" i="2" s="1"/>
  <c r="AA167" i="2" s="1"/>
  <c r="AA168" i="2" s="1"/>
  <c r="AA169" i="2" s="1"/>
  <c r="AA170" i="2" s="1"/>
  <c r="AA171" i="2" s="1"/>
  <c r="AA172" i="2" s="1"/>
  <c r="AA173" i="2" s="1"/>
  <c r="AA174" i="2" s="1"/>
  <c r="AA175" i="2" s="1"/>
  <c r="AA176" i="2" s="1"/>
  <c r="AA177" i="2" s="1"/>
  <c r="AA178" i="2" s="1"/>
  <c r="AA179" i="2" s="1"/>
  <c r="AA180" i="2" s="1"/>
  <c r="AA181" i="2" s="1"/>
  <c r="AA182" i="2" s="1"/>
  <c r="AA183" i="2" s="1"/>
  <c r="AA184" i="2" s="1"/>
  <c r="AA185" i="2" s="1"/>
  <c r="AA186" i="2" s="1"/>
  <c r="AA187" i="2" s="1"/>
  <c r="AA188" i="2" s="1"/>
  <c r="AA189" i="2" s="1"/>
  <c r="AA190" i="2" s="1"/>
  <c r="AA191" i="2" s="1"/>
  <c r="AA192" i="2" s="1"/>
  <c r="AA193" i="2" s="1"/>
  <c r="AA194" i="2" s="1"/>
  <c r="AA195" i="2" s="1"/>
  <c r="AA196" i="2" s="1"/>
  <c r="AA197" i="2" s="1"/>
  <c r="AA198" i="2" s="1"/>
  <c r="AA199" i="2" s="1"/>
  <c r="AA200" i="2" s="1"/>
  <c r="AA201" i="2" s="1"/>
  <c r="AA202" i="2" s="1"/>
  <c r="AA203" i="2" s="1"/>
  <c r="AA204" i="2" s="1"/>
  <c r="AA205" i="2" s="1"/>
  <c r="AA206" i="2" s="1"/>
  <c r="AA207" i="2" s="1"/>
  <c r="AA208" i="2" s="1"/>
  <c r="AA209" i="2" s="1"/>
  <c r="AA210" i="2" s="1"/>
  <c r="AA211" i="2" s="1"/>
  <c r="AA212" i="2" s="1"/>
  <c r="AA213" i="2" s="1"/>
  <c r="AA214" i="2" s="1"/>
  <c r="AA215" i="2" s="1"/>
  <c r="AA216" i="2" s="1"/>
  <c r="AA217" i="2" s="1"/>
  <c r="AA218" i="2" s="1"/>
  <c r="AA219" i="2" s="1"/>
  <c r="AA220" i="2" s="1"/>
  <c r="AA221" i="2" s="1"/>
  <c r="AA222" i="2" s="1"/>
  <c r="AA223" i="2" s="1"/>
  <c r="AA224" i="2" s="1"/>
  <c r="AA225" i="2" s="1"/>
  <c r="AA226" i="2" s="1"/>
  <c r="AA227" i="2" s="1"/>
  <c r="AA228" i="2" s="1"/>
  <c r="AA229" i="2" s="1"/>
  <c r="AA230" i="2" s="1"/>
  <c r="AA231" i="2" s="1"/>
  <c r="AA232" i="2" s="1"/>
  <c r="AA233" i="2" s="1"/>
  <c r="AA234" i="2" s="1"/>
  <c r="AA235" i="2" s="1"/>
  <c r="AA236" i="2" s="1"/>
  <c r="AA237" i="2" s="1"/>
  <c r="AA238" i="2" s="1"/>
  <c r="AA239" i="2" s="1"/>
  <c r="AA240" i="2" s="1"/>
  <c r="AA241" i="2" s="1"/>
  <c r="AA242" i="2" s="1"/>
  <c r="AA243" i="2" s="1"/>
  <c r="AA244" i="2" s="1"/>
  <c r="AA245" i="2" s="1"/>
  <c r="AA246" i="2" s="1"/>
  <c r="AA247" i="2" s="1"/>
  <c r="AA248" i="2" s="1"/>
  <c r="AA249" i="2" s="1"/>
  <c r="AA250" i="2" s="1"/>
  <c r="AA251" i="2" s="1"/>
  <c r="AA252" i="2" s="1"/>
  <c r="AA253" i="2" s="1"/>
  <c r="AA254" i="2" s="1"/>
  <c r="AA255" i="2" s="1"/>
  <c r="AA256" i="2" s="1"/>
  <c r="AA257" i="2" s="1"/>
  <c r="AA258" i="2" s="1"/>
  <c r="AA259" i="2" s="1"/>
  <c r="AA260" i="2" s="1"/>
  <c r="AA261" i="2" s="1"/>
  <c r="AA262" i="2" s="1"/>
  <c r="AA263" i="2" s="1"/>
  <c r="AA264" i="2" s="1"/>
  <c r="AA265" i="2" s="1"/>
  <c r="AA266" i="2" s="1"/>
  <c r="AA267" i="2" s="1"/>
  <c r="AA268" i="2" s="1"/>
  <c r="AA269" i="2" s="1"/>
  <c r="AA270" i="2" s="1"/>
  <c r="AA271" i="2" s="1"/>
  <c r="AA272" i="2" s="1"/>
  <c r="AA273" i="2" s="1"/>
  <c r="AA274" i="2" s="1"/>
  <c r="AA275" i="2" s="1"/>
  <c r="AA276" i="2" s="1"/>
  <c r="AA277" i="2" s="1"/>
  <c r="AA278" i="2" s="1"/>
  <c r="AA279" i="2" s="1"/>
  <c r="AA280" i="2" s="1"/>
  <c r="AA281" i="2" s="1"/>
  <c r="AA282" i="2" s="1"/>
  <c r="AA283" i="2" s="1"/>
  <c r="AA284" i="2" s="1"/>
  <c r="AA285" i="2" s="1"/>
  <c r="AA286" i="2" s="1"/>
  <c r="AA287" i="2" s="1"/>
  <c r="AA288" i="2" s="1"/>
  <c r="AA289" i="2" s="1"/>
  <c r="AA290" i="2" s="1"/>
  <c r="AA291" i="2" s="1"/>
  <c r="AA292" i="2" s="1"/>
  <c r="AA293" i="2" s="1"/>
  <c r="AA294" i="2" s="1"/>
  <c r="AA295" i="2" s="1"/>
  <c r="AA296" i="2" s="1"/>
  <c r="AA297" i="2" s="1"/>
  <c r="AA298" i="2" s="1"/>
  <c r="AA299" i="2" s="1"/>
  <c r="AA300" i="2" s="1"/>
  <c r="AA301" i="2" s="1"/>
  <c r="AA302" i="2" s="1"/>
  <c r="AA303" i="2" s="1"/>
  <c r="AA304" i="2" s="1"/>
  <c r="AA305" i="2" s="1"/>
  <c r="AA306" i="2" s="1"/>
  <c r="AA307" i="2" s="1"/>
  <c r="AA308" i="2" s="1"/>
  <c r="AA309" i="2" s="1"/>
  <c r="AA310" i="2" s="1"/>
  <c r="AA311" i="2" s="1"/>
  <c r="AA312" i="2" s="1"/>
  <c r="AA313" i="2" s="1"/>
  <c r="AA314" i="2" s="1"/>
  <c r="AA315" i="2" s="1"/>
  <c r="AA316" i="2" s="1"/>
  <c r="AA317" i="2" s="1"/>
  <c r="AA318" i="2" s="1"/>
  <c r="AA319" i="2" s="1"/>
  <c r="AA320" i="2" s="1"/>
  <c r="AA321" i="2" s="1"/>
  <c r="AA322" i="2" s="1"/>
  <c r="AA323" i="2" s="1"/>
  <c r="AA324" i="2" s="1"/>
  <c r="AA325" i="2" s="1"/>
  <c r="AA326" i="2" s="1"/>
  <c r="AA327" i="2" s="1"/>
  <c r="AA328" i="2" s="1"/>
  <c r="AA329" i="2" s="1"/>
  <c r="AA330" i="2" s="1"/>
  <c r="AA331" i="2" s="1"/>
  <c r="AA332" i="2" s="1"/>
  <c r="AA333" i="2" s="1"/>
  <c r="AA334" i="2" s="1"/>
  <c r="AA335" i="2" s="1"/>
  <c r="AA336" i="2" s="1"/>
  <c r="AA337" i="2" s="1"/>
  <c r="AA338" i="2" s="1"/>
  <c r="AA339" i="2" s="1"/>
  <c r="AA340" i="2" s="1"/>
  <c r="AA341" i="2" s="1"/>
  <c r="AA342" i="2" s="1"/>
  <c r="AA343" i="2" s="1"/>
  <c r="AA344" i="2" s="1"/>
  <c r="AA345" i="2" s="1"/>
  <c r="AA346" i="2" s="1"/>
  <c r="AA347" i="2" s="1"/>
  <c r="AA348" i="2" s="1"/>
  <c r="AA349" i="2" s="1"/>
  <c r="AA350" i="2" s="1"/>
  <c r="AA351" i="2" s="1"/>
  <c r="AA352" i="2" s="1"/>
  <c r="AA353" i="2" s="1"/>
  <c r="AA354" i="2" s="1"/>
  <c r="AA355" i="2" s="1"/>
  <c r="AA356" i="2" s="1"/>
  <c r="AA357" i="2" s="1"/>
  <c r="AA358" i="2" s="1"/>
  <c r="AA359" i="2" s="1"/>
  <c r="AA360" i="2" s="1"/>
  <c r="AA361" i="2" s="1"/>
  <c r="AA362" i="2" s="1"/>
  <c r="AA363" i="2" s="1"/>
  <c r="AA364" i="2" s="1"/>
  <c r="AA365" i="2" s="1"/>
  <c r="AA366" i="2" s="1"/>
  <c r="AA367" i="2" s="1"/>
  <c r="AA368" i="2" s="1"/>
  <c r="AA369" i="2" s="1"/>
  <c r="AA370" i="2" s="1"/>
  <c r="AA371" i="2" s="1"/>
  <c r="AA372" i="2" s="1"/>
  <c r="AA373" i="2" s="1"/>
  <c r="AA374" i="2" s="1"/>
  <c r="AA375" i="2" s="1"/>
  <c r="AA376" i="2" s="1"/>
  <c r="AA377" i="2" s="1"/>
  <c r="AA378" i="2" s="1"/>
  <c r="AA379" i="2" s="1"/>
  <c r="AA380" i="2" s="1"/>
  <c r="AA381" i="2" s="1"/>
  <c r="AA382" i="2" s="1"/>
  <c r="AA383" i="2" s="1"/>
  <c r="AA384" i="2" s="1"/>
  <c r="AA385" i="2" s="1"/>
  <c r="AA386" i="2" s="1"/>
  <c r="AA387" i="2" s="1"/>
  <c r="AA388" i="2" s="1"/>
  <c r="AA389" i="2" s="1"/>
  <c r="AA390" i="2" s="1"/>
  <c r="AA391" i="2" s="1"/>
  <c r="AA392" i="2" s="1"/>
  <c r="AA393" i="2" s="1"/>
  <c r="AA394" i="2" s="1"/>
  <c r="AA395" i="2" s="1"/>
  <c r="AA396" i="2" s="1"/>
  <c r="AA397" i="2" s="1"/>
  <c r="AA398" i="2" s="1"/>
  <c r="AA399" i="2" s="1"/>
  <c r="AA400" i="2" s="1"/>
  <c r="AA401" i="2" s="1"/>
  <c r="AA402" i="2" s="1"/>
  <c r="AA403" i="2" s="1"/>
  <c r="AA404" i="2" s="1"/>
  <c r="AA405" i="2" s="1"/>
  <c r="AA406" i="2" s="1"/>
  <c r="AA407" i="2" s="1"/>
  <c r="AA408" i="2" s="1"/>
  <c r="AA409" i="2" s="1"/>
  <c r="AA410" i="2" s="1"/>
  <c r="AA411" i="2" s="1"/>
  <c r="AA412" i="2" s="1"/>
  <c r="AA413" i="2" s="1"/>
  <c r="AA414" i="2" s="1"/>
  <c r="AA415" i="2" s="1"/>
  <c r="AA416" i="2" s="1"/>
  <c r="AA417" i="2" s="1"/>
  <c r="AA418" i="2" s="1"/>
  <c r="AA419" i="2" s="1"/>
  <c r="AA420" i="2" s="1"/>
  <c r="AA421" i="2" s="1"/>
  <c r="AA422" i="2" s="1"/>
  <c r="AA423" i="2" s="1"/>
  <c r="AA424" i="2" s="1"/>
  <c r="AA425" i="2" s="1"/>
  <c r="AA426" i="2" s="1"/>
  <c r="AA427" i="2" s="1"/>
  <c r="AA428" i="2" s="1"/>
  <c r="AA429" i="2" s="1"/>
  <c r="AA430" i="2" s="1"/>
  <c r="AA431" i="2" s="1"/>
  <c r="AA432" i="2" s="1"/>
  <c r="AA433" i="2" s="1"/>
  <c r="AA434" i="2" s="1"/>
  <c r="AA435" i="2" s="1"/>
  <c r="AA436" i="2" s="1"/>
  <c r="AA437" i="2" s="1"/>
  <c r="AA438" i="2" s="1"/>
  <c r="AA439" i="2" s="1"/>
  <c r="AA440" i="2" s="1"/>
  <c r="AA441" i="2" s="1"/>
  <c r="AA442" i="2" s="1"/>
  <c r="AA443" i="2" s="1"/>
  <c r="AA444" i="2" s="1"/>
  <c r="AA445" i="2" s="1"/>
  <c r="AA446" i="2" s="1"/>
  <c r="AA447" i="2" s="1"/>
  <c r="AA448" i="2" s="1"/>
  <c r="AA449" i="2" s="1"/>
  <c r="AA450" i="2" s="1"/>
  <c r="AA451" i="2" s="1"/>
  <c r="AA452" i="2" s="1"/>
  <c r="AA453" i="2" s="1"/>
  <c r="AA454" i="2" s="1"/>
  <c r="AA455" i="2" s="1"/>
  <c r="AA456" i="2" s="1"/>
  <c r="AA457" i="2" s="1"/>
  <c r="AA458" i="2" s="1"/>
  <c r="AA459" i="2" s="1"/>
  <c r="AA460" i="2" s="1"/>
  <c r="AA461" i="2" s="1"/>
  <c r="AA462" i="2" s="1"/>
  <c r="AA463" i="2" s="1"/>
  <c r="AA464" i="2" s="1"/>
  <c r="AA465" i="2" s="1"/>
  <c r="AA466" i="2" s="1"/>
  <c r="AA467" i="2" s="1"/>
  <c r="AA468" i="2" s="1"/>
  <c r="AA469" i="2" s="1"/>
  <c r="AA470" i="2" s="1"/>
  <c r="AA471" i="2" s="1"/>
  <c r="AA472" i="2" s="1"/>
  <c r="AA473" i="2" s="1"/>
  <c r="AA474" i="2" s="1"/>
  <c r="AA475" i="2" s="1"/>
  <c r="AA476" i="2" s="1"/>
  <c r="AA477" i="2" s="1"/>
  <c r="AA478" i="2" s="1"/>
  <c r="AA479" i="2" s="1"/>
  <c r="AA480" i="2" s="1"/>
  <c r="AA481" i="2" s="1"/>
  <c r="AA482" i="2" s="1"/>
  <c r="AA483" i="2" s="1"/>
  <c r="AA484" i="2" s="1"/>
  <c r="AA485" i="2" s="1"/>
  <c r="AA486" i="2" s="1"/>
  <c r="AA487" i="2" s="1"/>
  <c r="AA488" i="2" s="1"/>
  <c r="AA489" i="2" s="1"/>
  <c r="AA490" i="2" s="1"/>
  <c r="AA491" i="2" s="1"/>
  <c r="AA492" i="2" s="1"/>
  <c r="AA493" i="2" s="1"/>
  <c r="AA494" i="2" s="1"/>
  <c r="AA495" i="2" s="1"/>
  <c r="AA496" i="2" s="1"/>
  <c r="AA497" i="2" s="1"/>
  <c r="AA498" i="2" s="1"/>
  <c r="AA499" i="2" s="1"/>
  <c r="AA500" i="2" s="1"/>
  <c r="AA501" i="2" s="1"/>
  <c r="AA502" i="2" s="1"/>
  <c r="AA503" i="2" s="1"/>
  <c r="AA504" i="2" s="1"/>
  <c r="AA505" i="2" s="1"/>
  <c r="AA506" i="2" s="1"/>
  <c r="AA507" i="2" s="1"/>
  <c r="AA508" i="2" s="1"/>
  <c r="AA509" i="2" s="1"/>
  <c r="AA510" i="2" s="1"/>
  <c r="AA511" i="2" s="1"/>
  <c r="AA512" i="2" s="1"/>
  <c r="AA513" i="2" s="1"/>
  <c r="AA514" i="2" s="1"/>
  <c r="AA515" i="2" s="1"/>
  <c r="AA516" i="2" s="1"/>
  <c r="AA517" i="2" s="1"/>
  <c r="AA518" i="2" s="1"/>
  <c r="AA519" i="2" s="1"/>
  <c r="AA520" i="2" s="1"/>
  <c r="AA521" i="2" s="1"/>
  <c r="AA522" i="2" s="1"/>
  <c r="AA523" i="2" s="1"/>
  <c r="AA524" i="2" s="1"/>
  <c r="AA525" i="2" s="1"/>
  <c r="AA526" i="2" s="1"/>
  <c r="AA527" i="2" s="1"/>
  <c r="AA528" i="2" s="1"/>
  <c r="AA529" i="2" s="1"/>
  <c r="AA530" i="2" s="1"/>
  <c r="AA531" i="2" s="1"/>
  <c r="AA532" i="2" s="1"/>
  <c r="AA533" i="2" s="1"/>
  <c r="AA534" i="2" s="1"/>
  <c r="AA535" i="2" s="1"/>
  <c r="AA536" i="2" s="1"/>
  <c r="AA537" i="2" s="1"/>
  <c r="AA538" i="2" s="1"/>
  <c r="AA539" i="2" s="1"/>
  <c r="AA540" i="2" s="1"/>
  <c r="AA541" i="2" s="1"/>
  <c r="AA542" i="2" s="1"/>
  <c r="AA543" i="2" s="1"/>
  <c r="AA544" i="2" s="1"/>
  <c r="AA545" i="2" s="1"/>
  <c r="AA546" i="2" s="1"/>
  <c r="AA547" i="2" s="1"/>
  <c r="AA548" i="2" s="1"/>
  <c r="AA549" i="2" s="1"/>
  <c r="AA550" i="2" s="1"/>
  <c r="AA551" i="2" s="1"/>
  <c r="AA552" i="2" s="1"/>
  <c r="AA553" i="2" s="1"/>
  <c r="AA554" i="2" s="1"/>
  <c r="AA555" i="2" s="1"/>
  <c r="AA556" i="2" s="1"/>
  <c r="AA557" i="2" s="1"/>
  <c r="AA558" i="2" s="1"/>
  <c r="AA559" i="2" s="1"/>
  <c r="AA560" i="2" s="1"/>
  <c r="AA561" i="2" s="1"/>
  <c r="AA562" i="2" s="1"/>
  <c r="AA563" i="2" s="1"/>
  <c r="AA564" i="2" s="1"/>
  <c r="AA565" i="2" s="1"/>
  <c r="AA566" i="2" s="1"/>
  <c r="AA567" i="2" s="1"/>
  <c r="AA568" i="2" s="1"/>
  <c r="AA569" i="2" s="1"/>
  <c r="AA570" i="2" s="1"/>
  <c r="AA571" i="2" s="1"/>
  <c r="AA572" i="2" s="1"/>
  <c r="AA573" i="2" s="1"/>
  <c r="AA574" i="2" s="1"/>
  <c r="AA575" i="2" s="1"/>
  <c r="AA576" i="2" s="1"/>
  <c r="AA577" i="2" s="1"/>
  <c r="AA578" i="2" s="1"/>
  <c r="AA579" i="2" s="1"/>
  <c r="AA580" i="2" s="1"/>
  <c r="AA581" i="2" s="1"/>
  <c r="AA582" i="2" s="1"/>
  <c r="AA583" i="2" s="1"/>
  <c r="AA584" i="2" s="1"/>
  <c r="AA585" i="2" s="1"/>
  <c r="AA586" i="2" s="1"/>
  <c r="AA587" i="2" s="1"/>
  <c r="AA588" i="2" s="1"/>
  <c r="AA589" i="2" s="1"/>
  <c r="AA590" i="2" s="1"/>
  <c r="AA591" i="2" s="1"/>
  <c r="AA592" i="2" s="1"/>
  <c r="AA593" i="2" s="1"/>
  <c r="AA594" i="2" s="1"/>
  <c r="AA595" i="2" s="1"/>
  <c r="AA596" i="2" s="1"/>
  <c r="AA597" i="2" s="1"/>
  <c r="AA598" i="2" s="1"/>
  <c r="AA599" i="2" s="1"/>
  <c r="AA600" i="2" s="1"/>
  <c r="AA601" i="2" s="1"/>
  <c r="AA602" i="2" s="1"/>
  <c r="AA603" i="2" s="1"/>
  <c r="AA604" i="2" s="1"/>
  <c r="AA605" i="2" s="1"/>
  <c r="AA606" i="2" s="1"/>
  <c r="AA607" i="2" s="1"/>
  <c r="AA608" i="2" s="1"/>
  <c r="AA609" i="2" s="1"/>
  <c r="AA610" i="2" s="1"/>
  <c r="AA611" i="2" s="1"/>
  <c r="AA612" i="2" s="1"/>
  <c r="AA613" i="2" s="1"/>
  <c r="AA614" i="2" s="1"/>
  <c r="AA615" i="2" s="1"/>
  <c r="AA616" i="2" s="1"/>
  <c r="AA617" i="2" s="1"/>
  <c r="AA618" i="2" s="1"/>
  <c r="AA619" i="2" s="1"/>
  <c r="AA620" i="2" s="1"/>
  <c r="AA621" i="2" s="1"/>
  <c r="AA622" i="2" s="1"/>
  <c r="AA623" i="2" s="1"/>
  <c r="AA624" i="2" s="1"/>
  <c r="AA625" i="2" s="1"/>
  <c r="AA626" i="2" s="1"/>
  <c r="AA627" i="2" s="1"/>
  <c r="AA628" i="2" s="1"/>
  <c r="AA629" i="2" s="1"/>
  <c r="AA630" i="2" s="1"/>
  <c r="AA631" i="2" s="1"/>
  <c r="AA632" i="2" s="1"/>
  <c r="AA633" i="2" s="1"/>
  <c r="AA634" i="2" s="1"/>
  <c r="AA635" i="2" s="1"/>
  <c r="AA636" i="2" s="1"/>
  <c r="AA637" i="2" s="1"/>
  <c r="AA638" i="2" s="1"/>
  <c r="AA639" i="2" s="1"/>
  <c r="AA640" i="2" s="1"/>
  <c r="AA641" i="2" s="1"/>
  <c r="AA642" i="2" s="1"/>
  <c r="AA643" i="2" s="1"/>
  <c r="AA644" i="2" s="1"/>
  <c r="AA645" i="2" s="1"/>
  <c r="AA646" i="2" s="1"/>
  <c r="AA647" i="2" s="1"/>
  <c r="AA648" i="2" s="1"/>
  <c r="AA649" i="2" s="1"/>
  <c r="AA650" i="2" s="1"/>
  <c r="AA651" i="2" s="1"/>
  <c r="AA652" i="2" s="1"/>
  <c r="AA653" i="2" s="1"/>
  <c r="AA654" i="2" s="1"/>
  <c r="AA655" i="2" s="1"/>
  <c r="AA656" i="2" s="1"/>
  <c r="AA657" i="2" s="1"/>
  <c r="AA658" i="2" s="1"/>
  <c r="AA659" i="2" s="1"/>
  <c r="AA660" i="2" s="1"/>
  <c r="AA661" i="2" s="1"/>
  <c r="AA662" i="2" s="1"/>
  <c r="AA663" i="2" s="1"/>
  <c r="AA664" i="2" s="1"/>
  <c r="AA665" i="2" s="1"/>
  <c r="AA666" i="2" s="1"/>
  <c r="AA667" i="2" s="1"/>
  <c r="AA668" i="2" s="1"/>
  <c r="AA669" i="2" s="1"/>
  <c r="AA670" i="2" s="1"/>
  <c r="AA671" i="2" s="1"/>
  <c r="AA672" i="2" s="1"/>
  <c r="AA673" i="2" s="1"/>
  <c r="AA674" i="2" s="1"/>
  <c r="AA675" i="2" s="1"/>
  <c r="AA676" i="2" s="1"/>
  <c r="AA677" i="2" s="1"/>
  <c r="AA678" i="2" s="1"/>
  <c r="AA679" i="2" s="1"/>
  <c r="AA680" i="2" s="1"/>
  <c r="AA681" i="2" s="1"/>
  <c r="AA682" i="2" s="1"/>
  <c r="AA683" i="2" s="1"/>
  <c r="AA684" i="2" s="1"/>
  <c r="AA685" i="2" s="1"/>
  <c r="AA686" i="2" s="1"/>
  <c r="AA687" i="2" s="1"/>
  <c r="AA688" i="2" s="1"/>
  <c r="AA689" i="2" s="1"/>
  <c r="AA690" i="2" s="1"/>
  <c r="AA691" i="2" s="1"/>
  <c r="AA692" i="2" s="1"/>
  <c r="AA693" i="2" s="1"/>
  <c r="AA694" i="2" s="1"/>
  <c r="AA695" i="2" s="1"/>
  <c r="AA696" i="2" s="1"/>
  <c r="AA697" i="2" s="1"/>
  <c r="AA698" i="2" s="1"/>
  <c r="AA699" i="2" s="1"/>
  <c r="AA700" i="2" s="1"/>
  <c r="AA701" i="2" s="1"/>
  <c r="AA702" i="2" s="1"/>
  <c r="AA703" i="2" s="1"/>
  <c r="AA704" i="2" s="1"/>
  <c r="AA705" i="2" s="1"/>
  <c r="AA706" i="2" s="1"/>
  <c r="AA707" i="2" s="1"/>
  <c r="AA708" i="2" s="1"/>
  <c r="AA709" i="2" s="1"/>
  <c r="AA710" i="2" s="1"/>
  <c r="AA711" i="2" s="1"/>
  <c r="AA712" i="2" s="1"/>
  <c r="AA713" i="2" s="1"/>
  <c r="AA714" i="2" s="1"/>
  <c r="AA715" i="2" s="1"/>
  <c r="AA716" i="2" s="1"/>
  <c r="AA717" i="2" s="1"/>
  <c r="AA718" i="2" s="1"/>
  <c r="AA719" i="2" s="1"/>
  <c r="AA720" i="2" s="1"/>
  <c r="AA721" i="2" s="1"/>
  <c r="AA722" i="2" s="1"/>
  <c r="AA723" i="2" s="1"/>
  <c r="AA724" i="2" s="1"/>
  <c r="AA725" i="2" s="1"/>
  <c r="AA726" i="2" s="1"/>
  <c r="AA727" i="2" s="1"/>
  <c r="AA728" i="2" s="1"/>
  <c r="AA729" i="2" s="1"/>
  <c r="AA730" i="2" s="1"/>
  <c r="AA731" i="2" s="1"/>
  <c r="AA732" i="2" s="1"/>
  <c r="Z3" i="2"/>
  <c r="Z4" i="2" s="1"/>
  <c r="Z5" i="2" s="1"/>
  <c r="Z6" i="2" s="1"/>
  <c r="Z7" i="2" s="1"/>
  <c r="Z8" i="2" s="1"/>
  <c r="Z9" i="2"/>
  <c r="Z10" i="2" s="1"/>
  <c r="Z11" i="2" s="1"/>
  <c r="Z12" i="2" s="1"/>
  <c r="Z13" i="2" s="1"/>
  <c r="Z14" i="2" s="1"/>
  <c r="Z15" i="2" s="1"/>
  <c r="Z16" i="2" s="1"/>
  <c r="Z17" i="2" s="1"/>
  <c r="Z18" i="2" s="1"/>
  <c r="Z19" i="2" s="1"/>
  <c r="Z20" i="2" s="1"/>
  <c r="Z21" i="2" s="1"/>
  <c r="Z22" i="2" s="1"/>
  <c r="Z23" i="2" s="1"/>
  <c r="Z24" i="2" s="1"/>
  <c r="Z25" i="2" s="1"/>
  <c r="Z26" i="2" s="1"/>
  <c r="Z27" i="2" s="1"/>
  <c r="Z28" i="2" s="1"/>
  <c r="Z29" i="2" s="1"/>
  <c r="Z30" i="2" s="1"/>
  <c r="Z31" i="2" s="1"/>
  <c r="Z32" i="2" s="1"/>
  <c r="Z33" i="2" s="1"/>
  <c r="Z34" i="2" s="1"/>
  <c r="Z35" i="2" s="1"/>
  <c r="Z36" i="2" s="1"/>
  <c r="Z37" i="2" s="1"/>
  <c r="Z38" i="2" s="1"/>
  <c r="Z39" i="2" s="1"/>
  <c r="Z40" i="2" s="1"/>
  <c r="Z41" i="2" s="1"/>
  <c r="Z42" i="2" s="1"/>
  <c r="Z43" i="2" s="1"/>
  <c r="Z44" i="2" s="1"/>
  <c r="Z45" i="2" s="1"/>
  <c r="Z46" i="2" s="1"/>
  <c r="Z47" i="2" s="1"/>
  <c r="Z48" i="2" s="1"/>
  <c r="Z49" i="2" s="1"/>
  <c r="Z50" i="2" s="1"/>
  <c r="Z51" i="2" s="1"/>
  <c r="Z52" i="2" s="1"/>
  <c r="Z53" i="2" s="1"/>
  <c r="Z54" i="2" s="1"/>
  <c r="Z55" i="2" s="1"/>
  <c r="Z56" i="2" s="1"/>
  <c r="Z57" i="2" s="1"/>
  <c r="Z58" i="2" s="1"/>
  <c r="Z59" i="2" s="1"/>
  <c r="Z60" i="2" s="1"/>
  <c r="Z61" i="2" s="1"/>
  <c r="Z62" i="2" s="1"/>
  <c r="Z63" i="2" s="1"/>
  <c r="Z64" i="2" s="1"/>
  <c r="Z65" i="2" s="1"/>
  <c r="Z66" i="2" s="1"/>
  <c r="Z67" i="2" s="1"/>
  <c r="Z68" i="2" s="1"/>
  <c r="Z69" i="2" s="1"/>
  <c r="Z70" i="2" s="1"/>
  <c r="Z71" i="2" s="1"/>
  <c r="Z72" i="2" s="1"/>
  <c r="Z73" i="2" s="1"/>
  <c r="Z74" i="2" s="1"/>
  <c r="Z75" i="2" s="1"/>
  <c r="Z76" i="2" s="1"/>
  <c r="Z77" i="2" s="1"/>
  <c r="Z78" i="2" s="1"/>
  <c r="Z79" i="2" s="1"/>
  <c r="Z80" i="2" s="1"/>
  <c r="Z81" i="2" s="1"/>
  <c r="Z82" i="2" s="1"/>
  <c r="Z83" i="2" s="1"/>
  <c r="Z84" i="2" s="1"/>
  <c r="Z85" i="2" s="1"/>
  <c r="Z86" i="2" s="1"/>
  <c r="Z87" i="2" s="1"/>
  <c r="Z88" i="2" s="1"/>
  <c r="Z89" i="2" s="1"/>
  <c r="Z90" i="2" s="1"/>
  <c r="Z91" i="2" s="1"/>
  <c r="Z92" i="2" s="1"/>
  <c r="Z93" i="2" s="1"/>
  <c r="Z94" i="2" s="1"/>
  <c r="Z95" i="2" s="1"/>
  <c r="Z96" i="2" s="1"/>
  <c r="Z97" i="2" s="1"/>
  <c r="Z98" i="2" s="1"/>
  <c r="Z99" i="2" s="1"/>
  <c r="Z100" i="2" s="1"/>
  <c r="Z101" i="2" s="1"/>
  <c r="Z102" i="2" s="1"/>
  <c r="Z103" i="2" s="1"/>
  <c r="Z104" i="2" s="1"/>
  <c r="Z105" i="2" s="1"/>
  <c r="Z106" i="2" s="1"/>
  <c r="Z107" i="2" s="1"/>
  <c r="Z108" i="2" s="1"/>
  <c r="Z109" i="2" s="1"/>
  <c r="Z110" i="2" s="1"/>
  <c r="Z111" i="2" s="1"/>
  <c r="Z112" i="2" s="1"/>
  <c r="Z113" i="2" s="1"/>
  <c r="Z114" i="2" s="1"/>
  <c r="Z115" i="2" s="1"/>
  <c r="Z116" i="2" s="1"/>
  <c r="Z117" i="2" s="1"/>
  <c r="Z118" i="2" s="1"/>
  <c r="Z119" i="2" s="1"/>
  <c r="Z120" i="2" s="1"/>
  <c r="Z121" i="2" s="1"/>
  <c r="Z122" i="2" s="1"/>
  <c r="Z123" i="2" s="1"/>
  <c r="Z124" i="2" s="1"/>
  <c r="Z125" i="2" s="1"/>
  <c r="Z126" i="2" s="1"/>
  <c r="Z127" i="2" s="1"/>
  <c r="Z128" i="2" s="1"/>
  <c r="Z129" i="2" s="1"/>
  <c r="Z130" i="2" s="1"/>
  <c r="Z131" i="2" s="1"/>
  <c r="Z132" i="2" s="1"/>
  <c r="Z133" i="2" s="1"/>
  <c r="Z134" i="2" s="1"/>
  <c r="Z135" i="2" s="1"/>
  <c r="Z136" i="2" s="1"/>
  <c r="Z137" i="2" s="1"/>
  <c r="Z138" i="2" s="1"/>
  <c r="Z139" i="2" s="1"/>
  <c r="Z140" i="2" s="1"/>
  <c r="Z141" i="2" s="1"/>
  <c r="Z142" i="2" s="1"/>
  <c r="Z143" i="2" s="1"/>
  <c r="Z144" i="2" s="1"/>
  <c r="Z145" i="2" s="1"/>
  <c r="Z146" i="2" s="1"/>
  <c r="Z147" i="2" s="1"/>
  <c r="Z148" i="2" s="1"/>
  <c r="Z149" i="2" s="1"/>
  <c r="Z150" i="2" s="1"/>
  <c r="Z151" i="2" s="1"/>
  <c r="Z152" i="2" s="1"/>
  <c r="Z153" i="2" s="1"/>
  <c r="Z154" i="2" s="1"/>
  <c r="Z155" i="2" s="1"/>
  <c r="Z156" i="2" s="1"/>
  <c r="Z157" i="2" s="1"/>
  <c r="Z158" i="2" s="1"/>
  <c r="Z159" i="2" s="1"/>
  <c r="Z160" i="2" s="1"/>
  <c r="Z161" i="2" s="1"/>
  <c r="Z162" i="2" s="1"/>
  <c r="Z163" i="2" s="1"/>
  <c r="Z164" i="2" s="1"/>
  <c r="Z165" i="2" s="1"/>
  <c r="Z166" i="2" s="1"/>
  <c r="Z167" i="2" s="1"/>
  <c r="Z168" i="2" s="1"/>
  <c r="Z169" i="2" s="1"/>
  <c r="Z170" i="2" s="1"/>
  <c r="Z171" i="2" s="1"/>
  <c r="Z172" i="2" s="1"/>
  <c r="Z173" i="2" s="1"/>
  <c r="Z174" i="2" s="1"/>
  <c r="Z175" i="2" s="1"/>
  <c r="Z176" i="2" s="1"/>
  <c r="Z177" i="2" s="1"/>
  <c r="Z178" i="2" s="1"/>
  <c r="Z179" i="2" s="1"/>
  <c r="Z180" i="2" s="1"/>
  <c r="Z181" i="2" s="1"/>
  <c r="Z182" i="2" s="1"/>
  <c r="Z183" i="2" s="1"/>
  <c r="Z184" i="2" s="1"/>
  <c r="Z185" i="2" s="1"/>
  <c r="Z186" i="2" s="1"/>
  <c r="Z187" i="2" s="1"/>
  <c r="Z188" i="2" s="1"/>
  <c r="Z189" i="2" s="1"/>
  <c r="Z190" i="2" s="1"/>
  <c r="Z191" i="2" s="1"/>
  <c r="Z192" i="2" s="1"/>
  <c r="Z193" i="2" s="1"/>
  <c r="Z194" i="2" s="1"/>
  <c r="Z195" i="2" s="1"/>
  <c r="Z196" i="2" s="1"/>
  <c r="Z197" i="2" s="1"/>
  <c r="Z198" i="2" s="1"/>
  <c r="Z199" i="2" s="1"/>
  <c r="Z200" i="2" s="1"/>
  <c r="Z201" i="2" s="1"/>
  <c r="Z202" i="2" s="1"/>
  <c r="Z203" i="2" s="1"/>
  <c r="Z204" i="2" s="1"/>
  <c r="Z205" i="2" s="1"/>
  <c r="Z206" i="2" s="1"/>
  <c r="Z207" i="2" s="1"/>
  <c r="Z208" i="2" s="1"/>
  <c r="Z209" i="2" s="1"/>
  <c r="Z210" i="2" s="1"/>
  <c r="Z211" i="2" s="1"/>
  <c r="Z212" i="2" s="1"/>
  <c r="Z213" i="2" s="1"/>
  <c r="Z214" i="2" s="1"/>
  <c r="Z215" i="2" s="1"/>
  <c r="Z216" i="2" s="1"/>
  <c r="Z217" i="2" s="1"/>
  <c r="Z218" i="2" s="1"/>
  <c r="Z219" i="2" s="1"/>
  <c r="Z220" i="2" s="1"/>
  <c r="Z221" i="2" s="1"/>
  <c r="Z222" i="2" s="1"/>
  <c r="Z223" i="2" s="1"/>
  <c r="Z224" i="2" s="1"/>
  <c r="Z225" i="2" s="1"/>
  <c r="Z226" i="2" s="1"/>
  <c r="Z227" i="2" s="1"/>
  <c r="Z228" i="2" s="1"/>
  <c r="Z229" i="2" s="1"/>
  <c r="Z230" i="2" s="1"/>
  <c r="Z231" i="2" s="1"/>
  <c r="Z232" i="2" s="1"/>
  <c r="Z233" i="2" s="1"/>
  <c r="Z234" i="2" s="1"/>
  <c r="Z235" i="2" s="1"/>
  <c r="Z236" i="2" s="1"/>
  <c r="Z237" i="2" s="1"/>
  <c r="Z238" i="2" s="1"/>
  <c r="Z239" i="2" s="1"/>
  <c r="Z240" i="2" s="1"/>
  <c r="Z241" i="2" s="1"/>
  <c r="Z242" i="2" s="1"/>
  <c r="Z243" i="2" s="1"/>
  <c r="Z244" i="2" s="1"/>
  <c r="Z245" i="2" s="1"/>
  <c r="Z246" i="2" s="1"/>
  <c r="Z247" i="2" s="1"/>
  <c r="Z248" i="2" s="1"/>
  <c r="Z249" i="2" s="1"/>
  <c r="Z250" i="2" s="1"/>
  <c r="Z251" i="2" s="1"/>
  <c r="Z252" i="2" s="1"/>
  <c r="Z253" i="2" s="1"/>
  <c r="Z254" i="2" s="1"/>
  <c r="Z255" i="2" s="1"/>
  <c r="Z256" i="2" s="1"/>
  <c r="Z257" i="2" s="1"/>
  <c r="Z258" i="2" s="1"/>
  <c r="Z259" i="2" s="1"/>
  <c r="Z260" i="2" s="1"/>
  <c r="Z261" i="2" s="1"/>
  <c r="Z262" i="2" s="1"/>
  <c r="Z263" i="2" s="1"/>
  <c r="Z264" i="2" s="1"/>
  <c r="Z265" i="2" s="1"/>
  <c r="Z266" i="2" s="1"/>
  <c r="Z267" i="2" s="1"/>
  <c r="Z268" i="2" s="1"/>
  <c r="Z269" i="2" s="1"/>
  <c r="Z270" i="2" s="1"/>
  <c r="Z271" i="2" s="1"/>
  <c r="Z272" i="2" s="1"/>
  <c r="Z273" i="2" s="1"/>
  <c r="Z274" i="2" s="1"/>
  <c r="Z275" i="2" s="1"/>
  <c r="Z276" i="2" s="1"/>
  <c r="Z277" i="2" s="1"/>
  <c r="Z278" i="2" s="1"/>
  <c r="Z279" i="2" s="1"/>
  <c r="Z280" i="2" s="1"/>
  <c r="Z281" i="2" s="1"/>
  <c r="Z282" i="2" s="1"/>
  <c r="Z283" i="2" s="1"/>
  <c r="Z284" i="2" s="1"/>
  <c r="Z285" i="2" s="1"/>
  <c r="Z286" i="2" s="1"/>
  <c r="Z287" i="2" s="1"/>
  <c r="Z288" i="2" s="1"/>
  <c r="Z289" i="2" s="1"/>
  <c r="Z290" i="2" s="1"/>
  <c r="Z291" i="2" s="1"/>
  <c r="Z292" i="2" s="1"/>
  <c r="Z293" i="2" s="1"/>
  <c r="Z294" i="2" s="1"/>
  <c r="Z295" i="2" s="1"/>
  <c r="Z296" i="2" s="1"/>
  <c r="Z297" i="2" s="1"/>
  <c r="Z298" i="2" s="1"/>
  <c r="Z299" i="2" s="1"/>
  <c r="Z300" i="2" s="1"/>
  <c r="Z301" i="2" s="1"/>
  <c r="Z302" i="2" s="1"/>
  <c r="Z303" i="2" s="1"/>
  <c r="Z304" i="2" s="1"/>
  <c r="Z305" i="2" s="1"/>
  <c r="Z306" i="2" s="1"/>
  <c r="Z307" i="2" s="1"/>
  <c r="Z308" i="2" s="1"/>
  <c r="Z309" i="2" s="1"/>
  <c r="Z310" i="2" s="1"/>
  <c r="Z311" i="2" s="1"/>
  <c r="Z312" i="2" s="1"/>
  <c r="Z313" i="2" s="1"/>
  <c r="Z314" i="2" s="1"/>
  <c r="Z315" i="2" s="1"/>
  <c r="Z316" i="2" s="1"/>
  <c r="Z317" i="2" s="1"/>
  <c r="Z318" i="2" s="1"/>
  <c r="Z319" i="2" s="1"/>
  <c r="Z320" i="2" s="1"/>
  <c r="Z321" i="2" s="1"/>
  <c r="Z322" i="2" s="1"/>
  <c r="Z323" i="2" s="1"/>
  <c r="Z324" i="2" s="1"/>
  <c r="Z325" i="2" s="1"/>
  <c r="Z326" i="2" s="1"/>
  <c r="Z327" i="2" s="1"/>
  <c r="Z328" i="2" s="1"/>
  <c r="Z329" i="2" s="1"/>
  <c r="Z330" i="2" s="1"/>
  <c r="Z331" i="2" s="1"/>
  <c r="Z332" i="2" s="1"/>
  <c r="Z333" i="2" s="1"/>
  <c r="Z334" i="2" s="1"/>
  <c r="Z335" i="2" s="1"/>
  <c r="Z336" i="2" s="1"/>
  <c r="Z337" i="2" s="1"/>
  <c r="Z338" i="2" s="1"/>
  <c r="Z339" i="2" s="1"/>
  <c r="Z340" i="2" s="1"/>
  <c r="Z341" i="2" s="1"/>
  <c r="Z342" i="2" s="1"/>
  <c r="Z343" i="2" s="1"/>
  <c r="Z344" i="2" s="1"/>
  <c r="Z345" i="2" s="1"/>
  <c r="Z346" i="2" s="1"/>
  <c r="Z347" i="2" s="1"/>
  <c r="Z348" i="2" s="1"/>
  <c r="Z349" i="2" s="1"/>
  <c r="Z350" i="2" s="1"/>
  <c r="Z351" i="2" s="1"/>
  <c r="Z352" i="2" s="1"/>
  <c r="Z353" i="2" s="1"/>
  <c r="Z354" i="2" s="1"/>
  <c r="Z355" i="2" s="1"/>
  <c r="Z356" i="2" s="1"/>
  <c r="Z357" i="2" s="1"/>
  <c r="Z358" i="2" s="1"/>
  <c r="Z359" i="2" s="1"/>
  <c r="Z360" i="2" s="1"/>
  <c r="Z361" i="2" s="1"/>
  <c r="Z362" i="2" s="1"/>
  <c r="Z363" i="2" s="1"/>
  <c r="Z364" i="2" s="1"/>
  <c r="Z365" i="2" s="1"/>
  <c r="Z366" i="2" s="1"/>
  <c r="Z367" i="2" s="1"/>
  <c r="Z368" i="2" s="1"/>
  <c r="Z369" i="2" s="1"/>
  <c r="Z370" i="2" s="1"/>
  <c r="Z371" i="2" s="1"/>
  <c r="Z372" i="2" s="1"/>
  <c r="Z373" i="2" s="1"/>
  <c r="Z374" i="2" s="1"/>
  <c r="Z375" i="2" s="1"/>
  <c r="Z376" i="2" s="1"/>
  <c r="Z377" i="2" s="1"/>
  <c r="Z378" i="2" s="1"/>
  <c r="Z379" i="2" s="1"/>
  <c r="Z380" i="2" s="1"/>
  <c r="Z381" i="2" s="1"/>
  <c r="Z382" i="2" s="1"/>
  <c r="Z383" i="2" s="1"/>
  <c r="Z384" i="2" s="1"/>
  <c r="Z385" i="2" s="1"/>
  <c r="Z386" i="2" s="1"/>
  <c r="Z387" i="2" s="1"/>
  <c r="Z388" i="2" s="1"/>
  <c r="Z389" i="2" s="1"/>
  <c r="Z390" i="2" s="1"/>
  <c r="Z391" i="2" s="1"/>
  <c r="Z392" i="2" s="1"/>
  <c r="Z393" i="2" s="1"/>
  <c r="Z394" i="2" s="1"/>
  <c r="Z395" i="2" s="1"/>
  <c r="Z396" i="2" s="1"/>
  <c r="Z397" i="2" s="1"/>
  <c r="Z398" i="2" s="1"/>
  <c r="Z399" i="2" s="1"/>
  <c r="Z400" i="2" s="1"/>
  <c r="Z401" i="2" s="1"/>
  <c r="Z402" i="2" s="1"/>
  <c r="Z403" i="2" s="1"/>
  <c r="Z404" i="2" s="1"/>
  <c r="Z405" i="2" s="1"/>
  <c r="Z406" i="2" s="1"/>
  <c r="Z407" i="2" s="1"/>
  <c r="Z408" i="2" s="1"/>
  <c r="Z409" i="2" s="1"/>
  <c r="Z410" i="2" s="1"/>
  <c r="Z411" i="2" s="1"/>
  <c r="Z412" i="2" s="1"/>
  <c r="Z413" i="2" s="1"/>
  <c r="Z414" i="2" s="1"/>
  <c r="Z415" i="2" s="1"/>
  <c r="Z416" i="2" s="1"/>
  <c r="Z417" i="2" s="1"/>
  <c r="Z418" i="2" s="1"/>
  <c r="Z419" i="2" s="1"/>
  <c r="Z420" i="2" s="1"/>
  <c r="Z421" i="2" s="1"/>
  <c r="Z422" i="2" s="1"/>
  <c r="Z423" i="2" s="1"/>
  <c r="Z424" i="2" s="1"/>
  <c r="Z425" i="2" s="1"/>
  <c r="Z426" i="2" s="1"/>
  <c r="Z427" i="2" s="1"/>
  <c r="Z428" i="2" s="1"/>
  <c r="Z429" i="2" s="1"/>
  <c r="Z430" i="2" s="1"/>
  <c r="Z431" i="2" s="1"/>
  <c r="Z432" i="2" s="1"/>
  <c r="Z433" i="2" s="1"/>
  <c r="Z434" i="2" s="1"/>
  <c r="Z435" i="2" s="1"/>
  <c r="Z436" i="2" s="1"/>
  <c r="Z437" i="2" s="1"/>
  <c r="Z438" i="2" s="1"/>
  <c r="Z439" i="2" s="1"/>
  <c r="Z440" i="2" s="1"/>
  <c r="Z441" i="2" s="1"/>
  <c r="Z442" i="2" s="1"/>
  <c r="Z443" i="2" s="1"/>
  <c r="Z444" i="2" s="1"/>
  <c r="Z445" i="2" s="1"/>
  <c r="Z446" i="2" s="1"/>
  <c r="Z447" i="2" s="1"/>
  <c r="Z448" i="2" s="1"/>
  <c r="Z449" i="2" s="1"/>
  <c r="Z450" i="2" s="1"/>
  <c r="Z451" i="2" s="1"/>
  <c r="Z452" i="2" s="1"/>
  <c r="Z453" i="2" s="1"/>
  <c r="Z454" i="2" s="1"/>
  <c r="Z455" i="2" s="1"/>
  <c r="Z456" i="2" s="1"/>
  <c r="Z457" i="2" s="1"/>
  <c r="Z458" i="2" s="1"/>
  <c r="Z459" i="2" s="1"/>
  <c r="Z460" i="2" s="1"/>
  <c r="Z461" i="2" s="1"/>
  <c r="Z462" i="2" s="1"/>
  <c r="Z463" i="2" s="1"/>
  <c r="Z464" i="2" s="1"/>
  <c r="Z465" i="2" s="1"/>
  <c r="Z466" i="2" s="1"/>
  <c r="Z467" i="2" s="1"/>
  <c r="Z468" i="2" s="1"/>
  <c r="Z469" i="2" s="1"/>
  <c r="Z470" i="2" s="1"/>
  <c r="Z471" i="2" s="1"/>
  <c r="Z472" i="2" s="1"/>
  <c r="Z473" i="2" s="1"/>
  <c r="Z474" i="2" s="1"/>
  <c r="Z475" i="2" s="1"/>
  <c r="Z476" i="2" s="1"/>
  <c r="Z477" i="2" s="1"/>
  <c r="Z478" i="2" s="1"/>
  <c r="Z479" i="2" s="1"/>
  <c r="Z480" i="2" s="1"/>
  <c r="Z481" i="2" s="1"/>
  <c r="Z482" i="2" s="1"/>
  <c r="Z483" i="2" s="1"/>
  <c r="Z484" i="2" s="1"/>
  <c r="Z485" i="2" s="1"/>
  <c r="Z486" i="2" s="1"/>
  <c r="Z487" i="2" s="1"/>
  <c r="Z488" i="2" s="1"/>
  <c r="Z489" i="2" s="1"/>
  <c r="Z490" i="2" s="1"/>
  <c r="Z491" i="2" s="1"/>
  <c r="Z492" i="2" s="1"/>
  <c r="Z493" i="2" s="1"/>
  <c r="Z494" i="2" s="1"/>
  <c r="Z495" i="2" s="1"/>
  <c r="Z496" i="2" s="1"/>
  <c r="Z497" i="2" s="1"/>
  <c r="Z498" i="2" s="1"/>
  <c r="Z499" i="2" s="1"/>
  <c r="Z500" i="2" s="1"/>
  <c r="Z501" i="2" s="1"/>
  <c r="Z502" i="2" s="1"/>
  <c r="Z503" i="2" s="1"/>
  <c r="Z504" i="2" s="1"/>
  <c r="Z505" i="2" s="1"/>
  <c r="Z506" i="2" s="1"/>
  <c r="Z507" i="2" s="1"/>
  <c r="Z508" i="2" s="1"/>
  <c r="Z509" i="2" s="1"/>
  <c r="Z510" i="2" s="1"/>
  <c r="Z511" i="2" s="1"/>
  <c r="Z512" i="2" s="1"/>
  <c r="Z513" i="2" s="1"/>
  <c r="Z514" i="2" s="1"/>
  <c r="Z515" i="2" s="1"/>
  <c r="Z516" i="2" s="1"/>
  <c r="Z517" i="2" s="1"/>
  <c r="Z518" i="2" s="1"/>
  <c r="Z519" i="2" s="1"/>
  <c r="Z520" i="2" s="1"/>
  <c r="Z521" i="2" s="1"/>
  <c r="Z522" i="2" s="1"/>
  <c r="Z523" i="2" s="1"/>
  <c r="Z524" i="2" s="1"/>
  <c r="Z525" i="2" s="1"/>
  <c r="Z526" i="2" s="1"/>
  <c r="Z527" i="2" s="1"/>
  <c r="Z528" i="2" s="1"/>
  <c r="Z529" i="2" s="1"/>
  <c r="Z530" i="2" s="1"/>
  <c r="Z531" i="2" s="1"/>
  <c r="Z532" i="2" s="1"/>
  <c r="Z533" i="2" s="1"/>
  <c r="Z534" i="2" s="1"/>
  <c r="Z535" i="2" s="1"/>
  <c r="Z536" i="2" s="1"/>
  <c r="Z537" i="2" s="1"/>
  <c r="Z538" i="2" s="1"/>
  <c r="Z539" i="2" s="1"/>
  <c r="Z540" i="2" s="1"/>
  <c r="Z541" i="2" s="1"/>
  <c r="Z542" i="2" s="1"/>
  <c r="Z543" i="2" s="1"/>
  <c r="Z544" i="2" s="1"/>
  <c r="Z545" i="2" s="1"/>
  <c r="Z546" i="2" s="1"/>
  <c r="Z547" i="2" s="1"/>
  <c r="Z548" i="2" s="1"/>
  <c r="Z549" i="2" s="1"/>
  <c r="Z550" i="2" s="1"/>
  <c r="Z551" i="2" s="1"/>
  <c r="Z552" i="2" s="1"/>
  <c r="Z553" i="2" s="1"/>
  <c r="Z554" i="2" s="1"/>
  <c r="Z555" i="2" s="1"/>
  <c r="Z556" i="2" s="1"/>
  <c r="Z557" i="2" s="1"/>
  <c r="Z558" i="2" s="1"/>
  <c r="Z559" i="2" s="1"/>
  <c r="Z560" i="2" s="1"/>
  <c r="Z561" i="2" s="1"/>
  <c r="Z562" i="2" s="1"/>
  <c r="Z563" i="2" s="1"/>
  <c r="Z564" i="2" s="1"/>
  <c r="Z565" i="2" s="1"/>
  <c r="Z566" i="2" s="1"/>
  <c r="Z567" i="2" s="1"/>
  <c r="Z568" i="2" s="1"/>
  <c r="Z569" i="2" s="1"/>
  <c r="Z570" i="2" s="1"/>
  <c r="Z571" i="2" s="1"/>
  <c r="Z572" i="2" s="1"/>
  <c r="Z573" i="2" s="1"/>
  <c r="Z574" i="2" s="1"/>
  <c r="Z575" i="2" s="1"/>
  <c r="Z576" i="2" s="1"/>
  <c r="Z577" i="2" s="1"/>
  <c r="Z578" i="2" s="1"/>
  <c r="Z579" i="2" s="1"/>
  <c r="Z580" i="2" s="1"/>
  <c r="Z581" i="2" s="1"/>
  <c r="Z582" i="2" s="1"/>
  <c r="Z583" i="2" s="1"/>
  <c r="Z584" i="2" s="1"/>
  <c r="Z585" i="2" s="1"/>
  <c r="Z586" i="2" s="1"/>
  <c r="Z587" i="2" s="1"/>
  <c r="Z588" i="2" s="1"/>
  <c r="Z589" i="2" s="1"/>
  <c r="Z590" i="2" s="1"/>
  <c r="Z591" i="2" s="1"/>
  <c r="Z592" i="2" s="1"/>
  <c r="Z593" i="2" s="1"/>
  <c r="Z594" i="2" s="1"/>
  <c r="Z595" i="2" s="1"/>
  <c r="Z596" i="2" s="1"/>
  <c r="Z597" i="2" s="1"/>
  <c r="Z598" i="2" s="1"/>
  <c r="Z599" i="2" s="1"/>
  <c r="Z600" i="2" s="1"/>
  <c r="Z601" i="2" s="1"/>
  <c r="Z602" i="2" s="1"/>
  <c r="Z603" i="2" s="1"/>
  <c r="Z604" i="2" s="1"/>
  <c r="Z605" i="2" s="1"/>
  <c r="Z606" i="2" s="1"/>
  <c r="Z607" i="2" s="1"/>
  <c r="Z608" i="2" s="1"/>
  <c r="Z609" i="2" s="1"/>
  <c r="Z610" i="2" s="1"/>
  <c r="Z611" i="2" s="1"/>
  <c r="Z612" i="2" s="1"/>
  <c r="Z613" i="2" s="1"/>
  <c r="Z614" i="2" s="1"/>
  <c r="Z615" i="2" s="1"/>
  <c r="Z616" i="2" s="1"/>
  <c r="Z617" i="2" s="1"/>
  <c r="Z618" i="2" s="1"/>
  <c r="Z619" i="2" s="1"/>
  <c r="Z620" i="2" s="1"/>
  <c r="Z621" i="2" s="1"/>
  <c r="Z622" i="2" s="1"/>
  <c r="Z623" i="2" s="1"/>
  <c r="Z624" i="2" s="1"/>
  <c r="Z625" i="2" s="1"/>
  <c r="Z626" i="2" s="1"/>
  <c r="Z627" i="2" s="1"/>
  <c r="Z628" i="2" s="1"/>
  <c r="Z629" i="2" s="1"/>
  <c r="Z630" i="2" s="1"/>
  <c r="Z631" i="2" s="1"/>
  <c r="Z632" i="2" s="1"/>
  <c r="Z633" i="2" s="1"/>
  <c r="Z634" i="2" s="1"/>
  <c r="Z635" i="2" s="1"/>
  <c r="Z636" i="2" s="1"/>
  <c r="Z637" i="2" s="1"/>
  <c r="Z638" i="2" s="1"/>
  <c r="Z639" i="2" s="1"/>
  <c r="Z640" i="2" s="1"/>
  <c r="Z641" i="2" s="1"/>
  <c r="Z642" i="2" s="1"/>
  <c r="Z643" i="2" s="1"/>
  <c r="Z644" i="2" s="1"/>
  <c r="Z645" i="2" s="1"/>
  <c r="Z646" i="2" s="1"/>
  <c r="Z647" i="2" s="1"/>
  <c r="Z648" i="2" s="1"/>
  <c r="Z649" i="2" s="1"/>
  <c r="Z650" i="2" s="1"/>
  <c r="Z651" i="2" s="1"/>
  <c r="Z652" i="2" s="1"/>
  <c r="Z653" i="2" s="1"/>
  <c r="Z654" i="2" s="1"/>
  <c r="Z655" i="2" s="1"/>
  <c r="Z656" i="2" s="1"/>
  <c r="Z657" i="2" s="1"/>
  <c r="Z658" i="2" s="1"/>
  <c r="Z659" i="2" s="1"/>
  <c r="Z660" i="2" s="1"/>
  <c r="Z661" i="2" s="1"/>
  <c r="Z662" i="2" s="1"/>
  <c r="Z663" i="2" s="1"/>
  <c r="Z664" i="2" s="1"/>
  <c r="Z665" i="2" s="1"/>
  <c r="Z666" i="2" s="1"/>
  <c r="Z667" i="2" s="1"/>
  <c r="Z668" i="2" s="1"/>
  <c r="Z669" i="2" s="1"/>
  <c r="Z670" i="2" s="1"/>
  <c r="Z671" i="2" s="1"/>
  <c r="Z672" i="2" s="1"/>
  <c r="Z673" i="2" s="1"/>
  <c r="Z674" i="2" s="1"/>
  <c r="Z675" i="2" s="1"/>
  <c r="Z676" i="2" s="1"/>
  <c r="Z677" i="2" s="1"/>
  <c r="Z678" i="2" s="1"/>
  <c r="Z679" i="2" s="1"/>
  <c r="Z680" i="2" s="1"/>
  <c r="Z681" i="2" s="1"/>
  <c r="Z682" i="2" s="1"/>
  <c r="Z683" i="2" s="1"/>
  <c r="Z684" i="2" s="1"/>
  <c r="Z685" i="2" s="1"/>
  <c r="Z686" i="2" s="1"/>
  <c r="Z687" i="2" s="1"/>
  <c r="Z688" i="2" s="1"/>
  <c r="Z689" i="2" s="1"/>
  <c r="Z690" i="2" s="1"/>
  <c r="Z691" i="2" s="1"/>
  <c r="Z692" i="2" s="1"/>
  <c r="Z693" i="2" s="1"/>
  <c r="Z694" i="2" s="1"/>
  <c r="Z695" i="2" s="1"/>
  <c r="Z696" i="2" s="1"/>
  <c r="Z697" i="2" s="1"/>
  <c r="Z698" i="2" s="1"/>
  <c r="Z699" i="2" s="1"/>
  <c r="Z700" i="2" s="1"/>
  <c r="Z701" i="2" s="1"/>
  <c r="Z702" i="2" s="1"/>
  <c r="Z703" i="2" s="1"/>
  <c r="Z704" i="2" s="1"/>
  <c r="Z705" i="2" s="1"/>
  <c r="Z706" i="2" s="1"/>
  <c r="Z707" i="2" s="1"/>
  <c r="Z708" i="2" s="1"/>
  <c r="Z709" i="2" s="1"/>
  <c r="Z710" i="2" s="1"/>
  <c r="Z711" i="2" s="1"/>
  <c r="Z712" i="2" s="1"/>
  <c r="Z713" i="2" s="1"/>
  <c r="Z714" i="2" s="1"/>
  <c r="Z715" i="2" s="1"/>
  <c r="Z716" i="2" s="1"/>
  <c r="Z717" i="2" s="1"/>
  <c r="Z718" i="2" s="1"/>
  <c r="Z719" i="2" s="1"/>
  <c r="Z720" i="2" s="1"/>
  <c r="Z721" i="2" s="1"/>
  <c r="Z722" i="2" s="1"/>
  <c r="Z723" i="2" s="1"/>
  <c r="Z724" i="2" s="1"/>
  <c r="Z725" i="2" s="1"/>
  <c r="Z726" i="2" s="1"/>
  <c r="Z727" i="2" s="1"/>
  <c r="Z728" i="2" s="1"/>
  <c r="Z729" i="2" s="1"/>
  <c r="Z730" i="2" s="1"/>
  <c r="Z731" i="2" s="1"/>
  <c r="Z732" i="2" s="1"/>
  <c r="Y3" i="2"/>
  <c r="Y4" i="2" s="1"/>
  <c r="Y5" i="2" s="1"/>
  <c r="Y6" i="2" s="1"/>
  <c r="Y7" i="2"/>
  <c r="Y8" i="2" s="1"/>
  <c r="Y9" i="2" s="1"/>
  <c r="Y10" i="2" s="1"/>
  <c r="Y11" i="2" s="1"/>
  <c r="Y12" i="2" s="1"/>
  <c r="Y13" i="2" s="1"/>
  <c r="Y14" i="2" s="1"/>
  <c r="Y15" i="2" s="1"/>
  <c r="Y16" i="2" s="1"/>
  <c r="Y17" i="2" s="1"/>
  <c r="Y18" i="2" s="1"/>
  <c r="Y19" i="2" s="1"/>
  <c r="Y20" i="2" s="1"/>
  <c r="Y21" i="2" s="1"/>
  <c r="Y22" i="2" s="1"/>
  <c r="Y23" i="2" s="1"/>
  <c r="Y24" i="2" s="1"/>
  <c r="Y25" i="2" s="1"/>
  <c r="Y26" i="2" s="1"/>
  <c r="Y27" i="2" s="1"/>
  <c r="Y28" i="2" s="1"/>
  <c r="Y29" i="2" s="1"/>
  <c r="Y30" i="2" s="1"/>
  <c r="Y31" i="2" s="1"/>
  <c r="Y32" i="2" s="1"/>
  <c r="Y33" i="2" s="1"/>
  <c r="Y34" i="2" s="1"/>
  <c r="Y35" i="2" s="1"/>
  <c r="Y36" i="2" s="1"/>
  <c r="Y37" i="2" s="1"/>
  <c r="Y38" i="2" s="1"/>
  <c r="Y39" i="2" s="1"/>
  <c r="Y40" i="2" s="1"/>
  <c r="Y41" i="2" s="1"/>
  <c r="Y42" i="2" s="1"/>
  <c r="Y43" i="2" s="1"/>
  <c r="Y44" i="2" s="1"/>
  <c r="Y45" i="2" s="1"/>
  <c r="Y46" i="2" s="1"/>
  <c r="Y47" i="2" s="1"/>
  <c r="Y48" i="2" s="1"/>
  <c r="Y49" i="2" s="1"/>
  <c r="Y50" i="2" s="1"/>
  <c r="Y51" i="2" s="1"/>
  <c r="Y52" i="2" s="1"/>
  <c r="Y53" i="2" s="1"/>
  <c r="Y54" i="2" s="1"/>
  <c r="Y55" i="2" s="1"/>
  <c r="Y56" i="2" s="1"/>
  <c r="Y57" i="2" s="1"/>
  <c r="Y58" i="2" s="1"/>
  <c r="Y59" i="2" s="1"/>
  <c r="Y60" i="2" s="1"/>
  <c r="Y61" i="2" s="1"/>
  <c r="Y62" i="2" s="1"/>
  <c r="Y63" i="2" s="1"/>
  <c r="Y64" i="2" s="1"/>
  <c r="Y65" i="2" s="1"/>
  <c r="Y66" i="2" s="1"/>
  <c r="Y67" i="2" s="1"/>
  <c r="Y68" i="2" s="1"/>
  <c r="Y69" i="2" s="1"/>
  <c r="Y70" i="2" s="1"/>
  <c r="Y71" i="2" s="1"/>
  <c r="Y72" i="2" s="1"/>
  <c r="Y73" i="2" s="1"/>
  <c r="Y74" i="2" s="1"/>
  <c r="Y75" i="2" s="1"/>
  <c r="Y76" i="2" s="1"/>
  <c r="Y77" i="2" s="1"/>
  <c r="Y78" i="2" s="1"/>
  <c r="Y79" i="2" s="1"/>
  <c r="Y80" i="2" s="1"/>
  <c r="Y81" i="2" s="1"/>
  <c r="Y82" i="2" s="1"/>
  <c r="Y83" i="2" s="1"/>
  <c r="Y84" i="2" s="1"/>
  <c r="Y85" i="2" s="1"/>
  <c r="Y86" i="2" s="1"/>
  <c r="Y87" i="2" s="1"/>
  <c r="Y88" i="2" s="1"/>
  <c r="Y89" i="2" s="1"/>
  <c r="Y90" i="2" s="1"/>
  <c r="Y91" i="2" s="1"/>
  <c r="Y92" i="2" s="1"/>
  <c r="Y93" i="2" s="1"/>
  <c r="Y94" i="2" s="1"/>
  <c r="Y95" i="2" s="1"/>
  <c r="Y96" i="2" s="1"/>
  <c r="Y97" i="2" s="1"/>
  <c r="Y98" i="2" s="1"/>
  <c r="Y99" i="2" s="1"/>
  <c r="Y100" i="2" s="1"/>
  <c r="Y101" i="2" s="1"/>
  <c r="Y102" i="2" s="1"/>
  <c r="Y103" i="2" s="1"/>
  <c r="Y104" i="2" s="1"/>
  <c r="Y105" i="2" s="1"/>
  <c r="Y106" i="2" s="1"/>
  <c r="Y107" i="2" s="1"/>
  <c r="Y108" i="2" s="1"/>
  <c r="Y109" i="2" s="1"/>
  <c r="Y110" i="2" s="1"/>
  <c r="Y111" i="2" s="1"/>
  <c r="Y112" i="2" s="1"/>
  <c r="Y113" i="2" s="1"/>
  <c r="Y114" i="2" s="1"/>
  <c r="Y115" i="2" s="1"/>
  <c r="Y116" i="2" s="1"/>
  <c r="Y117" i="2" s="1"/>
  <c r="Y118" i="2" s="1"/>
  <c r="Y119" i="2" s="1"/>
  <c r="Y120" i="2" s="1"/>
  <c r="Y121" i="2" s="1"/>
  <c r="Y122" i="2" s="1"/>
  <c r="Y123" i="2" s="1"/>
  <c r="Y124" i="2" s="1"/>
  <c r="Y125" i="2" s="1"/>
  <c r="Y126" i="2" s="1"/>
  <c r="Y127" i="2" s="1"/>
  <c r="Y128" i="2" s="1"/>
  <c r="Y129" i="2" s="1"/>
  <c r="Y130" i="2" s="1"/>
  <c r="Y131" i="2" s="1"/>
  <c r="Y132" i="2" s="1"/>
  <c r="Y133" i="2" s="1"/>
  <c r="Y134" i="2" s="1"/>
  <c r="Y135" i="2" s="1"/>
  <c r="Y136" i="2" s="1"/>
  <c r="Y137" i="2" s="1"/>
  <c r="Y138" i="2" s="1"/>
  <c r="Y139" i="2" s="1"/>
  <c r="Y140" i="2" s="1"/>
  <c r="Y141" i="2" s="1"/>
  <c r="Y142" i="2" s="1"/>
  <c r="Y143" i="2" s="1"/>
  <c r="Y144" i="2" s="1"/>
  <c r="Y145" i="2" s="1"/>
  <c r="Y146" i="2" s="1"/>
  <c r="Y147" i="2" s="1"/>
  <c r="Y148" i="2" s="1"/>
  <c r="Y149" i="2" s="1"/>
  <c r="Y150" i="2" s="1"/>
  <c r="Y151" i="2" s="1"/>
  <c r="Y152" i="2" s="1"/>
  <c r="Y153" i="2" s="1"/>
  <c r="Y154" i="2" s="1"/>
  <c r="Y155" i="2" s="1"/>
  <c r="Y156" i="2" s="1"/>
  <c r="Y157" i="2" s="1"/>
  <c r="Y158" i="2" s="1"/>
  <c r="Y159" i="2" s="1"/>
  <c r="Y160" i="2" s="1"/>
  <c r="Y161" i="2" s="1"/>
  <c r="Y162" i="2" s="1"/>
  <c r="Y163" i="2" s="1"/>
  <c r="Y164" i="2" s="1"/>
  <c r="Y165" i="2" s="1"/>
  <c r="Y166" i="2" s="1"/>
  <c r="Y167" i="2" s="1"/>
  <c r="Y168" i="2" s="1"/>
  <c r="Y169" i="2" s="1"/>
  <c r="Y170" i="2" s="1"/>
  <c r="Y171" i="2" s="1"/>
  <c r="Y172" i="2" s="1"/>
  <c r="Y173" i="2" s="1"/>
  <c r="Y174" i="2" s="1"/>
  <c r="Y175" i="2" s="1"/>
  <c r="Y176" i="2" s="1"/>
  <c r="Y177" i="2" s="1"/>
  <c r="Y178" i="2" s="1"/>
  <c r="Y179" i="2" s="1"/>
  <c r="Y180" i="2" s="1"/>
  <c r="Y181" i="2" s="1"/>
  <c r="Y182" i="2" s="1"/>
  <c r="Y183" i="2" s="1"/>
  <c r="Y184" i="2" s="1"/>
  <c r="Y185" i="2" s="1"/>
  <c r="Y186" i="2" s="1"/>
  <c r="Y187" i="2" s="1"/>
  <c r="Y188" i="2" s="1"/>
  <c r="Y189" i="2" s="1"/>
  <c r="Y190" i="2" s="1"/>
  <c r="Y191" i="2" s="1"/>
  <c r="Y192" i="2" s="1"/>
  <c r="Y193" i="2" s="1"/>
  <c r="Y194" i="2" s="1"/>
  <c r="Y195" i="2" s="1"/>
  <c r="Y196" i="2" s="1"/>
  <c r="Y197" i="2" s="1"/>
  <c r="Y198" i="2" s="1"/>
  <c r="Y199" i="2" s="1"/>
  <c r="Y200" i="2" s="1"/>
  <c r="Y201" i="2" s="1"/>
  <c r="Y202" i="2" s="1"/>
  <c r="Y203" i="2" s="1"/>
  <c r="Y204" i="2" s="1"/>
  <c r="Y205" i="2" s="1"/>
  <c r="Y206" i="2" s="1"/>
  <c r="Y207" i="2" s="1"/>
  <c r="Y208" i="2" s="1"/>
  <c r="Y209" i="2" s="1"/>
  <c r="Y210" i="2" s="1"/>
  <c r="Y211" i="2" s="1"/>
  <c r="Y212" i="2" s="1"/>
  <c r="Y213" i="2" s="1"/>
  <c r="Y214" i="2" s="1"/>
  <c r="Y215" i="2" s="1"/>
  <c r="Y216" i="2" s="1"/>
  <c r="Y217" i="2" s="1"/>
  <c r="Y218" i="2" s="1"/>
  <c r="Y219" i="2" s="1"/>
  <c r="Y220" i="2" s="1"/>
  <c r="Y221" i="2" s="1"/>
  <c r="Y222" i="2" s="1"/>
  <c r="Y223" i="2" s="1"/>
  <c r="Y224" i="2" s="1"/>
  <c r="Y225" i="2" s="1"/>
  <c r="Y226" i="2" s="1"/>
  <c r="Y227" i="2" s="1"/>
  <c r="Y228" i="2" s="1"/>
  <c r="Y229" i="2" s="1"/>
  <c r="Y230" i="2" s="1"/>
  <c r="Y231" i="2" s="1"/>
  <c r="Y232" i="2" s="1"/>
  <c r="Y233" i="2" s="1"/>
  <c r="Y234" i="2" s="1"/>
  <c r="Y235" i="2" s="1"/>
  <c r="Y236" i="2" s="1"/>
  <c r="Y237" i="2" s="1"/>
  <c r="Y238" i="2" s="1"/>
  <c r="Y239" i="2" s="1"/>
  <c r="Y240" i="2" s="1"/>
  <c r="Y241" i="2" s="1"/>
  <c r="Y242" i="2" s="1"/>
  <c r="Y243" i="2" s="1"/>
  <c r="Y244" i="2" s="1"/>
  <c r="Y245" i="2" s="1"/>
  <c r="Y246" i="2" s="1"/>
  <c r="Y247" i="2" s="1"/>
  <c r="Y248" i="2" s="1"/>
  <c r="Y249" i="2" s="1"/>
  <c r="Y250" i="2" s="1"/>
  <c r="Y251" i="2" s="1"/>
  <c r="Y252" i="2" s="1"/>
  <c r="Y253" i="2" s="1"/>
  <c r="Y254" i="2" s="1"/>
  <c r="Y255" i="2" s="1"/>
  <c r="Y256" i="2" s="1"/>
  <c r="Y257" i="2" s="1"/>
  <c r="Y258" i="2" s="1"/>
  <c r="Y259" i="2" s="1"/>
  <c r="Y260" i="2" s="1"/>
  <c r="Y261" i="2" s="1"/>
  <c r="Y262" i="2" s="1"/>
  <c r="Y263" i="2" s="1"/>
  <c r="Y264" i="2" s="1"/>
  <c r="Y265" i="2" s="1"/>
  <c r="Y266" i="2" s="1"/>
  <c r="Y267" i="2" s="1"/>
  <c r="Y268" i="2" s="1"/>
  <c r="Y269" i="2" s="1"/>
  <c r="Y270" i="2" s="1"/>
  <c r="Y271" i="2" s="1"/>
  <c r="Y272" i="2" s="1"/>
  <c r="Y273" i="2" s="1"/>
  <c r="Y274" i="2" s="1"/>
  <c r="Y275" i="2" s="1"/>
  <c r="Y276" i="2" s="1"/>
  <c r="Y277" i="2" s="1"/>
  <c r="Y278" i="2" s="1"/>
  <c r="Y279" i="2" s="1"/>
  <c r="Y280" i="2" s="1"/>
  <c r="Y281" i="2" s="1"/>
  <c r="Y282" i="2" s="1"/>
  <c r="Y283" i="2" s="1"/>
  <c r="Y284" i="2" s="1"/>
  <c r="Y285" i="2" s="1"/>
  <c r="Y286" i="2" s="1"/>
  <c r="Y287" i="2" s="1"/>
  <c r="Y288" i="2" s="1"/>
  <c r="Y289" i="2" s="1"/>
  <c r="Y290" i="2" s="1"/>
  <c r="Y291" i="2" s="1"/>
  <c r="Y292" i="2" s="1"/>
  <c r="Y293" i="2" s="1"/>
  <c r="Y294" i="2" s="1"/>
  <c r="Y295" i="2" s="1"/>
  <c r="Y296" i="2" s="1"/>
  <c r="Y297" i="2" s="1"/>
  <c r="Y298" i="2" s="1"/>
  <c r="Y299" i="2" s="1"/>
  <c r="Y300" i="2" s="1"/>
  <c r="Y301" i="2" s="1"/>
  <c r="Y302" i="2" s="1"/>
  <c r="Y303" i="2" s="1"/>
  <c r="Y304" i="2" s="1"/>
  <c r="Y305" i="2" s="1"/>
  <c r="Y306" i="2" s="1"/>
  <c r="Y307" i="2" s="1"/>
  <c r="Y308" i="2" s="1"/>
  <c r="Y309" i="2" s="1"/>
  <c r="Y310" i="2" s="1"/>
  <c r="Y311" i="2" s="1"/>
  <c r="Y312" i="2" s="1"/>
  <c r="Y313" i="2" s="1"/>
  <c r="Y314" i="2" s="1"/>
  <c r="Y315" i="2" s="1"/>
  <c r="Y316" i="2" s="1"/>
  <c r="Y317" i="2" s="1"/>
  <c r="Y318" i="2" s="1"/>
  <c r="Y319" i="2" s="1"/>
  <c r="Y320" i="2" s="1"/>
  <c r="Y321" i="2" s="1"/>
  <c r="Y322" i="2" s="1"/>
  <c r="Y323" i="2" s="1"/>
  <c r="Y324" i="2" s="1"/>
  <c r="Y325" i="2" s="1"/>
  <c r="Y326" i="2" s="1"/>
  <c r="Y327" i="2" s="1"/>
  <c r="Y328" i="2" s="1"/>
  <c r="Y329" i="2" s="1"/>
  <c r="Y330" i="2" s="1"/>
  <c r="Y331" i="2" s="1"/>
  <c r="Y332" i="2" s="1"/>
  <c r="Y333" i="2" s="1"/>
  <c r="Y334" i="2" s="1"/>
  <c r="Y335" i="2" s="1"/>
  <c r="Y336" i="2" s="1"/>
  <c r="Y337" i="2" s="1"/>
  <c r="Y338" i="2" s="1"/>
  <c r="Y339" i="2" s="1"/>
  <c r="Y340" i="2" s="1"/>
  <c r="Y341" i="2" s="1"/>
  <c r="Y342" i="2" s="1"/>
  <c r="Y343" i="2" s="1"/>
  <c r="Y344" i="2" s="1"/>
  <c r="Y345" i="2" s="1"/>
  <c r="Y346" i="2" s="1"/>
  <c r="Y347" i="2" s="1"/>
  <c r="Y348" i="2" s="1"/>
  <c r="Y349" i="2" s="1"/>
  <c r="Y350" i="2" s="1"/>
  <c r="Y351" i="2" s="1"/>
  <c r="Y352" i="2" s="1"/>
  <c r="Y353" i="2" s="1"/>
  <c r="Y354" i="2" s="1"/>
  <c r="Y355" i="2" s="1"/>
  <c r="Y356" i="2" s="1"/>
  <c r="Y357" i="2" s="1"/>
  <c r="Y358" i="2" s="1"/>
  <c r="Y359" i="2" s="1"/>
  <c r="Y360" i="2" s="1"/>
  <c r="Y361" i="2" s="1"/>
  <c r="Y362" i="2" s="1"/>
  <c r="Y363" i="2" s="1"/>
  <c r="Y364" i="2" s="1"/>
  <c r="Y365" i="2" s="1"/>
  <c r="Y366" i="2" s="1"/>
  <c r="Y367" i="2" s="1"/>
  <c r="Y368" i="2" s="1"/>
  <c r="Y369" i="2" s="1"/>
  <c r="Y370" i="2" s="1"/>
  <c r="Y371" i="2" s="1"/>
  <c r="Y372" i="2" s="1"/>
  <c r="Y373" i="2" s="1"/>
  <c r="Y374" i="2" s="1"/>
  <c r="Y375" i="2" s="1"/>
  <c r="Y376" i="2" s="1"/>
  <c r="Y377" i="2" s="1"/>
  <c r="Y378" i="2" s="1"/>
  <c r="Y379" i="2" s="1"/>
  <c r="Y380" i="2" s="1"/>
  <c r="Y381" i="2" s="1"/>
  <c r="Y382" i="2" s="1"/>
  <c r="Y383" i="2" s="1"/>
  <c r="Y384" i="2" s="1"/>
  <c r="Y385" i="2" s="1"/>
  <c r="Y386" i="2" s="1"/>
  <c r="Y387" i="2" s="1"/>
  <c r="Y388" i="2" s="1"/>
  <c r="Y389" i="2" s="1"/>
  <c r="Y390" i="2" s="1"/>
  <c r="Y391" i="2" s="1"/>
  <c r="Y392" i="2" s="1"/>
  <c r="Y393" i="2" s="1"/>
  <c r="Y394" i="2" s="1"/>
  <c r="Y395" i="2" s="1"/>
  <c r="Y396" i="2" s="1"/>
  <c r="Y397" i="2" s="1"/>
  <c r="Y398" i="2" s="1"/>
  <c r="Y399" i="2" s="1"/>
  <c r="Y400" i="2" s="1"/>
  <c r="Y401" i="2" s="1"/>
  <c r="Y402" i="2" s="1"/>
  <c r="Y403" i="2" s="1"/>
  <c r="Y404" i="2" s="1"/>
  <c r="Y405" i="2" s="1"/>
  <c r="Y406" i="2" s="1"/>
  <c r="Y407" i="2" s="1"/>
  <c r="Y408" i="2" s="1"/>
  <c r="Y409" i="2" s="1"/>
  <c r="Y410" i="2" s="1"/>
  <c r="Y411" i="2" s="1"/>
  <c r="Y412" i="2" s="1"/>
  <c r="Y413" i="2" s="1"/>
  <c r="Y414" i="2" s="1"/>
  <c r="Y415" i="2" s="1"/>
  <c r="Y416" i="2" s="1"/>
  <c r="Y417" i="2" s="1"/>
  <c r="Y418" i="2" s="1"/>
  <c r="Y419" i="2" s="1"/>
  <c r="Y420" i="2" s="1"/>
  <c r="Y421" i="2" s="1"/>
  <c r="Y422" i="2" s="1"/>
  <c r="Y423" i="2" s="1"/>
  <c r="Y424" i="2" s="1"/>
  <c r="Y425" i="2" s="1"/>
  <c r="Y426" i="2" s="1"/>
  <c r="Y427" i="2" s="1"/>
  <c r="Y428" i="2" s="1"/>
  <c r="Y429" i="2" s="1"/>
  <c r="Y430" i="2" s="1"/>
  <c r="Y431" i="2" s="1"/>
  <c r="Y432" i="2" s="1"/>
  <c r="Y433" i="2" s="1"/>
  <c r="Y434" i="2" s="1"/>
  <c r="Y435" i="2" s="1"/>
  <c r="Y436" i="2" s="1"/>
  <c r="Y437" i="2" s="1"/>
  <c r="Y438" i="2" s="1"/>
  <c r="Y439" i="2" s="1"/>
  <c r="Y440" i="2" s="1"/>
  <c r="Y441" i="2" s="1"/>
  <c r="Y442" i="2" s="1"/>
  <c r="Y443" i="2" s="1"/>
  <c r="Y444" i="2" s="1"/>
  <c r="Y445" i="2" s="1"/>
  <c r="Y446" i="2" s="1"/>
  <c r="Y447" i="2" s="1"/>
  <c r="Y448" i="2" s="1"/>
  <c r="Y449" i="2" s="1"/>
  <c r="Y450" i="2" s="1"/>
  <c r="Y451" i="2" s="1"/>
  <c r="Y452" i="2" s="1"/>
  <c r="Y453" i="2" s="1"/>
  <c r="Y454" i="2" s="1"/>
  <c r="Y455" i="2" s="1"/>
  <c r="Y456" i="2" s="1"/>
  <c r="Y457" i="2" s="1"/>
  <c r="Y458" i="2" s="1"/>
  <c r="Y459" i="2" s="1"/>
  <c r="Y460" i="2" s="1"/>
  <c r="Y461" i="2" s="1"/>
  <c r="Y462" i="2" s="1"/>
  <c r="Y463" i="2" s="1"/>
  <c r="Y464" i="2" s="1"/>
  <c r="Y465" i="2" s="1"/>
  <c r="Y466" i="2" s="1"/>
  <c r="Y467" i="2" s="1"/>
  <c r="Y468" i="2" s="1"/>
  <c r="Y469" i="2" s="1"/>
  <c r="Y470" i="2" s="1"/>
  <c r="Y471" i="2" s="1"/>
  <c r="Y472" i="2" s="1"/>
  <c r="Y473" i="2" s="1"/>
  <c r="Y474" i="2" s="1"/>
  <c r="Y475" i="2" s="1"/>
  <c r="Y476" i="2" s="1"/>
  <c r="Y477" i="2" s="1"/>
  <c r="Y478" i="2" s="1"/>
  <c r="Y479" i="2" s="1"/>
  <c r="Y480" i="2" s="1"/>
  <c r="Y481" i="2" s="1"/>
  <c r="Y482" i="2" s="1"/>
  <c r="Y483" i="2" s="1"/>
  <c r="Y484" i="2" s="1"/>
  <c r="Y485" i="2" s="1"/>
  <c r="Y486" i="2" s="1"/>
  <c r="Y487" i="2" s="1"/>
  <c r="Y488" i="2" s="1"/>
  <c r="Y489" i="2" s="1"/>
  <c r="Y490" i="2" s="1"/>
  <c r="Y491" i="2" s="1"/>
  <c r="Y492" i="2" s="1"/>
  <c r="Y493" i="2" s="1"/>
  <c r="Y494" i="2" s="1"/>
  <c r="Y495" i="2" s="1"/>
  <c r="Y496" i="2" s="1"/>
  <c r="Y497" i="2" s="1"/>
  <c r="Y498" i="2" s="1"/>
  <c r="Y499" i="2" s="1"/>
  <c r="Y500" i="2" s="1"/>
  <c r="Y501" i="2" s="1"/>
  <c r="Y502" i="2" s="1"/>
  <c r="Y503" i="2" s="1"/>
  <c r="Y504" i="2" s="1"/>
  <c r="Y505" i="2" s="1"/>
  <c r="Y506" i="2" s="1"/>
  <c r="Y507" i="2" s="1"/>
  <c r="Y508" i="2" s="1"/>
  <c r="Y509" i="2" s="1"/>
  <c r="Y510" i="2" s="1"/>
  <c r="Y511" i="2" s="1"/>
  <c r="Y512" i="2" s="1"/>
  <c r="Y513" i="2" s="1"/>
  <c r="Y514" i="2" s="1"/>
  <c r="Y515" i="2" s="1"/>
  <c r="Y516" i="2" s="1"/>
  <c r="Y517" i="2" s="1"/>
  <c r="Y518" i="2" s="1"/>
  <c r="Y519" i="2" s="1"/>
  <c r="Y520" i="2" s="1"/>
  <c r="Y521" i="2" s="1"/>
  <c r="Y522" i="2" s="1"/>
  <c r="Y523" i="2" s="1"/>
  <c r="Y524" i="2" s="1"/>
  <c r="Y525" i="2" s="1"/>
  <c r="Y526" i="2" s="1"/>
  <c r="Y527" i="2" s="1"/>
  <c r="Y528" i="2" s="1"/>
  <c r="Y529" i="2" s="1"/>
  <c r="Y530" i="2" s="1"/>
  <c r="Y531" i="2" s="1"/>
  <c r="Y532" i="2" s="1"/>
  <c r="Y533" i="2" s="1"/>
  <c r="Y534" i="2" s="1"/>
  <c r="Y535" i="2" s="1"/>
  <c r="Y536" i="2" s="1"/>
  <c r="Y537" i="2" s="1"/>
  <c r="Y538" i="2" s="1"/>
  <c r="Y539" i="2" s="1"/>
  <c r="Y540" i="2" s="1"/>
  <c r="Y541" i="2" s="1"/>
  <c r="Y542" i="2" s="1"/>
  <c r="Y543" i="2" s="1"/>
  <c r="Y544" i="2" s="1"/>
  <c r="Y545" i="2" s="1"/>
  <c r="Y546" i="2" s="1"/>
  <c r="Y547" i="2" s="1"/>
  <c r="Y548" i="2" s="1"/>
  <c r="Y549" i="2" s="1"/>
  <c r="Y550" i="2" s="1"/>
  <c r="Y551" i="2" s="1"/>
  <c r="Y552" i="2" s="1"/>
  <c r="Y553" i="2" s="1"/>
  <c r="Y554" i="2" s="1"/>
  <c r="Y555" i="2" s="1"/>
  <c r="Y556" i="2" s="1"/>
  <c r="Y557" i="2" s="1"/>
  <c r="Y558" i="2" s="1"/>
  <c r="Y559" i="2" s="1"/>
  <c r="Y560" i="2" s="1"/>
  <c r="Y561" i="2" s="1"/>
  <c r="Y562" i="2" s="1"/>
  <c r="Y563" i="2" s="1"/>
  <c r="Y564" i="2" s="1"/>
  <c r="Y565" i="2" s="1"/>
  <c r="Y566" i="2" s="1"/>
  <c r="Y567" i="2" s="1"/>
  <c r="Y568" i="2" s="1"/>
  <c r="Y569" i="2" s="1"/>
  <c r="Y570" i="2" s="1"/>
  <c r="Y571" i="2" s="1"/>
  <c r="Y572" i="2" s="1"/>
  <c r="Y573" i="2" s="1"/>
  <c r="Y574" i="2" s="1"/>
  <c r="Y575" i="2" s="1"/>
  <c r="Y576" i="2" s="1"/>
  <c r="Y577" i="2" s="1"/>
  <c r="Y578" i="2" s="1"/>
  <c r="Y579" i="2" s="1"/>
  <c r="Y580" i="2" s="1"/>
  <c r="Y581" i="2" s="1"/>
  <c r="Y582" i="2" s="1"/>
  <c r="Y583" i="2" s="1"/>
  <c r="Y584" i="2" s="1"/>
  <c r="Y585" i="2" s="1"/>
  <c r="Y586" i="2" s="1"/>
  <c r="Y587" i="2" s="1"/>
  <c r="Y588" i="2" s="1"/>
  <c r="Y589" i="2" s="1"/>
  <c r="Y590" i="2" s="1"/>
  <c r="Y591" i="2" s="1"/>
  <c r="Y592" i="2" s="1"/>
  <c r="Y593" i="2" s="1"/>
  <c r="Y594" i="2" s="1"/>
  <c r="Y595" i="2" s="1"/>
  <c r="Y596" i="2" s="1"/>
  <c r="Y597" i="2" s="1"/>
  <c r="Y598" i="2" s="1"/>
  <c r="Y599" i="2" s="1"/>
  <c r="Y600" i="2" s="1"/>
  <c r="Y601" i="2" s="1"/>
  <c r="Y602" i="2" s="1"/>
  <c r="Y603" i="2" s="1"/>
  <c r="Y604" i="2" s="1"/>
  <c r="Y605" i="2" s="1"/>
  <c r="Y606" i="2" s="1"/>
  <c r="Y607" i="2" s="1"/>
  <c r="Y608" i="2" s="1"/>
  <c r="Y609" i="2" s="1"/>
  <c r="Y610" i="2" s="1"/>
  <c r="Y611" i="2" s="1"/>
  <c r="Y612" i="2" s="1"/>
  <c r="Y613" i="2" s="1"/>
  <c r="Y614" i="2" s="1"/>
  <c r="Y615" i="2" s="1"/>
  <c r="Y616" i="2" s="1"/>
  <c r="Y617" i="2" s="1"/>
  <c r="Y618" i="2" s="1"/>
  <c r="Y619" i="2" s="1"/>
  <c r="Y620" i="2" s="1"/>
  <c r="Y621" i="2" s="1"/>
  <c r="Y622" i="2" s="1"/>
  <c r="Y623" i="2" s="1"/>
  <c r="Y624" i="2" s="1"/>
  <c r="Y625" i="2" s="1"/>
  <c r="Y626" i="2" s="1"/>
  <c r="Y627" i="2" s="1"/>
  <c r="Y628" i="2" s="1"/>
  <c r="Y629" i="2" s="1"/>
  <c r="Y630" i="2" s="1"/>
  <c r="Y631" i="2" s="1"/>
  <c r="Y632" i="2" s="1"/>
  <c r="Y633" i="2" s="1"/>
  <c r="Y634" i="2" s="1"/>
  <c r="Y635" i="2" s="1"/>
  <c r="Y636" i="2" s="1"/>
  <c r="Y637" i="2" s="1"/>
  <c r="Y638" i="2" s="1"/>
  <c r="Y639" i="2" s="1"/>
  <c r="Y640" i="2" s="1"/>
  <c r="Y641" i="2" s="1"/>
  <c r="Y642" i="2" s="1"/>
  <c r="Y643" i="2" s="1"/>
  <c r="Y644" i="2" s="1"/>
  <c r="Y645" i="2" s="1"/>
  <c r="Y646" i="2" s="1"/>
  <c r="Y647" i="2" s="1"/>
  <c r="Y648" i="2" s="1"/>
  <c r="Y649" i="2" s="1"/>
  <c r="Y650" i="2" s="1"/>
  <c r="Y651" i="2" s="1"/>
  <c r="Y652" i="2" s="1"/>
  <c r="Y653" i="2" s="1"/>
  <c r="Y654" i="2" s="1"/>
  <c r="Y655" i="2" s="1"/>
  <c r="Y656" i="2" s="1"/>
  <c r="Y657" i="2" s="1"/>
  <c r="Y658" i="2" s="1"/>
  <c r="Y659" i="2" s="1"/>
  <c r="Y660" i="2" s="1"/>
  <c r="Y661" i="2" s="1"/>
  <c r="Y662" i="2" s="1"/>
  <c r="Y663" i="2" s="1"/>
  <c r="Y664" i="2" s="1"/>
  <c r="Y665" i="2" s="1"/>
  <c r="Y666" i="2" s="1"/>
  <c r="Y667" i="2" s="1"/>
  <c r="Y668" i="2" s="1"/>
  <c r="Y669" i="2" s="1"/>
  <c r="Y670" i="2" s="1"/>
  <c r="Y671" i="2" s="1"/>
  <c r="Y672" i="2" s="1"/>
  <c r="Y673" i="2" s="1"/>
  <c r="Y674" i="2" s="1"/>
  <c r="Y675" i="2" s="1"/>
  <c r="Y676" i="2" s="1"/>
  <c r="Y677" i="2" s="1"/>
  <c r="Y678" i="2" s="1"/>
  <c r="Y679" i="2" s="1"/>
  <c r="Y680" i="2" s="1"/>
  <c r="Y681" i="2" s="1"/>
  <c r="Y682" i="2" s="1"/>
  <c r="Y683" i="2" s="1"/>
  <c r="Y684" i="2" s="1"/>
  <c r="Y685" i="2" s="1"/>
  <c r="Y686" i="2" s="1"/>
  <c r="Y687" i="2" s="1"/>
  <c r="Y688" i="2" s="1"/>
  <c r="Y689" i="2" s="1"/>
  <c r="Y690" i="2" s="1"/>
  <c r="Y691" i="2" s="1"/>
  <c r="Y692" i="2" s="1"/>
  <c r="Y693" i="2" s="1"/>
  <c r="Y694" i="2" s="1"/>
  <c r="Y695" i="2" s="1"/>
  <c r="Y696" i="2" s="1"/>
  <c r="Y697" i="2" s="1"/>
  <c r="Y698" i="2" s="1"/>
  <c r="Y699" i="2" s="1"/>
  <c r="Y700" i="2" s="1"/>
  <c r="Y701" i="2" s="1"/>
  <c r="Y702" i="2" s="1"/>
  <c r="Y703" i="2" s="1"/>
  <c r="Y704" i="2" s="1"/>
  <c r="Y705" i="2" s="1"/>
  <c r="Y706" i="2" s="1"/>
  <c r="Y707" i="2" s="1"/>
  <c r="Y708" i="2" s="1"/>
  <c r="Y709" i="2" s="1"/>
  <c r="Y710" i="2" s="1"/>
  <c r="Y711" i="2" s="1"/>
  <c r="Y712" i="2" s="1"/>
  <c r="Y713" i="2" s="1"/>
  <c r="Y714" i="2" s="1"/>
  <c r="Y715" i="2" s="1"/>
  <c r="Y716" i="2" s="1"/>
  <c r="Y717" i="2" s="1"/>
  <c r="Y718" i="2" s="1"/>
  <c r="Y719" i="2" s="1"/>
  <c r="Y720" i="2" s="1"/>
  <c r="Y721" i="2" s="1"/>
  <c r="Y722" i="2" s="1"/>
  <c r="Y723" i="2" s="1"/>
  <c r="Y724" i="2" s="1"/>
  <c r="Y725" i="2" s="1"/>
  <c r="Y726" i="2" s="1"/>
  <c r="Y727" i="2" s="1"/>
  <c r="Y728" i="2" s="1"/>
  <c r="Y729" i="2" s="1"/>
  <c r="Y730" i="2" s="1"/>
  <c r="Y731" i="2" s="1"/>
  <c r="Y732" i="2" s="1"/>
  <c r="X3" i="2"/>
  <c r="X4" i="2"/>
  <c r="X5" i="2" s="1"/>
  <c r="X6" i="2" s="1"/>
  <c r="X7" i="2" s="1"/>
  <c r="X8" i="2" s="1"/>
  <c r="X9" i="2" s="1"/>
  <c r="X10" i="2" s="1"/>
  <c r="X11" i="2" s="1"/>
  <c r="X12" i="2" s="1"/>
  <c r="X13" i="2" s="1"/>
  <c r="X14" i="2" s="1"/>
  <c r="X15" i="2" s="1"/>
  <c r="X16" i="2" s="1"/>
  <c r="X17" i="2" s="1"/>
  <c r="X18" i="2" s="1"/>
  <c r="X19" i="2" s="1"/>
  <c r="X20" i="2" s="1"/>
  <c r="X21" i="2" s="1"/>
  <c r="X22" i="2" s="1"/>
  <c r="X23" i="2" s="1"/>
  <c r="X24" i="2" s="1"/>
  <c r="X25" i="2" s="1"/>
  <c r="X26" i="2" s="1"/>
  <c r="X27" i="2" s="1"/>
  <c r="X28" i="2" s="1"/>
  <c r="X29" i="2" s="1"/>
  <c r="X30" i="2" s="1"/>
  <c r="X31" i="2" s="1"/>
  <c r="X32" i="2" s="1"/>
  <c r="X33" i="2" s="1"/>
  <c r="X34" i="2" s="1"/>
  <c r="X35" i="2" s="1"/>
  <c r="X36" i="2" s="1"/>
  <c r="X37" i="2" s="1"/>
  <c r="X38" i="2" s="1"/>
  <c r="X39" i="2" s="1"/>
  <c r="X40" i="2" s="1"/>
  <c r="X41" i="2" s="1"/>
  <c r="X42" i="2" s="1"/>
  <c r="X43" i="2" s="1"/>
  <c r="X44" i="2" s="1"/>
  <c r="X45" i="2" s="1"/>
  <c r="X46" i="2" s="1"/>
  <c r="X47" i="2" s="1"/>
  <c r="X48" i="2" s="1"/>
  <c r="X49" i="2" s="1"/>
  <c r="X50" i="2" s="1"/>
  <c r="X51" i="2" s="1"/>
  <c r="X52" i="2" s="1"/>
  <c r="X53" i="2" s="1"/>
  <c r="X54" i="2" s="1"/>
  <c r="X55" i="2" s="1"/>
  <c r="X56" i="2" s="1"/>
  <c r="X57" i="2" s="1"/>
  <c r="X58" i="2" s="1"/>
  <c r="X59" i="2" s="1"/>
  <c r="X60" i="2" s="1"/>
  <c r="X61" i="2" s="1"/>
  <c r="X62" i="2" s="1"/>
  <c r="X63" i="2" s="1"/>
  <c r="X64" i="2" s="1"/>
  <c r="X65" i="2" s="1"/>
  <c r="X66" i="2" s="1"/>
  <c r="X67" i="2" s="1"/>
  <c r="X68" i="2" s="1"/>
  <c r="X69" i="2" s="1"/>
  <c r="X70" i="2" s="1"/>
  <c r="X71" i="2" s="1"/>
  <c r="X72" i="2" s="1"/>
  <c r="X73" i="2" s="1"/>
  <c r="X74" i="2" s="1"/>
  <c r="X75" i="2" s="1"/>
  <c r="X76" i="2" s="1"/>
  <c r="X77" i="2" s="1"/>
  <c r="X78" i="2" s="1"/>
  <c r="X79" i="2" s="1"/>
  <c r="X80" i="2" s="1"/>
  <c r="X81" i="2" s="1"/>
  <c r="X82" i="2" s="1"/>
  <c r="X83" i="2" s="1"/>
  <c r="X84" i="2" s="1"/>
  <c r="X85" i="2" s="1"/>
  <c r="X86" i="2" s="1"/>
  <c r="X87" i="2" s="1"/>
  <c r="X88" i="2" s="1"/>
  <c r="X89" i="2" s="1"/>
  <c r="X90" i="2" s="1"/>
  <c r="X91" i="2" s="1"/>
  <c r="X92" i="2" s="1"/>
  <c r="X93" i="2" s="1"/>
  <c r="X94" i="2" s="1"/>
  <c r="X95" i="2" s="1"/>
  <c r="X96" i="2" s="1"/>
  <c r="X97" i="2" s="1"/>
  <c r="X98" i="2" s="1"/>
  <c r="X99" i="2" s="1"/>
  <c r="X100" i="2" s="1"/>
  <c r="X101" i="2" s="1"/>
  <c r="X102" i="2" s="1"/>
  <c r="X103" i="2" s="1"/>
  <c r="X104" i="2" s="1"/>
  <c r="X105" i="2" s="1"/>
  <c r="X106" i="2" s="1"/>
  <c r="X107" i="2" s="1"/>
  <c r="X108" i="2" s="1"/>
  <c r="X109" i="2" s="1"/>
  <c r="X110" i="2" s="1"/>
  <c r="X111" i="2" s="1"/>
  <c r="X112" i="2" s="1"/>
  <c r="X113" i="2" s="1"/>
  <c r="X114" i="2" s="1"/>
  <c r="X115" i="2" s="1"/>
  <c r="X116" i="2" s="1"/>
  <c r="X117" i="2" s="1"/>
  <c r="X118" i="2" s="1"/>
  <c r="X119" i="2" s="1"/>
  <c r="X120" i="2" s="1"/>
  <c r="X121" i="2" s="1"/>
  <c r="X122" i="2" s="1"/>
  <c r="X123" i="2" s="1"/>
  <c r="X124" i="2" s="1"/>
  <c r="X125" i="2" s="1"/>
  <c r="X126" i="2" s="1"/>
  <c r="X127" i="2" s="1"/>
  <c r="X128" i="2" s="1"/>
  <c r="X129" i="2" s="1"/>
  <c r="X130" i="2" s="1"/>
  <c r="X131" i="2" s="1"/>
  <c r="X132" i="2" s="1"/>
  <c r="X133" i="2" s="1"/>
  <c r="X134" i="2" s="1"/>
  <c r="X135" i="2" s="1"/>
  <c r="X136" i="2" s="1"/>
  <c r="X137" i="2" s="1"/>
  <c r="X138" i="2" s="1"/>
  <c r="X139" i="2" s="1"/>
  <c r="X140" i="2" s="1"/>
  <c r="X141" i="2" s="1"/>
  <c r="X142" i="2" s="1"/>
  <c r="X143" i="2" s="1"/>
  <c r="X144" i="2" s="1"/>
  <c r="X145" i="2" s="1"/>
  <c r="X146" i="2" s="1"/>
  <c r="X147" i="2" s="1"/>
  <c r="X148" i="2" s="1"/>
  <c r="X149" i="2" s="1"/>
  <c r="X150" i="2" s="1"/>
  <c r="X151" i="2" s="1"/>
  <c r="X152" i="2" s="1"/>
  <c r="X153" i="2" s="1"/>
  <c r="X154" i="2" s="1"/>
  <c r="X155" i="2" s="1"/>
  <c r="X156" i="2" s="1"/>
  <c r="X157" i="2" s="1"/>
  <c r="X158" i="2" s="1"/>
  <c r="X159" i="2" s="1"/>
  <c r="X160" i="2" s="1"/>
  <c r="X161" i="2" s="1"/>
  <c r="X162" i="2" s="1"/>
  <c r="X163" i="2" s="1"/>
  <c r="X164" i="2" s="1"/>
  <c r="X165" i="2" s="1"/>
  <c r="X166" i="2" s="1"/>
  <c r="X167" i="2" s="1"/>
  <c r="X168" i="2" s="1"/>
  <c r="X169" i="2" s="1"/>
  <c r="X170" i="2" s="1"/>
  <c r="X171" i="2" s="1"/>
  <c r="X172" i="2" s="1"/>
  <c r="X173" i="2" s="1"/>
  <c r="X174" i="2" s="1"/>
  <c r="X175" i="2" s="1"/>
  <c r="X176" i="2" s="1"/>
  <c r="X177" i="2" s="1"/>
  <c r="X178" i="2" s="1"/>
  <c r="X179" i="2" s="1"/>
  <c r="X180" i="2" s="1"/>
  <c r="X181" i="2" s="1"/>
  <c r="X182" i="2" s="1"/>
  <c r="X183" i="2" s="1"/>
  <c r="X184" i="2" s="1"/>
  <c r="X185" i="2" s="1"/>
  <c r="X186" i="2" s="1"/>
  <c r="X187" i="2" s="1"/>
  <c r="X188" i="2" s="1"/>
  <c r="X189" i="2" s="1"/>
  <c r="X190" i="2" s="1"/>
  <c r="X191" i="2" s="1"/>
  <c r="X192" i="2" s="1"/>
  <c r="X193" i="2" s="1"/>
  <c r="X194" i="2" s="1"/>
  <c r="X195" i="2" s="1"/>
  <c r="X196" i="2" s="1"/>
  <c r="X197" i="2" s="1"/>
  <c r="X198" i="2" s="1"/>
  <c r="X199" i="2" s="1"/>
  <c r="X200" i="2" s="1"/>
  <c r="X201" i="2" s="1"/>
  <c r="X202" i="2" s="1"/>
  <c r="X203" i="2" s="1"/>
  <c r="X204" i="2" s="1"/>
  <c r="X205" i="2" s="1"/>
  <c r="X206" i="2" s="1"/>
  <c r="X207" i="2" s="1"/>
  <c r="X208" i="2" s="1"/>
  <c r="X209" i="2" s="1"/>
  <c r="X210" i="2" s="1"/>
  <c r="X211" i="2" s="1"/>
  <c r="X212" i="2" s="1"/>
  <c r="X213" i="2" s="1"/>
  <c r="X214" i="2" s="1"/>
  <c r="X215" i="2" s="1"/>
  <c r="X216" i="2" s="1"/>
  <c r="X217" i="2" s="1"/>
  <c r="X218" i="2" s="1"/>
  <c r="X219" i="2" s="1"/>
  <c r="X220" i="2" s="1"/>
  <c r="X221" i="2" s="1"/>
  <c r="X222" i="2" s="1"/>
  <c r="X223" i="2" s="1"/>
  <c r="X224" i="2" s="1"/>
  <c r="X225" i="2" s="1"/>
  <c r="X226" i="2" s="1"/>
  <c r="X227" i="2" s="1"/>
  <c r="X228" i="2" s="1"/>
  <c r="X229" i="2" s="1"/>
  <c r="X230" i="2" s="1"/>
  <c r="X231" i="2" s="1"/>
  <c r="X232" i="2" s="1"/>
  <c r="X233" i="2" s="1"/>
  <c r="X234" i="2" s="1"/>
  <c r="X235" i="2" s="1"/>
  <c r="X236" i="2" s="1"/>
  <c r="X237" i="2" s="1"/>
  <c r="X238" i="2" s="1"/>
  <c r="X239" i="2" s="1"/>
  <c r="X240" i="2" s="1"/>
  <c r="X241" i="2" s="1"/>
  <c r="X242" i="2" s="1"/>
  <c r="X243" i="2" s="1"/>
  <c r="X244" i="2" s="1"/>
  <c r="X245" i="2" s="1"/>
  <c r="X246" i="2" s="1"/>
  <c r="X247" i="2" s="1"/>
  <c r="X248" i="2" s="1"/>
  <c r="X249" i="2" s="1"/>
  <c r="X250" i="2" s="1"/>
  <c r="X251" i="2" s="1"/>
  <c r="X252" i="2" s="1"/>
  <c r="X253" i="2" s="1"/>
  <c r="X254" i="2" s="1"/>
  <c r="X255" i="2" s="1"/>
  <c r="X256" i="2" s="1"/>
  <c r="X257" i="2" s="1"/>
  <c r="X258" i="2" s="1"/>
  <c r="X259" i="2" s="1"/>
  <c r="X260" i="2" s="1"/>
  <c r="X261" i="2" s="1"/>
  <c r="X262" i="2" s="1"/>
  <c r="X263" i="2" s="1"/>
  <c r="X264" i="2" s="1"/>
  <c r="X265" i="2" s="1"/>
  <c r="X266" i="2" s="1"/>
  <c r="X267" i="2" s="1"/>
  <c r="X268" i="2" s="1"/>
  <c r="X269" i="2" s="1"/>
  <c r="X270" i="2" s="1"/>
  <c r="X271" i="2" s="1"/>
  <c r="X272" i="2" s="1"/>
  <c r="X273" i="2" s="1"/>
  <c r="X274" i="2" s="1"/>
  <c r="X275" i="2" s="1"/>
  <c r="X276" i="2" s="1"/>
  <c r="X277" i="2" s="1"/>
  <c r="X278" i="2" s="1"/>
  <c r="X279" i="2" s="1"/>
  <c r="X280" i="2" s="1"/>
  <c r="X281" i="2" s="1"/>
  <c r="X282" i="2" s="1"/>
  <c r="X283" i="2" s="1"/>
  <c r="X284" i="2" s="1"/>
  <c r="X285" i="2" s="1"/>
  <c r="X286" i="2" s="1"/>
  <c r="X287" i="2" s="1"/>
  <c r="X288" i="2" s="1"/>
  <c r="X289" i="2" s="1"/>
  <c r="X290" i="2" s="1"/>
  <c r="X291" i="2" s="1"/>
  <c r="X292" i="2" s="1"/>
  <c r="X293" i="2" s="1"/>
  <c r="X294" i="2" s="1"/>
  <c r="X295" i="2" s="1"/>
  <c r="X296" i="2" s="1"/>
  <c r="X297" i="2" s="1"/>
  <c r="X298" i="2" s="1"/>
  <c r="X299" i="2" s="1"/>
  <c r="X300" i="2" s="1"/>
  <c r="X301" i="2" s="1"/>
  <c r="X302" i="2" s="1"/>
  <c r="X303" i="2" s="1"/>
  <c r="X304" i="2" s="1"/>
  <c r="X305" i="2" s="1"/>
  <c r="X306" i="2" s="1"/>
  <c r="X307" i="2" s="1"/>
  <c r="X308" i="2" s="1"/>
  <c r="X309" i="2" s="1"/>
  <c r="X310" i="2" s="1"/>
  <c r="X311" i="2" s="1"/>
  <c r="X312" i="2" s="1"/>
  <c r="X313" i="2" s="1"/>
  <c r="X314" i="2" s="1"/>
  <c r="X315" i="2" s="1"/>
  <c r="X316" i="2" s="1"/>
  <c r="X317" i="2" s="1"/>
  <c r="X318" i="2" s="1"/>
  <c r="X319" i="2" s="1"/>
  <c r="X320" i="2" s="1"/>
  <c r="X321" i="2" s="1"/>
  <c r="X322" i="2" s="1"/>
  <c r="X323" i="2" s="1"/>
  <c r="X324" i="2" s="1"/>
  <c r="X325" i="2" s="1"/>
  <c r="X326" i="2" s="1"/>
  <c r="X327" i="2" s="1"/>
  <c r="X328" i="2" s="1"/>
  <c r="X329" i="2" s="1"/>
  <c r="X330" i="2" s="1"/>
  <c r="X331" i="2" s="1"/>
  <c r="X332" i="2" s="1"/>
  <c r="X333" i="2" s="1"/>
  <c r="X334" i="2" s="1"/>
  <c r="X335" i="2" s="1"/>
  <c r="X336" i="2" s="1"/>
  <c r="X337" i="2" s="1"/>
  <c r="X338" i="2" s="1"/>
  <c r="X339" i="2" s="1"/>
  <c r="X340" i="2" s="1"/>
  <c r="X341" i="2" s="1"/>
  <c r="X342" i="2" s="1"/>
  <c r="X343" i="2" s="1"/>
  <c r="X344" i="2" s="1"/>
  <c r="X345" i="2" s="1"/>
  <c r="X346" i="2" s="1"/>
  <c r="X347" i="2" s="1"/>
  <c r="X348" i="2" s="1"/>
  <c r="X349" i="2" s="1"/>
  <c r="X350" i="2" s="1"/>
  <c r="X351" i="2" s="1"/>
  <c r="X352" i="2" s="1"/>
  <c r="X353" i="2" s="1"/>
  <c r="X354" i="2" s="1"/>
  <c r="X355" i="2" s="1"/>
  <c r="X356" i="2" s="1"/>
  <c r="X357" i="2" s="1"/>
  <c r="X358" i="2" s="1"/>
  <c r="X359" i="2" s="1"/>
  <c r="X360" i="2" s="1"/>
  <c r="X361" i="2" s="1"/>
  <c r="X362" i="2" s="1"/>
  <c r="X363" i="2" s="1"/>
  <c r="X364" i="2" s="1"/>
  <c r="X365" i="2" s="1"/>
  <c r="X366" i="2" s="1"/>
  <c r="X367" i="2" s="1"/>
  <c r="X368" i="2" s="1"/>
  <c r="X369" i="2" s="1"/>
  <c r="X370" i="2" s="1"/>
  <c r="X371" i="2" s="1"/>
  <c r="X372" i="2" s="1"/>
  <c r="X373" i="2" s="1"/>
  <c r="X374" i="2" s="1"/>
  <c r="X375" i="2" s="1"/>
  <c r="X376" i="2" s="1"/>
  <c r="X377" i="2" s="1"/>
  <c r="X378" i="2" s="1"/>
  <c r="X379" i="2" s="1"/>
  <c r="X380" i="2" s="1"/>
  <c r="X381" i="2" s="1"/>
  <c r="X382" i="2" s="1"/>
  <c r="X383" i="2" s="1"/>
  <c r="X384" i="2" s="1"/>
  <c r="X385" i="2" s="1"/>
  <c r="X386" i="2" s="1"/>
  <c r="X387" i="2" s="1"/>
  <c r="X388" i="2" s="1"/>
  <c r="X389" i="2" s="1"/>
  <c r="X390" i="2" s="1"/>
  <c r="X391" i="2" s="1"/>
  <c r="X392" i="2" s="1"/>
  <c r="X393" i="2" s="1"/>
  <c r="X394" i="2" s="1"/>
  <c r="X395" i="2" s="1"/>
  <c r="X396" i="2" s="1"/>
  <c r="X397" i="2" s="1"/>
  <c r="X398" i="2" s="1"/>
  <c r="X399" i="2" s="1"/>
  <c r="X400" i="2" s="1"/>
  <c r="X401" i="2" s="1"/>
  <c r="X402" i="2" s="1"/>
  <c r="X403" i="2" s="1"/>
  <c r="X404" i="2" s="1"/>
  <c r="X405" i="2" s="1"/>
  <c r="X406" i="2" s="1"/>
  <c r="X407" i="2" s="1"/>
  <c r="X408" i="2" s="1"/>
  <c r="X409" i="2" s="1"/>
  <c r="X410" i="2" s="1"/>
  <c r="X411" i="2" s="1"/>
  <c r="X412" i="2" s="1"/>
  <c r="X413" i="2" s="1"/>
  <c r="X414" i="2" s="1"/>
  <c r="X415" i="2" s="1"/>
  <c r="X416" i="2" s="1"/>
  <c r="X417" i="2" s="1"/>
  <c r="X418" i="2" s="1"/>
  <c r="X419" i="2" s="1"/>
  <c r="X420" i="2" s="1"/>
  <c r="X421" i="2" s="1"/>
  <c r="X422" i="2" s="1"/>
  <c r="X423" i="2" s="1"/>
  <c r="X424" i="2" s="1"/>
  <c r="X425" i="2" s="1"/>
  <c r="X426" i="2" s="1"/>
  <c r="X427" i="2" s="1"/>
  <c r="X428" i="2" s="1"/>
  <c r="X429" i="2" s="1"/>
  <c r="X430" i="2" s="1"/>
  <c r="X431" i="2" s="1"/>
  <c r="X432" i="2" s="1"/>
  <c r="X433" i="2" s="1"/>
  <c r="X434" i="2" s="1"/>
  <c r="X435" i="2" s="1"/>
  <c r="X436" i="2" s="1"/>
  <c r="X437" i="2" s="1"/>
  <c r="X438" i="2" s="1"/>
  <c r="X439" i="2" s="1"/>
  <c r="X440" i="2" s="1"/>
  <c r="X441" i="2" s="1"/>
  <c r="X442" i="2" s="1"/>
  <c r="X443" i="2" s="1"/>
  <c r="X444" i="2" s="1"/>
  <c r="X445" i="2" s="1"/>
  <c r="X446" i="2" s="1"/>
  <c r="X447" i="2" s="1"/>
  <c r="X448" i="2" s="1"/>
  <c r="X449" i="2" s="1"/>
  <c r="X450" i="2" s="1"/>
  <c r="X451" i="2" s="1"/>
  <c r="X452" i="2" s="1"/>
  <c r="X453" i="2" s="1"/>
  <c r="X454" i="2" s="1"/>
  <c r="X455" i="2" s="1"/>
  <c r="X456" i="2" s="1"/>
  <c r="X457" i="2" s="1"/>
  <c r="X458" i="2" s="1"/>
  <c r="X459" i="2" s="1"/>
  <c r="X460" i="2" s="1"/>
  <c r="X461" i="2" s="1"/>
  <c r="X462" i="2" s="1"/>
  <c r="X463" i="2" s="1"/>
  <c r="X464" i="2" s="1"/>
  <c r="X465" i="2" s="1"/>
  <c r="X466" i="2" s="1"/>
  <c r="X467" i="2" s="1"/>
  <c r="X468" i="2" s="1"/>
  <c r="X469" i="2" s="1"/>
  <c r="X470" i="2" s="1"/>
  <c r="X471" i="2" s="1"/>
  <c r="X472" i="2" s="1"/>
  <c r="X473" i="2" s="1"/>
  <c r="X474" i="2" s="1"/>
  <c r="X475" i="2" s="1"/>
  <c r="X476" i="2" s="1"/>
  <c r="X477" i="2" s="1"/>
  <c r="X478" i="2" s="1"/>
  <c r="X479" i="2" s="1"/>
  <c r="X480" i="2" s="1"/>
  <c r="X481" i="2" s="1"/>
  <c r="X482" i="2" s="1"/>
  <c r="X483" i="2" s="1"/>
  <c r="X484" i="2" s="1"/>
  <c r="X485" i="2" s="1"/>
  <c r="X486" i="2" s="1"/>
  <c r="X487" i="2" s="1"/>
  <c r="X488" i="2" s="1"/>
  <c r="X489" i="2" s="1"/>
  <c r="X490" i="2" s="1"/>
  <c r="X491" i="2" s="1"/>
  <c r="X492" i="2" s="1"/>
  <c r="X493" i="2" s="1"/>
  <c r="X494" i="2" s="1"/>
  <c r="X495" i="2" s="1"/>
  <c r="X496" i="2" s="1"/>
  <c r="X497" i="2" s="1"/>
  <c r="X498" i="2" s="1"/>
  <c r="X499" i="2" s="1"/>
  <c r="X500" i="2" s="1"/>
  <c r="X501" i="2" s="1"/>
  <c r="X502" i="2" s="1"/>
  <c r="X503" i="2" s="1"/>
  <c r="X504" i="2" s="1"/>
  <c r="X505" i="2" s="1"/>
  <c r="X506" i="2" s="1"/>
  <c r="X507" i="2" s="1"/>
  <c r="X508" i="2" s="1"/>
  <c r="X509" i="2" s="1"/>
  <c r="X510" i="2" s="1"/>
  <c r="X511" i="2" s="1"/>
  <c r="X512" i="2" s="1"/>
  <c r="X513" i="2" s="1"/>
  <c r="X514" i="2" s="1"/>
  <c r="X515" i="2" s="1"/>
  <c r="X516" i="2" s="1"/>
  <c r="X517" i="2" s="1"/>
  <c r="X518" i="2" s="1"/>
  <c r="X519" i="2" s="1"/>
  <c r="X520" i="2" s="1"/>
  <c r="X521" i="2" s="1"/>
  <c r="X522" i="2" s="1"/>
  <c r="X523" i="2" s="1"/>
  <c r="X524" i="2" s="1"/>
  <c r="X525" i="2" s="1"/>
  <c r="X526" i="2" s="1"/>
  <c r="X527" i="2" s="1"/>
  <c r="X528" i="2" s="1"/>
  <c r="X529" i="2" s="1"/>
  <c r="X530" i="2" s="1"/>
  <c r="X531" i="2" s="1"/>
  <c r="X532" i="2" s="1"/>
  <c r="X533" i="2" s="1"/>
  <c r="X534" i="2" s="1"/>
  <c r="X535" i="2" s="1"/>
  <c r="X536" i="2" s="1"/>
  <c r="X537" i="2" s="1"/>
  <c r="X538" i="2" s="1"/>
  <c r="X539" i="2" s="1"/>
  <c r="X540" i="2" s="1"/>
  <c r="X541" i="2" s="1"/>
  <c r="X542" i="2" s="1"/>
  <c r="X543" i="2" s="1"/>
  <c r="X544" i="2" s="1"/>
  <c r="X545" i="2" s="1"/>
  <c r="X546" i="2" s="1"/>
  <c r="X547" i="2" s="1"/>
  <c r="X548" i="2" s="1"/>
  <c r="X549" i="2" s="1"/>
  <c r="X550" i="2" s="1"/>
  <c r="X551" i="2" s="1"/>
  <c r="X552" i="2" s="1"/>
  <c r="X553" i="2" s="1"/>
  <c r="X554" i="2" s="1"/>
  <c r="X555" i="2" s="1"/>
  <c r="X556" i="2" s="1"/>
  <c r="X557" i="2" s="1"/>
  <c r="X558" i="2" s="1"/>
  <c r="X559" i="2" s="1"/>
  <c r="X560" i="2" s="1"/>
  <c r="X561" i="2" s="1"/>
  <c r="X562" i="2" s="1"/>
  <c r="X563" i="2" s="1"/>
  <c r="X564" i="2" s="1"/>
  <c r="X565" i="2" s="1"/>
  <c r="X566" i="2" s="1"/>
  <c r="X567" i="2" s="1"/>
  <c r="X568" i="2" s="1"/>
  <c r="X569" i="2" s="1"/>
  <c r="X570" i="2" s="1"/>
  <c r="X571" i="2" s="1"/>
  <c r="X572" i="2" s="1"/>
  <c r="X573" i="2" s="1"/>
  <c r="X574" i="2" s="1"/>
  <c r="X575" i="2" s="1"/>
  <c r="X576" i="2" s="1"/>
  <c r="X577" i="2" s="1"/>
  <c r="X578" i="2" s="1"/>
  <c r="X579" i="2" s="1"/>
  <c r="X580" i="2" s="1"/>
  <c r="X581" i="2" s="1"/>
  <c r="X582" i="2" s="1"/>
  <c r="X583" i="2" s="1"/>
  <c r="X584" i="2" s="1"/>
  <c r="X585" i="2" s="1"/>
  <c r="X586" i="2" s="1"/>
  <c r="X587" i="2" s="1"/>
  <c r="X588" i="2" s="1"/>
  <c r="X589" i="2" s="1"/>
  <c r="X590" i="2" s="1"/>
  <c r="X591" i="2" s="1"/>
  <c r="X592" i="2" s="1"/>
  <c r="X593" i="2" s="1"/>
  <c r="X594" i="2" s="1"/>
  <c r="X595" i="2" s="1"/>
  <c r="X596" i="2" s="1"/>
  <c r="X597" i="2" s="1"/>
  <c r="X598" i="2" s="1"/>
  <c r="X599" i="2" s="1"/>
  <c r="X600" i="2" s="1"/>
  <c r="X601" i="2" s="1"/>
  <c r="X602" i="2" s="1"/>
  <c r="X603" i="2" s="1"/>
  <c r="X604" i="2" s="1"/>
  <c r="X605" i="2" s="1"/>
  <c r="X606" i="2" s="1"/>
  <c r="X607" i="2" s="1"/>
  <c r="X608" i="2" s="1"/>
  <c r="X609" i="2" s="1"/>
  <c r="X610" i="2" s="1"/>
  <c r="X611" i="2" s="1"/>
  <c r="X612" i="2" s="1"/>
  <c r="X613" i="2" s="1"/>
  <c r="X614" i="2" s="1"/>
  <c r="X615" i="2" s="1"/>
  <c r="X616" i="2" s="1"/>
  <c r="X617" i="2" s="1"/>
  <c r="X618" i="2" s="1"/>
  <c r="X619" i="2" s="1"/>
  <c r="X620" i="2" s="1"/>
  <c r="X621" i="2" s="1"/>
  <c r="X622" i="2" s="1"/>
  <c r="X623" i="2" s="1"/>
  <c r="X624" i="2" s="1"/>
  <c r="X625" i="2" s="1"/>
  <c r="X626" i="2" s="1"/>
  <c r="X627" i="2" s="1"/>
  <c r="X628" i="2" s="1"/>
  <c r="X629" i="2" s="1"/>
  <c r="X630" i="2" s="1"/>
  <c r="X631" i="2" s="1"/>
  <c r="X632" i="2" s="1"/>
  <c r="X633" i="2" s="1"/>
  <c r="X634" i="2" s="1"/>
  <c r="X635" i="2" s="1"/>
  <c r="X636" i="2" s="1"/>
  <c r="X637" i="2" s="1"/>
  <c r="X638" i="2" s="1"/>
  <c r="X639" i="2" s="1"/>
  <c r="X640" i="2" s="1"/>
  <c r="X641" i="2" s="1"/>
  <c r="X642" i="2" s="1"/>
  <c r="X643" i="2" s="1"/>
  <c r="X644" i="2" s="1"/>
  <c r="X645" i="2" s="1"/>
  <c r="X646" i="2" s="1"/>
  <c r="X647" i="2" s="1"/>
  <c r="X648" i="2" s="1"/>
  <c r="X649" i="2" s="1"/>
  <c r="X650" i="2" s="1"/>
  <c r="X651" i="2" s="1"/>
  <c r="X652" i="2" s="1"/>
  <c r="X653" i="2" s="1"/>
  <c r="X654" i="2" s="1"/>
  <c r="X655" i="2" s="1"/>
  <c r="X656" i="2" s="1"/>
  <c r="X657" i="2" s="1"/>
  <c r="X658" i="2" s="1"/>
  <c r="X659" i="2" s="1"/>
  <c r="X660" i="2" s="1"/>
  <c r="X661" i="2" s="1"/>
  <c r="X662" i="2" s="1"/>
  <c r="X663" i="2" s="1"/>
  <c r="X664" i="2" s="1"/>
  <c r="X665" i="2" s="1"/>
  <c r="X666" i="2" s="1"/>
  <c r="X667" i="2" s="1"/>
  <c r="X668" i="2" s="1"/>
  <c r="X669" i="2" s="1"/>
  <c r="X670" i="2" s="1"/>
  <c r="X671" i="2" s="1"/>
  <c r="X672" i="2" s="1"/>
  <c r="X673" i="2" s="1"/>
  <c r="X674" i="2" s="1"/>
  <c r="X675" i="2" s="1"/>
  <c r="X676" i="2" s="1"/>
  <c r="X677" i="2" s="1"/>
  <c r="X678" i="2" s="1"/>
  <c r="X679" i="2" s="1"/>
  <c r="X680" i="2" s="1"/>
  <c r="X681" i="2" s="1"/>
  <c r="X682" i="2" s="1"/>
  <c r="X683" i="2" s="1"/>
  <c r="X684" i="2" s="1"/>
  <c r="X685" i="2" s="1"/>
  <c r="X686" i="2" s="1"/>
  <c r="X687" i="2" s="1"/>
  <c r="X688" i="2" s="1"/>
  <c r="X689" i="2" s="1"/>
  <c r="X690" i="2" s="1"/>
  <c r="X691" i="2" s="1"/>
  <c r="X692" i="2" s="1"/>
  <c r="X693" i="2" s="1"/>
  <c r="X694" i="2" s="1"/>
  <c r="X695" i="2" s="1"/>
  <c r="X696" i="2" s="1"/>
  <c r="X697" i="2" s="1"/>
  <c r="X698" i="2" s="1"/>
  <c r="X699" i="2" s="1"/>
  <c r="X700" i="2" s="1"/>
  <c r="X701" i="2" s="1"/>
  <c r="X702" i="2" s="1"/>
  <c r="X703" i="2" s="1"/>
  <c r="X704" i="2" s="1"/>
  <c r="X705" i="2" s="1"/>
  <c r="X706" i="2" s="1"/>
  <c r="X707" i="2" s="1"/>
  <c r="X708" i="2" s="1"/>
  <c r="X709" i="2" s="1"/>
  <c r="X710" i="2" s="1"/>
  <c r="X711" i="2" s="1"/>
  <c r="X712" i="2" s="1"/>
  <c r="X713" i="2" s="1"/>
  <c r="X714" i="2" s="1"/>
  <c r="X715" i="2" s="1"/>
  <c r="X716" i="2" s="1"/>
  <c r="X717" i="2" s="1"/>
  <c r="X718" i="2" s="1"/>
  <c r="X719" i="2" s="1"/>
  <c r="X720" i="2" s="1"/>
  <c r="X721" i="2" s="1"/>
  <c r="X722" i="2" s="1"/>
  <c r="X723" i="2" s="1"/>
  <c r="X724" i="2" s="1"/>
  <c r="X725" i="2" s="1"/>
  <c r="X726" i="2" s="1"/>
  <c r="X727" i="2" s="1"/>
  <c r="X728" i="2" s="1"/>
  <c r="X729" i="2" s="1"/>
  <c r="X730" i="2" s="1"/>
  <c r="X731" i="2" s="1"/>
  <c r="X732" i="2" s="1"/>
  <c r="W3" i="2"/>
  <c r="W4" i="2"/>
  <c r="W5" i="2" s="1"/>
  <c r="W6" i="2" s="1"/>
  <c r="W7" i="2" s="1"/>
  <c r="W8" i="2" s="1"/>
  <c r="W9" i="2" s="1"/>
  <c r="W10" i="2" s="1"/>
  <c r="W11" i="2" s="1"/>
  <c r="W12" i="2" s="1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W77" i="2" s="1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W113" i="2" s="1"/>
  <c r="W114" i="2" s="1"/>
  <c r="W115" i="2" s="1"/>
  <c r="W116" i="2" s="1"/>
  <c r="W117" i="2" s="1"/>
  <c r="W118" i="2" s="1"/>
  <c r="W119" i="2" s="1"/>
  <c r="W120" i="2" s="1"/>
  <c r="W121" i="2" s="1"/>
  <c r="W122" i="2" s="1"/>
  <c r="W123" i="2" s="1"/>
  <c r="W124" i="2" s="1"/>
  <c r="W125" i="2" s="1"/>
  <c r="W126" i="2" s="1"/>
  <c r="W127" i="2" s="1"/>
  <c r="W128" i="2" s="1"/>
  <c r="W129" i="2" s="1"/>
  <c r="W130" i="2" s="1"/>
  <c r="W131" i="2" s="1"/>
  <c r="W132" i="2" s="1"/>
  <c r="W133" i="2" s="1"/>
  <c r="W134" i="2" s="1"/>
  <c r="W135" i="2" s="1"/>
  <c r="W136" i="2" s="1"/>
  <c r="W137" i="2" s="1"/>
  <c r="W138" i="2" s="1"/>
  <c r="W139" i="2" s="1"/>
  <c r="W140" i="2" s="1"/>
  <c r="W141" i="2" s="1"/>
  <c r="W142" i="2" s="1"/>
  <c r="W143" i="2" s="1"/>
  <c r="W144" i="2" s="1"/>
  <c r="W145" i="2" s="1"/>
  <c r="W146" i="2" s="1"/>
  <c r="W147" i="2" s="1"/>
  <c r="W148" i="2" s="1"/>
  <c r="W149" i="2" s="1"/>
  <c r="W150" i="2" s="1"/>
  <c r="W151" i="2" s="1"/>
  <c r="W152" i="2" s="1"/>
  <c r="W153" i="2" s="1"/>
  <c r="W154" i="2" s="1"/>
  <c r="W155" i="2" s="1"/>
  <c r="W156" i="2" s="1"/>
  <c r="W157" i="2" s="1"/>
  <c r="W158" i="2" s="1"/>
  <c r="W159" i="2" s="1"/>
  <c r="W160" i="2" s="1"/>
  <c r="W161" i="2" s="1"/>
  <c r="W162" i="2" s="1"/>
  <c r="W163" i="2" s="1"/>
  <c r="W164" i="2" s="1"/>
  <c r="W165" i="2" s="1"/>
  <c r="W166" i="2" s="1"/>
  <c r="W167" i="2" s="1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W183" i="2" s="1"/>
  <c r="W184" i="2" s="1"/>
  <c r="W185" i="2" s="1"/>
  <c r="W186" i="2" s="1"/>
  <c r="W187" i="2" s="1"/>
  <c r="W188" i="2" s="1"/>
  <c r="W189" i="2" s="1"/>
  <c r="W190" i="2" s="1"/>
  <c r="W191" i="2" s="1"/>
  <c r="W192" i="2" s="1"/>
  <c r="W193" i="2" s="1"/>
  <c r="W194" i="2" s="1"/>
  <c r="W195" i="2" s="1"/>
  <c r="W196" i="2" s="1"/>
  <c r="W197" i="2" s="1"/>
  <c r="W198" i="2" s="1"/>
  <c r="W199" i="2" s="1"/>
  <c r="W200" i="2" s="1"/>
  <c r="W201" i="2" s="1"/>
  <c r="W202" i="2" s="1"/>
  <c r="W203" i="2" s="1"/>
  <c r="W204" i="2" s="1"/>
  <c r="W205" i="2" s="1"/>
  <c r="W206" i="2" s="1"/>
  <c r="W207" i="2" s="1"/>
  <c r="W208" i="2" s="1"/>
  <c r="W209" i="2" s="1"/>
  <c r="W210" i="2" s="1"/>
  <c r="W211" i="2" s="1"/>
  <c r="W212" i="2" s="1"/>
  <c r="W213" i="2" s="1"/>
  <c r="W214" i="2" s="1"/>
  <c r="W215" i="2" s="1"/>
  <c r="W216" i="2" s="1"/>
  <c r="W217" i="2" s="1"/>
  <c r="W218" i="2" s="1"/>
  <c r="W219" i="2" s="1"/>
  <c r="W220" i="2" s="1"/>
  <c r="W221" i="2" s="1"/>
  <c r="W222" i="2" s="1"/>
  <c r="W223" i="2" s="1"/>
  <c r="W224" i="2" s="1"/>
  <c r="W225" i="2" s="1"/>
  <c r="W226" i="2" s="1"/>
  <c r="W227" i="2" s="1"/>
  <c r="W228" i="2" s="1"/>
  <c r="W229" i="2" s="1"/>
  <c r="W230" i="2" s="1"/>
  <c r="W231" i="2" s="1"/>
  <c r="W232" i="2" s="1"/>
  <c r="W233" i="2" s="1"/>
  <c r="W234" i="2" s="1"/>
  <c r="W235" i="2" s="1"/>
  <c r="W236" i="2" s="1"/>
  <c r="W237" i="2" s="1"/>
  <c r="W238" i="2" s="1"/>
  <c r="W239" i="2" s="1"/>
  <c r="W240" i="2" s="1"/>
  <c r="W241" i="2" s="1"/>
  <c r="W242" i="2" s="1"/>
  <c r="W243" i="2" s="1"/>
  <c r="W244" i="2" s="1"/>
  <c r="W245" i="2" s="1"/>
  <c r="W246" i="2" s="1"/>
  <c r="W247" i="2" s="1"/>
  <c r="W248" i="2" s="1"/>
  <c r="W249" i="2" s="1"/>
  <c r="W250" i="2" s="1"/>
  <c r="W251" i="2" s="1"/>
  <c r="W252" i="2" s="1"/>
  <c r="W253" i="2" s="1"/>
  <c r="W254" i="2" s="1"/>
  <c r="W255" i="2" s="1"/>
  <c r="W256" i="2" s="1"/>
  <c r="W257" i="2" s="1"/>
  <c r="W258" i="2" s="1"/>
  <c r="W259" i="2" s="1"/>
  <c r="W260" i="2" s="1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W284" i="2" s="1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W336" i="2" s="1"/>
  <c r="W337" i="2" s="1"/>
  <c r="W338" i="2" s="1"/>
  <c r="W339" i="2" s="1"/>
  <c r="W340" i="2" s="1"/>
  <c r="W341" i="2" s="1"/>
  <c r="W342" i="2" s="1"/>
  <c r="W343" i="2" s="1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W356" i="2" s="1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406" i="2" s="1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V3" i="2"/>
  <c r="V4" i="2" s="1"/>
  <c r="V5" i="2" s="1"/>
  <c r="V6" i="2" s="1"/>
  <c r="V7" i="2" s="1"/>
  <c r="V8" i="2" s="1"/>
  <c r="V9" i="2" s="1"/>
  <c r="V10" i="2" s="1"/>
  <c r="V11" i="2" s="1"/>
  <c r="V12" i="2" s="1"/>
  <c r="V13" i="2" s="1"/>
  <c r="V14" i="2" s="1"/>
  <c r="V15" i="2" s="1"/>
  <c r="V16" i="2" s="1"/>
  <c r="V17" i="2" s="1"/>
  <c r="V18" i="2" s="1"/>
  <c r="V19" i="2" s="1"/>
  <c r="V20" i="2" s="1"/>
  <c r="V21" i="2" s="1"/>
  <c r="V22" i="2" s="1"/>
  <c r="V23" i="2" s="1"/>
  <c r="V24" i="2" s="1"/>
  <c r="V25" i="2" s="1"/>
  <c r="V26" i="2" s="1"/>
  <c r="V27" i="2" s="1"/>
  <c r="V28" i="2" s="1"/>
  <c r="V29" i="2" s="1"/>
  <c r="V30" i="2" s="1"/>
  <c r="V31" i="2" s="1"/>
  <c r="V32" i="2" s="1"/>
  <c r="V33" i="2" s="1"/>
  <c r="V34" i="2" s="1"/>
  <c r="V35" i="2" s="1"/>
  <c r="V36" i="2" s="1"/>
  <c r="V37" i="2" s="1"/>
  <c r="V38" i="2" s="1"/>
  <c r="V39" i="2" s="1"/>
  <c r="V40" i="2" s="1"/>
  <c r="V41" i="2" s="1"/>
  <c r="V42" i="2" s="1"/>
  <c r="V43" i="2" s="1"/>
  <c r="V44" i="2" s="1"/>
  <c r="V45" i="2" s="1"/>
  <c r="V46" i="2" s="1"/>
  <c r="V47" i="2" s="1"/>
  <c r="V48" i="2" s="1"/>
  <c r="V49" i="2" s="1"/>
  <c r="V50" i="2" s="1"/>
  <c r="V51" i="2" s="1"/>
  <c r="V52" i="2" s="1"/>
  <c r="V53" i="2" s="1"/>
  <c r="V54" i="2" s="1"/>
  <c r="V55" i="2" s="1"/>
  <c r="V56" i="2" s="1"/>
  <c r="V57" i="2" s="1"/>
  <c r="V58" i="2" s="1"/>
  <c r="V59" i="2" s="1"/>
  <c r="V60" i="2" s="1"/>
  <c r="V61" i="2" s="1"/>
  <c r="V62" i="2" s="1"/>
  <c r="V63" i="2" s="1"/>
  <c r="V64" i="2" s="1"/>
  <c r="V65" i="2" s="1"/>
  <c r="V66" i="2" s="1"/>
  <c r="V67" i="2" s="1"/>
  <c r="V68" i="2" s="1"/>
  <c r="V69" i="2" s="1"/>
  <c r="V70" i="2" s="1"/>
  <c r="V71" i="2" s="1"/>
  <c r="V72" i="2" s="1"/>
  <c r="V73" i="2" s="1"/>
  <c r="V74" i="2" s="1"/>
  <c r="V75" i="2" s="1"/>
  <c r="V76" i="2" s="1"/>
  <c r="V77" i="2" s="1"/>
  <c r="V78" i="2" s="1"/>
  <c r="V79" i="2" s="1"/>
  <c r="V80" i="2" s="1"/>
  <c r="V81" i="2" s="1"/>
  <c r="V82" i="2" s="1"/>
  <c r="V83" i="2" s="1"/>
  <c r="V84" i="2" s="1"/>
  <c r="V85" i="2" s="1"/>
  <c r="V86" i="2" s="1"/>
  <c r="V87" i="2" s="1"/>
  <c r="V88" i="2" s="1"/>
  <c r="V89" i="2" s="1"/>
  <c r="V90" i="2" s="1"/>
  <c r="V91" i="2" s="1"/>
  <c r="V92" i="2" s="1"/>
  <c r="V93" i="2" s="1"/>
  <c r="V94" i="2" s="1"/>
  <c r="V95" i="2" s="1"/>
  <c r="V96" i="2" s="1"/>
  <c r="V97" i="2" s="1"/>
  <c r="V98" i="2" s="1"/>
  <c r="V99" i="2" s="1"/>
  <c r="V100" i="2" s="1"/>
  <c r="V101" i="2" s="1"/>
  <c r="V102" i="2" s="1"/>
  <c r="V103" i="2" s="1"/>
  <c r="V104" i="2" s="1"/>
  <c r="V105" i="2" s="1"/>
  <c r="V106" i="2" s="1"/>
  <c r="V107" i="2" s="1"/>
  <c r="V108" i="2" s="1"/>
  <c r="V109" i="2" s="1"/>
  <c r="V110" i="2" s="1"/>
  <c r="V111" i="2" s="1"/>
  <c r="V112" i="2" s="1"/>
  <c r="V113" i="2" s="1"/>
  <c r="V114" i="2" s="1"/>
  <c r="V115" i="2" s="1"/>
  <c r="V116" i="2" s="1"/>
  <c r="V117" i="2" s="1"/>
  <c r="V118" i="2" s="1"/>
  <c r="V119" i="2" s="1"/>
  <c r="V120" i="2" s="1"/>
  <c r="V121" i="2" s="1"/>
  <c r="V122" i="2" s="1"/>
  <c r="V123" i="2" s="1"/>
  <c r="V124" i="2" s="1"/>
  <c r="V125" i="2" s="1"/>
  <c r="V126" i="2" s="1"/>
  <c r="V127" i="2" s="1"/>
  <c r="V128" i="2" s="1"/>
  <c r="V129" i="2" s="1"/>
  <c r="V130" i="2" s="1"/>
  <c r="V131" i="2" s="1"/>
  <c r="V132" i="2" s="1"/>
  <c r="V133" i="2" s="1"/>
  <c r="V134" i="2" s="1"/>
  <c r="V135" i="2" s="1"/>
  <c r="V136" i="2" s="1"/>
  <c r="V137" i="2" s="1"/>
  <c r="V138" i="2" s="1"/>
  <c r="V139" i="2" s="1"/>
  <c r="V140" i="2" s="1"/>
  <c r="V141" i="2" s="1"/>
  <c r="V142" i="2" s="1"/>
  <c r="V143" i="2" s="1"/>
  <c r="V144" i="2" s="1"/>
  <c r="V145" i="2" s="1"/>
  <c r="V146" i="2" s="1"/>
  <c r="V147" i="2" s="1"/>
  <c r="V148" i="2" s="1"/>
  <c r="V149" i="2" s="1"/>
  <c r="V150" i="2" s="1"/>
  <c r="V151" i="2" s="1"/>
  <c r="V152" i="2" s="1"/>
  <c r="V153" i="2" s="1"/>
  <c r="V154" i="2" s="1"/>
  <c r="V155" i="2" s="1"/>
  <c r="V156" i="2" s="1"/>
  <c r="V157" i="2" s="1"/>
  <c r="V158" i="2" s="1"/>
  <c r="V159" i="2" s="1"/>
  <c r="V160" i="2" s="1"/>
  <c r="V161" i="2" s="1"/>
  <c r="V162" i="2" s="1"/>
  <c r="V163" i="2" s="1"/>
  <c r="V164" i="2" s="1"/>
  <c r="V165" i="2" s="1"/>
  <c r="V166" i="2" s="1"/>
  <c r="V167" i="2" s="1"/>
  <c r="V168" i="2" s="1"/>
  <c r="V169" i="2" s="1"/>
  <c r="V170" i="2" s="1"/>
  <c r="V171" i="2" s="1"/>
  <c r="V172" i="2" s="1"/>
  <c r="V173" i="2" s="1"/>
  <c r="V174" i="2" s="1"/>
  <c r="V175" i="2" s="1"/>
  <c r="V176" i="2" s="1"/>
  <c r="V177" i="2" s="1"/>
  <c r="V178" i="2" s="1"/>
  <c r="V179" i="2" s="1"/>
  <c r="V180" i="2" s="1"/>
  <c r="V181" i="2" s="1"/>
  <c r="V182" i="2" s="1"/>
  <c r="V183" i="2" s="1"/>
  <c r="V184" i="2" s="1"/>
  <c r="V185" i="2" s="1"/>
  <c r="V186" i="2" s="1"/>
  <c r="V187" i="2" s="1"/>
  <c r="V188" i="2" s="1"/>
  <c r="V189" i="2" s="1"/>
  <c r="V190" i="2" s="1"/>
  <c r="V191" i="2" s="1"/>
  <c r="V192" i="2" s="1"/>
  <c r="V193" i="2" s="1"/>
  <c r="V194" i="2" s="1"/>
  <c r="V195" i="2" s="1"/>
  <c r="V196" i="2" s="1"/>
  <c r="V197" i="2" s="1"/>
  <c r="V198" i="2" s="1"/>
  <c r="V199" i="2" s="1"/>
  <c r="V200" i="2" s="1"/>
  <c r="V201" i="2" s="1"/>
  <c r="V202" i="2" s="1"/>
  <c r="V203" i="2" s="1"/>
  <c r="V204" i="2" s="1"/>
  <c r="V205" i="2" s="1"/>
  <c r="V206" i="2" s="1"/>
  <c r="V207" i="2" s="1"/>
  <c r="V208" i="2" s="1"/>
  <c r="V209" i="2" s="1"/>
  <c r="V210" i="2" s="1"/>
  <c r="V211" i="2" s="1"/>
  <c r="V212" i="2" s="1"/>
  <c r="V213" i="2" s="1"/>
  <c r="V214" i="2" s="1"/>
  <c r="V215" i="2" s="1"/>
  <c r="V216" i="2" s="1"/>
  <c r="V217" i="2" s="1"/>
  <c r="V218" i="2" s="1"/>
  <c r="V219" i="2" s="1"/>
  <c r="V220" i="2" s="1"/>
  <c r="V221" i="2" s="1"/>
  <c r="V222" i="2" s="1"/>
  <c r="V223" i="2" s="1"/>
  <c r="V224" i="2" s="1"/>
  <c r="V225" i="2" s="1"/>
  <c r="V226" i="2" s="1"/>
  <c r="V227" i="2" s="1"/>
  <c r="V228" i="2" s="1"/>
  <c r="V229" i="2" s="1"/>
  <c r="V230" i="2" s="1"/>
  <c r="V231" i="2" s="1"/>
  <c r="V232" i="2" s="1"/>
  <c r="V233" i="2" s="1"/>
  <c r="V234" i="2" s="1"/>
  <c r="V235" i="2" s="1"/>
  <c r="V236" i="2" s="1"/>
  <c r="V237" i="2" s="1"/>
  <c r="V238" i="2" s="1"/>
  <c r="V239" i="2" s="1"/>
  <c r="V240" i="2" s="1"/>
  <c r="V241" i="2" s="1"/>
  <c r="V242" i="2" s="1"/>
  <c r="V243" i="2" s="1"/>
  <c r="V244" i="2" s="1"/>
  <c r="V245" i="2" s="1"/>
  <c r="V246" i="2" s="1"/>
  <c r="V247" i="2" s="1"/>
  <c r="V248" i="2" s="1"/>
  <c r="V249" i="2" s="1"/>
  <c r="V250" i="2" s="1"/>
  <c r="V251" i="2" s="1"/>
  <c r="V252" i="2" s="1"/>
  <c r="V253" i="2" s="1"/>
  <c r="V254" i="2" s="1"/>
  <c r="V255" i="2" s="1"/>
  <c r="V256" i="2" s="1"/>
  <c r="V257" i="2" s="1"/>
  <c r="V258" i="2" s="1"/>
  <c r="V259" i="2" s="1"/>
  <c r="V260" i="2" s="1"/>
  <c r="V261" i="2" s="1"/>
  <c r="V262" i="2" s="1"/>
  <c r="V263" i="2" s="1"/>
  <c r="V264" i="2" s="1"/>
  <c r="V265" i="2" s="1"/>
  <c r="V266" i="2" s="1"/>
  <c r="V267" i="2" s="1"/>
  <c r="V268" i="2" s="1"/>
  <c r="V269" i="2" s="1"/>
  <c r="V270" i="2" s="1"/>
  <c r="V271" i="2" s="1"/>
  <c r="V272" i="2" s="1"/>
  <c r="V273" i="2" s="1"/>
  <c r="V274" i="2" s="1"/>
  <c r="V275" i="2" s="1"/>
  <c r="V276" i="2" s="1"/>
  <c r="V277" i="2" s="1"/>
  <c r="V278" i="2" s="1"/>
  <c r="V279" i="2" s="1"/>
  <c r="V280" i="2" s="1"/>
  <c r="V281" i="2" s="1"/>
  <c r="V282" i="2" s="1"/>
  <c r="V283" i="2" s="1"/>
  <c r="V284" i="2" s="1"/>
  <c r="V285" i="2" s="1"/>
  <c r="V286" i="2" s="1"/>
  <c r="V287" i="2" s="1"/>
  <c r="V288" i="2" s="1"/>
  <c r="V289" i="2" s="1"/>
  <c r="V290" i="2" s="1"/>
  <c r="V291" i="2" s="1"/>
  <c r="V292" i="2" s="1"/>
  <c r="V293" i="2" s="1"/>
  <c r="V294" i="2" s="1"/>
  <c r="V295" i="2" s="1"/>
  <c r="V296" i="2" s="1"/>
  <c r="V297" i="2" s="1"/>
  <c r="V298" i="2" s="1"/>
  <c r="V299" i="2" s="1"/>
  <c r="V300" i="2" s="1"/>
  <c r="V301" i="2" s="1"/>
  <c r="V302" i="2" s="1"/>
  <c r="V303" i="2" s="1"/>
  <c r="V304" i="2" s="1"/>
  <c r="V305" i="2" s="1"/>
  <c r="V306" i="2" s="1"/>
  <c r="V307" i="2" s="1"/>
  <c r="V308" i="2" s="1"/>
  <c r="V309" i="2" s="1"/>
  <c r="V310" i="2" s="1"/>
  <c r="V311" i="2" s="1"/>
  <c r="V312" i="2" s="1"/>
  <c r="V313" i="2" s="1"/>
  <c r="V314" i="2" s="1"/>
  <c r="V315" i="2" s="1"/>
  <c r="V316" i="2" s="1"/>
  <c r="V317" i="2" s="1"/>
  <c r="V318" i="2" s="1"/>
  <c r="V319" i="2" s="1"/>
  <c r="V320" i="2" s="1"/>
  <c r="V321" i="2" s="1"/>
  <c r="V322" i="2" s="1"/>
  <c r="V323" i="2" s="1"/>
  <c r="V324" i="2" s="1"/>
  <c r="V325" i="2" s="1"/>
  <c r="V326" i="2" s="1"/>
  <c r="V327" i="2" s="1"/>
  <c r="V328" i="2" s="1"/>
  <c r="V329" i="2" s="1"/>
  <c r="V330" i="2" s="1"/>
  <c r="V331" i="2" s="1"/>
  <c r="V332" i="2" s="1"/>
  <c r="V333" i="2" s="1"/>
  <c r="V334" i="2" s="1"/>
  <c r="V335" i="2" s="1"/>
  <c r="V336" i="2" s="1"/>
  <c r="V337" i="2" s="1"/>
  <c r="V338" i="2" s="1"/>
  <c r="V339" i="2" s="1"/>
  <c r="V340" i="2" s="1"/>
  <c r="V341" i="2" s="1"/>
  <c r="V342" i="2" s="1"/>
  <c r="V343" i="2" s="1"/>
  <c r="V344" i="2" s="1"/>
  <c r="V345" i="2" s="1"/>
  <c r="V346" i="2" s="1"/>
  <c r="V347" i="2" s="1"/>
  <c r="V348" i="2" s="1"/>
  <c r="V349" i="2" s="1"/>
  <c r="V350" i="2" s="1"/>
  <c r="V351" i="2" s="1"/>
  <c r="V352" i="2" s="1"/>
  <c r="V353" i="2" s="1"/>
  <c r="V354" i="2" s="1"/>
  <c r="V355" i="2" s="1"/>
  <c r="V356" i="2" s="1"/>
  <c r="V357" i="2" s="1"/>
  <c r="V358" i="2" s="1"/>
  <c r="V359" i="2" s="1"/>
  <c r="V360" i="2" s="1"/>
  <c r="V361" i="2" s="1"/>
  <c r="V362" i="2" s="1"/>
  <c r="V363" i="2" s="1"/>
  <c r="V364" i="2" s="1"/>
  <c r="V365" i="2" s="1"/>
  <c r="V366" i="2" s="1"/>
  <c r="V367" i="2" s="1"/>
  <c r="V368" i="2" s="1"/>
  <c r="V369" i="2" s="1"/>
  <c r="V370" i="2" s="1"/>
  <c r="V371" i="2" s="1"/>
  <c r="V372" i="2" s="1"/>
  <c r="V373" i="2" s="1"/>
  <c r="V374" i="2" s="1"/>
  <c r="V375" i="2" s="1"/>
  <c r="V376" i="2" s="1"/>
  <c r="V377" i="2" s="1"/>
  <c r="V378" i="2" s="1"/>
  <c r="V379" i="2" s="1"/>
  <c r="V380" i="2" s="1"/>
  <c r="V381" i="2" s="1"/>
  <c r="V382" i="2" s="1"/>
  <c r="V383" i="2" s="1"/>
  <c r="V384" i="2" s="1"/>
  <c r="V385" i="2" s="1"/>
  <c r="V386" i="2" s="1"/>
  <c r="V387" i="2" s="1"/>
  <c r="V388" i="2" s="1"/>
  <c r="V389" i="2" s="1"/>
  <c r="V390" i="2" s="1"/>
  <c r="V391" i="2" s="1"/>
  <c r="V392" i="2" s="1"/>
  <c r="V393" i="2" s="1"/>
  <c r="V394" i="2" s="1"/>
  <c r="V395" i="2" s="1"/>
  <c r="V396" i="2" s="1"/>
  <c r="V397" i="2" s="1"/>
  <c r="V398" i="2" s="1"/>
  <c r="V399" i="2" s="1"/>
  <c r="V400" i="2" s="1"/>
  <c r="V401" i="2" s="1"/>
  <c r="V402" i="2" s="1"/>
  <c r="V403" i="2" s="1"/>
  <c r="V404" i="2" s="1"/>
  <c r="V405" i="2" s="1"/>
  <c r="V406" i="2" s="1"/>
  <c r="V407" i="2" s="1"/>
  <c r="V408" i="2" s="1"/>
  <c r="V409" i="2" s="1"/>
  <c r="V410" i="2" s="1"/>
  <c r="V411" i="2" s="1"/>
  <c r="V412" i="2" s="1"/>
  <c r="V413" i="2" s="1"/>
  <c r="V414" i="2" s="1"/>
  <c r="V415" i="2" s="1"/>
  <c r="V416" i="2" s="1"/>
  <c r="V417" i="2" s="1"/>
  <c r="V418" i="2" s="1"/>
  <c r="V419" i="2" s="1"/>
  <c r="V420" i="2" s="1"/>
  <c r="V421" i="2" s="1"/>
  <c r="V422" i="2" s="1"/>
  <c r="V423" i="2" s="1"/>
  <c r="V424" i="2" s="1"/>
  <c r="V425" i="2" s="1"/>
  <c r="V426" i="2" s="1"/>
  <c r="V427" i="2" s="1"/>
  <c r="V428" i="2" s="1"/>
  <c r="V429" i="2" s="1"/>
  <c r="V430" i="2" s="1"/>
  <c r="V431" i="2" s="1"/>
  <c r="V432" i="2" s="1"/>
  <c r="V433" i="2" s="1"/>
  <c r="V434" i="2" s="1"/>
  <c r="V435" i="2" s="1"/>
  <c r="V436" i="2" s="1"/>
  <c r="V437" i="2" s="1"/>
  <c r="V438" i="2" s="1"/>
  <c r="V439" i="2" s="1"/>
  <c r="V440" i="2" s="1"/>
  <c r="V441" i="2" s="1"/>
  <c r="V442" i="2" s="1"/>
  <c r="V443" i="2" s="1"/>
  <c r="V444" i="2" s="1"/>
  <c r="V445" i="2" s="1"/>
  <c r="V446" i="2" s="1"/>
  <c r="V447" i="2" s="1"/>
  <c r="V448" i="2" s="1"/>
  <c r="V449" i="2" s="1"/>
  <c r="V450" i="2" s="1"/>
  <c r="V451" i="2" s="1"/>
  <c r="V452" i="2" s="1"/>
  <c r="V453" i="2" s="1"/>
  <c r="V454" i="2" s="1"/>
  <c r="V455" i="2" s="1"/>
  <c r="V456" i="2" s="1"/>
  <c r="V457" i="2" s="1"/>
  <c r="V458" i="2" s="1"/>
  <c r="V459" i="2" s="1"/>
  <c r="V460" i="2" s="1"/>
  <c r="V461" i="2" s="1"/>
  <c r="V462" i="2" s="1"/>
  <c r="V463" i="2" s="1"/>
  <c r="V464" i="2" s="1"/>
  <c r="V465" i="2" s="1"/>
  <c r="V466" i="2" s="1"/>
  <c r="V467" i="2" s="1"/>
  <c r="V468" i="2" s="1"/>
  <c r="V469" i="2" s="1"/>
  <c r="V470" i="2" s="1"/>
  <c r="V471" i="2" s="1"/>
  <c r="V472" i="2" s="1"/>
  <c r="V473" i="2" s="1"/>
  <c r="V474" i="2" s="1"/>
  <c r="V475" i="2" s="1"/>
  <c r="V476" i="2" s="1"/>
  <c r="V477" i="2" s="1"/>
  <c r="V478" i="2" s="1"/>
  <c r="V479" i="2" s="1"/>
  <c r="V480" i="2" s="1"/>
  <c r="V481" i="2" s="1"/>
  <c r="V482" i="2" s="1"/>
  <c r="V483" i="2" s="1"/>
  <c r="V484" i="2" s="1"/>
  <c r="V485" i="2" s="1"/>
  <c r="V486" i="2" s="1"/>
  <c r="V487" i="2" s="1"/>
  <c r="V488" i="2" s="1"/>
  <c r="V489" i="2" s="1"/>
  <c r="V490" i="2" s="1"/>
  <c r="V491" i="2" s="1"/>
  <c r="V492" i="2" s="1"/>
  <c r="V493" i="2" s="1"/>
  <c r="V494" i="2" s="1"/>
  <c r="V495" i="2" s="1"/>
  <c r="V496" i="2" s="1"/>
  <c r="V497" i="2" s="1"/>
  <c r="V498" i="2" s="1"/>
  <c r="V499" i="2" s="1"/>
  <c r="V500" i="2" s="1"/>
  <c r="V501" i="2" s="1"/>
  <c r="V502" i="2" s="1"/>
  <c r="V503" i="2" s="1"/>
  <c r="V504" i="2" s="1"/>
  <c r="V505" i="2" s="1"/>
  <c r="V506" i="2" s="1"/>
  <c r="V507" i="2" s="1"/>
  <c r="V508" i="2" s="1"/>
  <c r="V509" i="2" s="1"/>
  <c r="V510" i="2" s="1"/>
  <c r="V511" i="2" s="1"/>
  <c r="V512" i="2" s="1"/>
  <c r="V513" i="2" s="1"/>
  <c r="V514" i="2" s="1"/>
  <c r="V515" i="2" s="1"/>
  <c r="V516" i="2" s="1"/>
  <c r="V517" i="2" s="1"/>
  <c r="V518" i="2" s="1"/>
  <c r="V519" i="2" s="1"/>
  <c r="V520" i="2" s="1"/>
  <c r="V521" i="2" s="1"/>
  <c r="V522" i="2" s="1"/>
  <c r="V523" i="2" s="1"/>
  <c r="V524" i="2" s="1"/>
  <c r="V525" i="2" s="1"/>
  <c r="V526" i="2" s="1"/>
  <c r="V527" i="2" s="1"/>
  <c r="V528" i="2" s="1"/>
  <c r="V529" i="2" s="1"/>
  <c r="V530" i="2" s="1"/>
  <c r="V531" i="2" s="1"/>
  <c r="V532" i="2" s="1"/>
  <c r="V533" i="2" s="1"/>
  <c r="V534" i="2" s="1"/>
  <c r="V535" i="2" s="1"/>
  <c r="V536" i="2" s="1"/>
  <c r="V537" i="2" s="1"/>
  <c r="V538" i="2" s="1"/>
  <c r="V539" i="2" s="1"/>
  <c r="V540" i="2" s="1"/>
  <c r="V541" i="2" s="1"/>
  <c r="V542" i="2" s="1"/>
  <c r="V543" i="2" s="1"/>
  <c r="V544" i="2" s="1"/>
  <c r="V545" i="2" s="1"/>
  <c r="V546" i="2" s="1"/>
  <c r="V547" i="2" s="1"/>
  <c r="V548" i="2" s="1"/>
  <c r="V549" i="2" s="1"/>
  <c r="V550" i="2" s="1"/>
  <c r="V551" i="2" s="1"/>
  <c r="V552" i="2" s="1"/>
  <c r="V553" i="2" s="1"/>
  <c r="V554" i="2" s="1"/>
  <c r="V555" i="2" s="1"/>
  <c r="V556" i="2" s="1"/>
  <c r="V557" i="2" s="1"/>
  <c r="V558" i="2" s="1"/>
  <c r="V559" i="2" s="1"/>
  <c r="V560" i="2" s="1"/>
  <c r="V561" i="2" s="1"/>
  <c r="V562" i="2" s="1"/>
  <c r="V563" i="2" s="1"/>
  <c r="V564" i="2" s="1"/>
  <c r="V565" i="2" s="1"/>
  <c r="V566" i="2" s="1"/>
  <c r="V567" i="2" s="1"/>
  <c r="V568" i="2" s="1"/>
  <c r="V569" i="2" s="1"/>
  <c r="V570" i="2" s="1"/>
  <c r="V571" i="2" s="1"/>
  <c r="V572" i="2" s="1"/>
  <c r="V573" i="2" s="1"/>
  <c r="V574" i="2" s="1"/>
  <c r="V575" i="2" s="1"/>
  <c r="V576" i="2" s="1"/>
  <c r="V577" i="2" s="1"/>
  <c r="V578" i="2" s="1"/>
  <c r="V579" i="2" s="1"/>
  <c r="V580" i="2" s="1"/>
  <c r="V581" i="2" s="1"/>
  <c r="V582" i="2" s="1"/>
  <c r="V583" i="2" s="1"/>
  <c r="V584" i="2" s="1"/>
  <c r="V585" i="2" s="1"/>
  <c r="V586" i="2" s="1"/>
  <c r="V587" i="2" s="1"/>
  <c r="V588" i="2" s="1"/>
  <c r="V589" i="2" s="1"/>
  <c r="V590" i="2" s="1"/>
  <c r="V591" i="2" s="1"/>
  <c r="V592" i="2" s="1"/>
  <c r="V593" i="2" s="1"/>
  <c r="V594" i="2" s="1"/>
  <c r="V595" i="2" s="1"/>
  <c r="V596" i="2" s="1"/>
  <c r="V597" i="2" s="1"/>
  <c r="V598" i="2" s="1"/>
  <c r="V599" i="2" s="1"/>
  <c r="V600" i="2" s="1"/>
  <c r="V601" i="2" s="1"/>
  <c r="V602" i="2" s="1"/>
  <c r="V603" i="2" s="1"/>
  <c r="V604" i="2" s="1"/>
  <c r="V605" i="2" s="1"/>
  <c r="V606" i="2" s="1"/>
  <c r="V607" i="2" s="1"/>
  <c r="V608" i="2" s="1"/>
  <c r="V609" i="2" s="1"/>
  <c r="V610" i="2" s="1"/>
  <c r="V611" i="2" s="1"/>
  <c r="V612" i="2" s="1"/>
  <c r="V613" i="2" s="1"/>
  <c r="V614" i="2" s="1"/>
  <c r="V615" i="2" s="1"/>
  <c r="V616" i="2" s="1"/>
  <c r="V617" i="2" s="1"/>
  <c r="V618" i="2" s="1"/>
  <c r="V619" i="2" s="1"/>
  <c r="V620" i="2" s="1"/>
  <c r="V621" i="2" s="1"/>
  <c r="V622" i="2" s="1"/>
  <c r="V623" i="2" s="1"/>
  <c r="V624" i="2" s="1"/>
  <c r="V625" i="2" s="1"/>
  <c r="V626" i="2" s="1"/>
  <c r="V627" i="2" s="1"/>
  <c r="V628" i="2" s="1"/>
  <c r="V629" i="2" s="1"/>
  <c r="V630" i="2" s="1"/>
  <c r="V631" i="2" s="1"/>
  <c r="V632" i="2" s="1"/>
  <c r="V633" i="2" s="1"/>
  <c r="V634" i="2" s="1"/>
  <c r="V635" i="2" s="1"/>
  <c r="V636" i="2" s="1"/>
  <c r="V637" i="2" s="1"/>
  <c r="V638" i="2" s="1"/>
  <c r="V639" i="2" s="1"/>
  <c r="V640" i="2" s="1"/>
  <c r="V641" i="2" s="1"/>
  <c r="V642" i="2" s="1"/>
  <c r="V643" i="2" s="1"/>
  <c r="V644" i="2" s="1"/>
  <c r="V645" i="2" s="1"/>
  <c r="V646" i="2" s="1"/>
  <c r="V647" i="2" s="1"/>
  <c r="V648" i="2" s="1"/>
  <c r="V649" i="2" s="1"/>
  <c r="V650" i="2" s="1"/>
  <c r="V651" i="2" s="1"/>
  <c r="V652" i="2" s="1"/>
  <c r="V653" i="2" s="1"/>
  <c r="V654" i="2" s="1"/>
  <c r="V655" i="2" s="1"/>
  <c r="V656" i="2" s="1"/>
  <c r="V657" i="2" s="1"/>
  <c r="V658" i="2" s="1"/>
  <c r="V659" i="2" s="1"/>
  <c r="V660" i="2" s="1"/>
  <c r="V661" i="2" s="1"/>
  <c r="V662" i="2" s="1"/>
  <c r="V663" i="2" s="1"/>
  <c r="V664" i="2" s="1"/>
  <c r="V665" i="2" s="1"/>
  <c r="V666" i="2" s="1"/>
  <c r="V667" i="2" s="1"/>
  <c r="V668" i="2" s="1"/>
  <c r="V669" i="2" s="1"/>
  <c r="V670" i="2" s="1"/>
  <c r="V671" i="2" s="1"/>
  <c r="V672" i="2" s="1"/>
  <c r="V673" i="2" s="1"/>
  <c r="V674" i="2" s="1"/>
  <c r="V675" i="2" s="1"/>
  <c r="V676" i="2" s="1"/>
  <c r="V677" i="2" s="1"/>
  <c r="V678" i="2" s="1"/>
  <c r="V679" i="2" s="1"/>
  <c r="V680" i="2" s="1"/>
  <c r="V681" i="2" s="1"/>
  <c r="V682" i="2" s="1"/>
  <c r="V683" i="2" s="1"/>
  <c r="V684" i="2" s="1"/>
  <c r="V685" i="2" s="1"/>
  <c r="V686" i="2" s="1"/>
  <c r="V687" i="2" s="1"/>
  <c r="V688" i="2" s="1"/>
  <c r="V689" i="2" s="1"/>
  <c r="V690" i="2" s="1"/>
  <c r="V691" i="2" s="1"/>
  <c r="V692" i="2" s="1"/>
  <c r="V693" i="2" s="1"/>
  <c r="V694" i="2" s="1"/>
  <c r="V695" i="2" s="1"/>
  <c r="V696" i="2" s="1"/>
  <c r="V697" i="2" s="1"/>
  <c r="V698" i="2" s="1"/>
  <c r="V699" i="2" s="1"/>
  <c r="V700" i="2" s="1"/>
  <c r="V701" i="2" s="1"/>
  <c r="V702" i="2" s="1"/>
  <c r="V703" i="2" s="1"/>
  <c r="V704" i="2" s="1"/>
  <c r="V705" i="2" s="1"/>
  <c r="V706" i="2" s="1"/>
  <c r="V707" i="2" s="1"/>
  <c r="V708" i="2" s="1"/>
  <c r="V709" i="2" s="1"/>
  <c r="V710" i="2" s="1"/>
  <c r="V711" i="2" s="1"/>
  <c r="V712" i="2" s="1"/>
  <c r="V713" i="2" s="1"/>
  <c r="V714" i="2" s="1"/>
  <c r="V715" i="2" s="1"/>
  <c r="V716" i="2" s="1"/>
  <c r="V717" i="2" s="1"/>
  <c r="V718" i="2" s="1"/>
  <c r="V719" i="2" s="1"/>
  <c r="V720" i="2" s="1"/>
  <c r="V721" i="2" s="1"/>
  <c r="V722" i="2" s="1"/>
  <c r="V723" i="2" s="1"/>
  <c r="V724" i="2" s="1"/>
  <c r="V725" i="2" s="1"/>
  <c r="V726" i="2" s="1"/>
  <c r="V727" i="2" s="1"/>
  <c r="V728" i="2" s="1"/>
  <c r="V729" i="2" s="1"/>
  <c r="V730" i="2" s="1"/>
  <c r="V731" i="2" s="1"/>
  <c r="V732" i="2" s="1"/>
  <c r="U3" i="2"/>
  <c r="U4" i="2" s="1"/>
  <c r="U5" i="2" s="1"/>
  <c r="U6" i="2" s="1"/>
  <c r="U7" i="2" s="1"/>
  <c r="U8" i="2" s="1"/>
  <c r="U9" i="2" s="1"/>
  <c r="U10" i="2" s="1"/>
  <c r="U11" i="2" s="1"/>
  <c r="U12" i="2" s="1"/>
  <c r="U13" i="2" s="1"/>
  <c r="U14" i="2" s="1"/>
  <c r="U15" i="2" s="1"/>
  <c r="U16" i="2" s="1"/>
  <c r="U17" i="2" s="1"/>
  <c r="U18" i="2" s="1"/>
  <c r="U19" i="2" s="1"/>
  <c r="U20" i="2" s="1"/>
  <c r="U21" i="2" s="1"/>
  <c r="U22" i="2" s="1"/>
  <c r="U23" i="2" s="1"/>
  <c r="U24" i="2" s="1"/>
  <c r="U25" i="2" s="1"/>
  <c r="U26" i="2" s="1"/>
  <c r="U27" i="2" s="1"/>
  <c r="U28" i="2" s="1"/>
  <c r="U29" i="2" s="1"/>
  <c r="U30" i="2" s="1"/>
  <c r="U31" i="2" s="1"/>
  <c r="U32" i="2" s="1"/>
  <c r="U33" i="2" s="1"/>
  <c r="U34" i="2" s="1"/>
  <c r="U35" i="2" s="1"/>
  <c r="U36" i="2" s="1"/>
  <c r="U37" i="2" s="1"/>
  <c r="U38" i="2" s="1"/>
  <c r="U39" i="2" s="1"/>
  <c r="U40" i="2" s="1"/>
  <c r="U41" i="2" s="1"/>
  <c r="U42" i="2" s="1"/>
  <c r="U43" i="2" s="1"/>
  <c r="U44" i="2" s="1"/>
  <c r="U45" i="2" s="1"/>
  <c r="U46" i="2" s="1"/>
  <c r="U47" i="2" s="1"/>
  <c r="U48" i="2" s="1"/>
  <c r="U49" i="2" s="1"/>
  <c r="U50" i="2" s="1"/>
  <c r="U51" i="2" s="1"/>
  <c r="U52" i="2" s="1"/>
  <c r="U53" i="2" s="1"/>
  <c r="U54" i="2" s="1"/>
  <c r="U55" i="2" s="1"/>
  <c r="U56" i="2" s="1"/>
  <c r="U57" i="2" s="1"/>
  <c r="U58" i="2" s="1"/>
  <c r="U59" i="2" s="1"/>
  <c r="U60" i="2" s="1"/>
  <c r="U61" i="2" s="1"/>
  <c r="U62" i="2" s="1"/>
  <c r="U63" i="2" s="1"/>
  <c r="U64" i="2" s="1"/>
  <c r="U65" i="2" s="1"/>
  <c r="U66" i="2" s="1"/>
  <c r="U67" i="2" s="1"/>
  <c r="U68" i="2" s="1"/>
  <c r="U69" i="2" s="1"/>
  <c r="U70" i="2" s="1"/>
  <c r="U71" i="2" s="1"/>
  <c r="U72" i="2" s="1"/>
  <c r="U73" i="2" s="1"/>
  <c r="U74" i="2" s="1"/>
  <c r="U75" i="2" s="1"/>
  <c r="U76" i="2" s="1"/>
  <c r="U77" i="2" s="1"/>
  <c r="U78" i="2" s="1"/>
  <c r="U79" i="2" s="1"/>
  <c r="U80" i="2" s="1"/>
  <c r="U81" i="2" s="1"/>
  <c r="U82" i="2" s="1"/>
  <c r="U83" i="2" s="1"/>
  <c r="U84" i="2" s="1"/>
  <c r="U85" i="2" s="1"/>
  <c r="U86" i="2" s="1"/>
  <c r="U87" i="2" s="1"/>
  <c r="U88" i="2" s="1"/>
  <c r="U89" i="2" s="1"/>
  <c r="U90" i="2" s="1"/>
  <c r="U91" i="2" s="1"/>
  <c r="U92" i="2" s="1"/>
  <c r="U93" i="2" s="1"/>
  <c r="U94" i="2" s="1"/>
  <c r="U95" i="2" s="1"/>
  <c r="U96" i="2" s="1"/>
  <c r="U97" i="2" s="1"/>
  <c r="U98" i="2" s="1"/>
  <c r="U99" i="2" s="1"/>
  <c r="U100" i="2" s="1"/>
  <c r="U101" i="2" s="1"/>
  <c r="U102" i="2" s="1"/>
  <c r="U103" i="2" s="1"/>
  <c r="U104" i="2" s="1"/>
  <c r="U105" i="2" s="1"/>
  <c r="U106" i="2" s="1"/>
  <c r="U107" i="2" s="1"/>
  <c r="U108" i="2" s="1"/>
  <c r="U109" i="2" s="1"/>
  <c r="U110" i="2" s="1"/>
  <c r="U111" i="2" s="1"/>
  <c r="U112" i="2" s="1"/>
  <c r="U113" i="2" s="1"/>
  <c r="U114" i="2" s="1"/>
  <c r="U115" i="2" s="1"/>
  <c r="U116" i="2" s="1"/>
  <c r="U117" i="2" s="1"/>
  <c r="U118" i="2" s="1"/>
  <c r="U119" i="2" s="1"/>
  <c r="U120" i="2" s="1"/>
  <c r="U121" i="2" s="1"/>
  <c r="U122" i="2" s="1"/>
  <c r="U123" i="2" s="1"/>
  <c r="U124" i="2" s="1"/>
  <c r="U125" i="2" s="1"/>
  <c r="U126" i="2" s="1"/>
  <c r="U127" i="2" s="1"/>
  <c r="U128" i="2" s="1"/>
  <c r="U129" i="2" s="1"/>
  <c r="U130" i="2" s="1"/>
  <c r="U131" i="2" s="1"/>
  <c r="U132" i="2" s="1"/>
  <c r="U133" i="2" s="1"/>
  <c r="U134" i="2" s="1"/>
  <c r="U135" i="2" s="1"/>
  <c r="U136" i="2" s="1"/>
  <c r="U137" i="2" s="1"/>
  <c r="U138" i="2" s="1"/>
  <c r="U139" i="2" s="1"/>
  <c r="U140" i="2" s="1"/>
  <c r="U141" i="2" s="1"/>
  <c r="U142" i="2" s="1"/>
  <c r="U143" i="2" s="1"/>
  <c r="U144" i="2" s="1"/>
  <c r="U145" i="2" s="1"/>
  <c r="U146" i="2" s="1"/>
  <c r="U147" i="2" s="1"/>
  <c r="U148" i="2" s="1"/>
  <c r="U149" i="2" s="1"/>
  <c r="U150" i="2" s="1"/>
  <c r="U151" i="2" s="1"/>
  <c r="U152" i="2" s="1"/>
  <c r="U153" i="2" s="1"/>
  <c r="U154" i="2" s="1"/>
  <c r="U155" i="2" s="1"/>
  <c r="U156" i="2" s="1"/>
  <c r="U157" i="2" s="1"/>
  <c r="U158" i="2" s="1"/>
  <c r="U159" i="2" s="1"/>
  <c r="U160" i="2" s="1"/>
  <c r="U161" i="2" s="1"/>
  <c r="U162" i="2" s="1"/>
  <c r="U163" i="2" s="1"/>
  <c r="U164" i="2" s="1"/>
  <c r="U165" i="2" s="1"/>
  <c r="U166" i="2" s="1"/>
  <c r="U167" i="2" s="1"/>
  <c r="U168" i="2" s="1"/>
  <c r="U169" i="2" s="1"/>
  <c r="U170" i="2" s="1"/>
  <c r="U171" i="2" s="1"/>
  <c r="U172" i="2" s="1"/>
  <c r="U173" i="2" s="1"/>
  <c r="U174" i="2" s="1"/>
  <c r="U175" i="2" s="1"/>
  <c r="U176" i="2" s="1"/>
  <c r="U177" i="2" s="1"/>
  <c r="U178" i="2" s="1"/>
  <c r="U179" i="2" s="1"/>
  <c r="U180" i="2" s="1"/>
  <c r="U181" i="2" s="1"/>
  <c r="U182" i="2" s="1"/>
  <c r="U183" i="2" s="1"/>
  <c r="U184" i="2" s="1"/>
  <c r="U185" i="2" s="1"/>
  <c r="U186" i="2" s="1"/>
  <c r="U187" i="2" s="1"/>
  <c r="U188" i="2" s="1"/>
  <c r="U189" i="2" s="1"/>
  <c r="U190" i="2" s="1"/>
  <c r="U191" i="2" s="1"/>
  <c r="U192" i="2" s="1"/>
  <c r="U193" i="2" s="1"/>
  <c r="U194" i="2" s="1"/>
  <c r="U195" i="2" s="1"/>
  <c r="U196" i="2" s="1"/>
  <c r="U197" i="2" s="1"/>
  <c r="U198" i="2" s="1"/>
  <c r="U199" i="2" s="1"/>
  <c r="U200" i="2" s="1"/>
  <c r="U201" i="2" s="1"/>
  <c r="U202" i="2" s="1"/>
  <c r="U203" i="2" s="1"/>
  <c r="U204" i="2" s="1"/>
  <c r="U205" i="2" s="1"/>
  <c r="U206" i="2" s="1"/>
  <c r="U207" i="2" s="1"/>
  <c r="U208" i="2" s="1"/>
  <c r="U209" i="2" s="1"/>
  <c r="U210" i="2" s="1"/>
  <c r="U211" i="2" s="1"/>
  <c r="U212" i="2" s="1"/>
  <c r="U213" i="2" s="1"/>
  <c r="U214" i="2" s="1"/>
  <c r="U215" i="2" s="1"/>
  <c r="U216" i="2" s="1"/>
  <c r="U217" i="2" s="1"/>
  <c r="U218" i="2" s="1"/>
  <c r="U219" i="2" s="1"/>
  <c r="U220" i="2" s="1"/>
  <c r="U221" i="2" s="1"/>
  <c r="U222" i="2" s="1"/>
  <c r="U223" i="2" s="1"/>
  <c r="U224" i="2" s="1"/>
  <c r="U225" i="2" s="1"/>
  <c r="U226" i="2" s="1"/>
  <c r="U227" i="2" s="1"/>
  <c r="U228" i="2" s="1"/>
  <c r="U229" i="2" s="1"/>
  <c r="U230" i="2" s="1"/>
  <c r="U231" i="2" s="1"/>
  <c r="U232" i="2" s="1"/>
  <c r="U233" i="2" s="1"/>
  <c r="U234" i="2" s="1"/>
  <c r="U235" i="2" s="1"/>
  <c r="U236" i="2" s="1"/>
  <c r="U237" i="2" s="1"/>
  <c r="U238" i="2" s="1"/>
  <c r="U239" i="2" s="1"/>
  <c r="U240" i="2" s="1"/>
  <c r="U241" i="2" s="1"/>
  <c r="U242" i="2" s="1"/>
  <c r="U243" i="2" s="1"/>
  <c r="U244" i="2" s="1"/>
  <c r="U245" i="2" s="1"/>
  <c r="U246" i="2" s="1"/>
  <c r="U247" i="2" s="1"/>
  <c r="U248" i="2" s="1"/>
  <c r="U249" i="2" s="1"/>
  <c r="U250" i="2" s="1"/>
  <c r="U251" i="2" s="1"/>
  <c r="U252" i="2" s="1"/>
  <c r="U253" i="2" s="1"/>
  <c r="U254" i="2" s="1"/>
  <c r="U255" i="2" s="1"/>
  <c r="U256" i="2" s="1"/>
  <c r="U257" i="2" s="1"/>
  <c r="U258" i="2" s="1"/>
  <c r="U259" i="2" s="1"/>
  <c r="U260" i="2" s="1"/>
  <c r="U261" i="2" s="1"/>
  <c r="U262" i="2" s="1"/>
  <c r="U263" i="2" s="1"/>
  <c r="U264" i="2" s="1"/>
  <c r="U265" i="2" s="1"/>
  <c r="U266" i="2" s="1"/>
  <c r="U267" i="2" s="1"/>
  <c r="U268" i="2" s="1"/>
  <c r="U269" i="2" s="1"/>
  <c r="U270" i="2" s="1"/>
  <c r="U271" i="2" s="1"/>
  <c r="U272" i="2" s="1"/>
  <c r="U273" i="2" s="1"/>
  <c r="U274" i="2" s="1"/>
  <c r="U275" i="2" s="1"/>
  <c r="U276" i="2" s="1"/>
  <c r="U277" i="2" s="1"/>
  <c r="U278" i="2" s="1"/>
  <c r="U279" i="2" s="1"/>
  <c r="U280" i="2" s="1"/>
  <c r="U281" i="2" s="1"/>
  <c r="U282" i="2" s="1"/>
  <c r="U283" i="2" s="1"/>
  <c r="U284" i="2" s="1"/>
  <c r="U285" i="2" s="1"/>
  <c r="U286" i="2" s="1"/>
  <c r="U287" i="2" s="1"/>
  <c r="U288" i="2" s="1"/>
  <c r="U289" i="2" s="1"/>
  <c r="U290" i="2" s="1"/>
  <c r="U291" i="2" s="1"/>
  <c r="U292" i="2" s="1"/>
  <c r="U293" i="2" s="1"/>
  <c r="U294" i="2" s="1"/>
  <c r="U295" i="2" s="1"/>
  <c r="U296" i="2" s="1"/>
  <c r="U297" i="2" s="1"/>
  <c r="U298" i="2" s="1"/>
  <c r="U299" i="2" s="1"/>
  <c r="U300" i="2" s="1"/>
  <c r="U301" i="2" s="1"/>
  <c r="U302" i="2" s="1"/>
  <c r="U303" i="2" s="1"/>
  <c r="U304" i="2" s="1"/>
  <c r="U305" i="2" s="1"/>
  <c r="U306" i="2" s="1"/>
  <c r="U307" i="2" s="1"/>
  <c r="U308" i="2" s="1"/>
  <c r="U309" i="2" s="1"/>
  <c r="U310" i="2" s="1"/>
  <c r="U311" i="2" s="1"/>
  <c r="U312" i="2" s="1"/>
  <c r="U313" i="2" s="1"/>
  <c r="U314" i="2" s="1"/>
  <c r="U315" i="2" s="1"/>
  <c r="U316" i="2" s="1"/>
  <c r="U317" i="2" s="1"/>
  <c r="U318" i="2" s="1"/>
  <c r="U319" i="2" s="1"/>
  <c r="U320" i="2" s="1"/>
  <c r="U321" i="2" s="1"/>
  <c r="U322" i="2" s="1"/>
  <c r="U323" i="2" s="1"/>
  <c r="U324" i="2" s="1"/>
  <c r="U325" i="2" s="1"/>
  <c r="U326" i="2" s="1"/>
  <c r="U327" i="2" s="1"/>
  <c r="U328" i="2" s="1"/>
  <c r="U329" i="2" s="1"/>
  <c r="U330" i="2" s="1"/>
  <c r="U331" i="2" s="1"/>
  <c r="U332" i="2" s="1"/>
  <c r="U333" i="2" s="1"/>
  <c r="U334" i="2" s="1"/>
  <c r="U335" i="2" s="1"/>
  <c r="U336" i="2" s="1"/>
  <c r="U337" i="2" s="1"/>
  <c r="U338" i="2" s="1"/>
  <c r="U339" i="2" s="1"/>
  <c r="U340" i="2" s="1"/>
  <c r="U341" i="2" s="1"/>
  <c r="U342" i="2" s="1"/>
  <c r="U343" i="2" s="1"/>
  <c r="U344" i="2" s="1"/>
  <c r="U345" i="2" s="1"/>
  <c r="U346" i="2" s="1"/>
  <c r="U347" i="2" s="1"/>
  <c r="U348" i="2" s="1"/>
  <c r="U349" i="2" s="1"/>
  <c r="U350" i="2" s="1"/>
  <c r="U351" i="2" s="1"/>
  <c r="U352" i="2" s="1"/>
  <c r="U353" i="2" s="1"/>
  <c r="U354" i="2" s="1"/>
  <c r="U355" i="2" s="1"/>
  <c r="U356" i="2" s="1"/>
  <c r="U357" i="2" s="1"/>
  <c r="U358" i="2" s="1"/>
  <c r="U359" i="2" s="1"/>
  <c r="U360" i="2" s="1"/>
  <c r="U361" i="2" s="1"/>
  <c r="U362" i="2" s="1"/>
  <c r="U363" i="2" s="1"/>
  <c r="U364" i="2" s="1"/>
  <c r="U365" i="2" s="1"/>
  <c r="U366" i="2" s="1"/>
  <c r="U367" i="2" s="1"/>
  <c r="U368" i="2" s="1"/>
  <c r="U369" i="2" s="1"/>
  <c r="U370" i="2" s="1"/>
  <c r="U371" i="2" s="1"/>
  <c r="U372" i="2" s="1"/>
  <c r="U373" i="2" s="1"/>
  <c r="U374" i="2" s="1"/>
  <c r="U375" i="2" s="1"/>
  <c r="U376" i="2" s="1"/>
  <c r="U377" i="2" s="1"/>
  <c r="U378" i="2" s="1"/>
  <c r="U379" i="2" s="1"/>
  <c r="U380" i="2" s="1"/>
  <c r="U381" i="2" s="1"/>
  <c r="U382" i="2" s="1"/>
  <c r="U383" i="2" s="1"/>
  <c r="U384" i="2" s="1"/>
  <c r="U385" i="2" s="1"/>
  <c r="U386" i="2" s="1"/>
  <c r="U387" i="2" s="1"/>
  <c r="U388" i="2" s="1"/>
  <c r="U389" i="2" s="1"/>
  <c r="U390" i="2" s="1"/>
  <c r="U391" i="2" s="1"/>
  <c r="U392" i="2" s="1"/>
  <c r="U393" i="2" s="1"/>
  <c r="U394" i="2" s="1"/>
  <c r="U395" i="2" s="1"/>
  <c r="U396" i="2" s="1"/>
  <c r="U397" i="2" s="1"/>
  <c r="U398" i="2" s="1"/>
  <c r="U399" i="2" s="1"/>
  <c r="U400" i="2" s="1"/>
  <c r="U401" i="2" s="1"/>
  <c r="U402" i="2" s="1"/>
  <c r="U403" i="2" s="1"/>
  <c r="U404" i="2" s="1"/>
  <c r="U405" i="2" s="1"/>
  <c r="U406" i="2" s="1"/>
  <c r="U407" i="2" s="1"/>
  <c r="U408" i="2" s="1"/>
  <c r="U409" i="2" s="1"/>
  <c r="U410" i="2" s="1"/>
  <c r="U411" i="2" s="1"/>
  <c r="U412" i="2" s="1"/>
  <c r="U413" i="2" s="1"/>
  <c r="U414" i="2" s="1"/>
  <c r="U415" i="2" s="1"/>
  <c r="U416" i="2" s="1"/>
  <c r="U417" i="2" s="1"/>
  <c r="U418" i="2" s="1"/>
  <c r="U419" i="2" s="1"/>
  <c r="U420" i="2" s="1"/>
  <c r="U421" i="2" s="1"/>
  <c r="U422" i="2" s="1"/>
  <c r="U423" i="2" s="1"/>
  <c r="U424" i="2" s="1"/>
  <c r="U425" i="2" s="1"/>
  <c r="U426" i="2" s="1"/>
  <c r="U427" i="2" s="1"/>
  <c r="U428" i="2" s="1"/>
  <c r="U429" i="2" s="1"/>
  <c r="U430" i="2" s="1"/>
  <c r="U431" i="2" s="1"/>
  <c r="U432" i="2" s="1"/>
  <c r="U433" i="2" s="1"/>
  <c r="U434" i="2" s="1"/>
  <c r="U435" i="2" s="1"/>
  <c r="U436" i="2" s="1"/>
  <c r="U437" i="2" s="1"/>
  <c r="U438" i="2" s="1"/>
  <c r="U439" i="2" s="1"/>
  <c r="U440" i="2" s="1"/>
  <c r="U441" i="2" s="1"/>
  <c r="U442" i="2" s="1"/>
  <c r="U443" i="2" s="1"/>
  <c r="U444" i="2" s="1"/>
  <c r="U445" i="2" s="1"/>
  <c r="U446" i="2" s="1"/>
  <c r="U447" i="2" s="1"/>
  <c r="U448" i="2" s="1"/>
  <c r="U449" i="2" s="1"/>
  <c r="U450" i="2" s="1"/>
  <c r="U451" i="2" s="1"/>
  <c r="U452" i="2" s="1"/>
  <c r="U453" i="2" s="1"/>
  <c r="U454" i="2" s="1"/>
  <c r="U455" i="2" s="1"/>
  <c r="U456" i="2" s="1"/>
  <c r="U457" i="2" s="1"/>
  <c r="U458" i="2" s="1"/>
  <c r="U459" i="2" s="1"/>
  <c r="U460" i="2" s="1"/>
  <c r="U461" i="2" s="1"/>
  <c r="U462" i="2" s="1"/>
  <c r="U463" i="2" s="1"/>
  <c r="U464" i="2" s="1"/>
  <c r="U465" i="2" s="1"/>
  <c r="U466" i="2" s="1"/>
  <c r="U467" i="2" s="1"/>
  <c r="U468" i="2" s="1"/>
  <c r="U469" i="2" s="1"/>
  <c r="U470" i="2" s="1"/>
  <c r="U471" i="2" s="1"/>
  <c r="U472" i="2" s="1"/>
  <c r="U473" i="2" s="1"/>
  <c r="U474" i="2" s="1"/>
  <c r="U475" i="2" s="1"/>
  <c r="U476" i="2" s="1"/>
  <c r="U477" i="2" s="1"/>
  <c r="U478" i="2" s="1"/>
  <c r="U479" i="2" s="1"/>
  <c r="U480" i="2" s="1"/>
  <c r="U481" i="2" s="1"/>
  <c r="U482" i="2" s="1"/>
  <c r="U483" i="2" s="1"/>
  <c r="U484" i="2" s="1"/>
  <c r="U485" i="2" s="1"/>
  <c r="U486" i="2" s="1"/>
  <c r="U487" i="2" s="1"/>
  <c r="U488" i="2" s="1"/>
  <c r="U489" i="2" s="1"/>
  <c r="U490" i="2" s="1"/>
  <c r="U491" i="2" s="1"/>
  <c r="U492" i="2" s="1"/>
  <c r="U493" i="2" s="1"/>
  <c r="U494" i="2" s="1"/>
  <c r="U495" i="2" s="1"/>
  <c r="U496" i="2" s="1"/>
  <c r="U497" i="2" s="1"/>
  <c r="U498" i="2" s="1"/>
  <c r="U499" i="2" s="1"/>
  <c r="U500" i="2" s="1"/>
  <c r="U501" i="2" s="1"/>
  <c r="U502" i="2" s="1"/>
  <c r="U503" i="2" s="1"/>
  <c r="U504" i="2" s="1"/>
  <c r="U505" i="2" s="1"/>
  <c r="U506" i="2" s="1"/>
  <c r="U507" i="2" s="1"/>
  <c r="U508" i="2" s="1"/>
  <c r="U509" i="2" s="1"/>
  <c r="U510" i="2" s="1"/>
  <c r="U511" i="2" s="1"/>
  <c r="U512" i="2" s="1"/>
  <c r="U513" i="2" s="1"/>
  <c r="U514" i="2" s="1"/>
  <c r="U515" i="2" s="1"/>
  <c r="U516" i="2" s="1"/>
  <c r="U517" i="2" s="1"/>
  <c r="U518" i="2" s="1"/>
  <c r="U519" i="2" s="1"/>
  <c r="U520" i="2" s="1"/>
  <c r="U521" i="2" s="1"/>
  <c r="U522" i="2" s="1"/>
  <c r="U523" i="2" s="1"/>
  <c r="U524" i="2" s="1"/>
  <c r="U525" i="2" s="1"/>
  <c r="U526" i="2" s="1"/>
  <c r="U527" i="2" s="1"/>
  <c r="U528" i="2" s="1"/>
  <c r="U529" i="2" s="1"/>
  <c r="U530" i="2" s="1"/>
  <c r="U531" i="2" s="1"/>
  <c r="U532" i="2" s="1"/>
  <c r="U533" i="2" s="1"/>
  <c r="U534" i="2" s="1"/>
  <c r="U535" i="2" s="1"/>
  <c r="U536" i="2" s="1"/>
  <c r="U537" i="2" s="1"/>
  <c r="U538" i="2" s="1"/>
  <c r="U539" i="2" s="1"/>
  <c r="U540" i="2" s="1"/>
  <c r="U541" i="2" s="1"/>
  <c r="U542" i="2" s="1"/>
  <c r="U543" i="2" s="1"/>
  <c r="U544" i="2" s="1"/>
  <c r="U545" i="2" s="1"/>
  <c r="U546" i="2" s="1"/>
  <c r="U547" i="2" s="1"/>
  <c r="U548" i="2" s="1"/>
  <c r="U549" i="2" s="1"/>
  <c r="U550" i="2" s="1"/>
  <c r="U551" i="2" s="1"/>
  <c r="U552" i="2" s="1"/>
  <c r="U553" i="2" s="1"/>
  <c r="U554" i="2" s="1"/>
  <c r="U555" i="2" s="1"/>
  <c r="U556" i="2" s="1"/>
  <c r="U557" i="2" s="1"/>
  <c r="U558" i="2" s="1"/>
  <c r="U559" i="2" s="1"/>
  <c r="U560" i="2" s="1"/>
  <c r="U561" i="2" s="1"/>
  <c r="U562" i="2" s="1"/>
  <c r="U563" i="2" s="1"/>
  <c r="U564" i="2" s="1"/>
  <c r="U565" i="2" s="1"/>
  <c r="U566" i="2" s="1"/>
  <c r="U567" i="2" s="1"/>
  <c r="U568" i="2" s="1"/>
  <c r="U569" i="2" s="1"/>
  <c r="U570" i="2" s="1"/>
  <c r="U571" i="2" s="1"/>
  <c r="U572" i="2" s="1"/>
  <c r="U573" i="2" s="1"/>
  <c r="U574" i="2" s="1"/>
  <c r="U575" i="2" s="1"/>
  <c r="U576" i="2" s="1"/>
  <c r="U577" i="2" s="1"/>
  <c r="U578" i="2" s="1"/>
  <c r="U579" i="2" s="1"/>
  <c r="U580" i="2" s="1"/>
  <c r="U581" i="2" s="1"/>
  <c r="U582" i="2" s="1"/>
  <c r="U583" i="2" s="1"/>
  <c r="U584" i="2" s="1"/>
  <c r="U585" i="2" s="1"/>
  <c r="U586" i="2" s="1"/>
  <c r="U587" i="2" s="1"/>
  <c r="U588" i="2" s="1"/>
  <c r="U589" i="2" s="1"/>
  <c r="U590" i="2" s="1"/>
  <c r="U591" i="2" s="1"/>
  <c r="U592" i="2" s="1"/>
  <c r="U593" i="2" s="1"/>
  <c r="U594" i="2" s="1"/>
  <c r="U595" i="2" s="1"/>
  <c r="U596" i="2" s="1"/>
  <c r="U597" i="2" s="1"/>
  <c r="U598" i="2" s="1"/>
  <c r="U599" i="2" s="1"/>
  <c r="U600" i="2" s="1"/>
  <c r="U601" i="2" s="1"/>
  <c r="U602" i="2" s="1"/>
  <c r="U603" i="2" s="1"/>
  <c r="U604" i="2" s="1"/>
  <c r="U605" i="2" s="1"/>
  <c r="U606" i="2" s="1"/>
  <c r="U607" i="2" s="1"/>
  <c r="U608" i="2" s="1"/>
  <c r="U609" i="2" s="1"/>
  <c r="U610" i="2" s="1"/>
  <c r="U611" i="2" s="1"/>
  <c r="U612" i="2" s="1"/>
  <c r="U613" i="2" s="1"/>
  <c r="U614" i="2" s="1"/>
  <c r="U615" i="2" s="1"/>
  <c r="U616" i="2" s="1"/>
  <c r="U617" i="2" s="1"/>
  <c r="U618" i="2" s="1"/>
  <c r="U619" i="2" s="1"/>
  <c r="U620" i="2" s="1"/>
  <c r="U621" i="2" s="1"/>
  <c r="U622" i="2" s="1"/>
  <c r="U623" i="2" s="1"/>
  <c r="U624" i="2" s="1"/>
  <c r="U625" i="2" s="1"/>
  <c r="U626" i="2" s="1"/>
  <c r="U627" i="2" s="1"/>
  <c r="U628" i="2" s="1"/>
  <c r="U629" i="2" s="1"/>
  <c r="U630" i="2" s="1"/>
  <c r="U631" i="2" s="1"/>
  <c r="U632" i="2" s="1"/>
  <c r="U633" i="2" s="1"/>
  <c r="U634" i="2" s="1"/>
  <c r="U635" i="2" s="1"/>
  <c r="U636" i="2" s="1"/>
  <c r="U637" i="2" s="1"/>
  <c r="U638" i="2" s="1"/>
  <c r="U639" i="2" s="1"/>
  <c r="U640" i="2" s="1"/>
  <c r="U641" i="2" s="1"/>
  <c r="U642" i="2" s="1"/>
  <c r="U643" i="2" s="1"/>
  <c r="U644" i="2" s="1"/>
  <c r="U645" i="2" s="1"/>
  <c r="U646" i="2" s="1"/>
  <c r="U647" i="2" s="1"/>
  <c r="U648" i="2" s="1"/>
  <c r="U649" i="2" s="1"/>
  <c r="U650" i="2" s="1"/>
  <c r="U651" i="2" s="1"/>
  <c r="U652" i="2" s="1"/>
  <c r="U653" i="2" s="1"/>
  <c r="U654" i="2" s="1"/>
  <c r="U655" i="2" s="1"/>
  <c r="U656" i="2" s="1"/>
  <c r="U657" i="2" s="1"/>
  <c r="U658" i="2" s="1"/>
  <c r="U659" i="2" s="1"/>
  <c r="U660" i="2" s="1"/>
  <c r="U661" i="2" s="1"/>
  <c r="U662" i="2" s="1"/>
  <c r="U663" i="2" s="1"/>
  <c r="U664" i="2" s="1"/>
  <c r="U665" i="2" s="1"/>
  <c r="U666" i="2" s="1"/>
  <c r="U667" i="2" s="1"/>
  <c r="U668" i="2" s="1"/>
  <c r="U669" i="2" s="1"/>
  <c r="U670" i="2" s="1"/>
  <c r="U671" i="2" s="1"/>
  <c r="U672" i="2" s="1"/>
  <c r="U673" i="2" s="1"/>
  <c r="U674" i="2" s="1"/>
  <c r="U675" i="2" s="1"/>
  <c r="U676" i="2" s="1"/>
  <c r="U677" i="2" s="1"/>
  <c r="U678" i="2" s="1"/>
  <c r="U679" i="2" s="1"/>
  <c r="U680" i="2" s="1"/>
  <c r="U681" i="2" s="1"/>
  <c r="U682" i="2" s="1"/>
  <c r="U683" i="2" s="1"/>
  <c r="U684" i="2" s="1"/>
  <c r="U685" i="2" s="1"/>
  <c r="U686" i="2" s="1"/>
  <c r="U687" i="2" s="1"/>
  <c r="U688" i="2" s="1"/>
  <c r="U689" i="2" s="1"/>
  <c r="U690" i="2" s="1"/>
  <c r="U691" i="2" s="1"/>
  <c r="U692" i="2" s="1"/>
  <c r="U693" i="2" s="1"/>
  <c r="U694" i="2" s="1"/>
  <c r="U695" i="2" s="1"/>
  <c r="U696" i="2" s="1"/>
  <c r="U697" i="2" s="1"/>
  <c r="U698" i="2" s="1"/>
  <c r="U699" i="2" s="1"/>
  <c r="U700" i="2" s="1"/>
  <c r="U701" i="2" s="1"/>
  <c r="U702" i="2" s="1"/>
  <c r="U703" i="2" s="1"/>
  <c r="U704" i="2" s="1"/>
  <c r="U705" i="2" s="1"/>
  <c r="U706" i="2" s="1"/>
  <c r="U707" i="2" s="1"/>
  <c r="U708" i="2" s="1"/>
  <c r="U709" i="2" s="1"/>
  <c r="U710" i="2" s="1"/>
  <c r="U711" i="2" s="1"/>
  <c r="U712" i="2" s="1"/>
  <c r="U713" i="2" s="1"/>
  <c r="U714" i="2" s="1"/>
  <c r="U715" i="2" s="1"/>
  <c r="U716" i="2" s="1"/>
  <c r="U717" i="2" s="1"/>
  <c r="U718" i="2" s="1"/>
  <c r="U719" i="2" s="1"/>
  <c r="U720" i="2" s="1"/>
  <c r="U721" i="2" s="1"/>
  <c r="U722" i="2" s="1"/>
  <c r="U723" i="2" s="1"/>
  <c r="U724" i="2" s="1"/>
  <c r="U725" i="2" s="1"/>
  <c r="U726" i="2" s="1"/>
  <c r="U727" i="2" s="1"/>
  <c r="U728" i="2" s="1"/>
  <c r="U729" i="2" s="1"/>
  <c r="U730" i="2" s="1"/>
  <c r="U731" i="2" s="1"/>
  <c r="U732" i="2" s="1"/>
  <c r="T3" i="2"/>
  <c r="T4" i="2" s="1"/>
  <c r="T5" i="2" s="1"/>
  <c r="T6" i="2" s="1"/>
  <c r="T7" i="2"/>
  <c r="T8" i="2" s="1"/>
  <c r="T9" i="2" s="1"/>
  <c r="T10" i="2" s="1"/>
  <c r="T11" i="2" s="1"/>
  <c r="T12" i="2" s="1"/>
  <c r="T13" i="2" s="1"/>
  <c r="T14" i="2" s="1"/>
  <c r="T15" i="2" s="1"/>
  <c r="T16" i="2" s="1"/>
  <c r="T17" i="2" s="1"/>
  <c r="T18" i="2" s="1"/>
  <c r="T19" i="2" s="1"/>
  <c r="T20" i="2" s="1"/>
  <c r="T21" i="2" s="1"/>
  <c r="T22" i="2" s="1"/>
  <c r="T23" i="2" s="1"/>
  <c r="T24" i="2" s="1"/>
  <c r="T25" i="2" s="1"/>
  <c r="T26" i="2" s="1"/>
  <c r="T27" i="2" s="1"/>
  <c r="T28" i="2" s="1"/>
  <c r="T29" i="2" s="1"/>
  <c r="T30" i="2" s="1"/>
  <c r="T31" i="2" s="1"/>
  <c r="T32" i="2" s="1"/>
  <c r="T33" i="2" s="1"/>
  <c r="T34" i="2" s="1"/>
  <c r="T35" i="2" s="1"/>
  <c r="T36" i="2" s="1"/>
  <c r="T37" i="2" s="1"/>
  <c r="T38" i="2" s="1"/>
  <c r="T39" i="2" s="1"/>
  <c r="T40" i="2" s="1"/>
  <c r="T41" i="2" s="1"/>
  <c r="T42" i="2" s="1"/>
  <c r="T43" i="2" s="1"/>
  <c r="T44" i="2" s="1"/>
  <c r="T45" i="2" s="1"/>
  <c r="T46" i="2" s="1"/>
  <c r="T47" i="2" s="1"/>
  <c r="T48" i="2" s="1"/>
  <c r="T49" i="2" s="1"/>
  <c r="T50" i="2" s="1"/>
  <c r="T51" i="2" s="1"/>
  <c r="T52" i="2" s="1"/>
  <c r="T53" i="2" s="1"/>
  <c r="T54" i="2" s="1"/>
  <c r="T55" i="2" s="1"/>
  <c r="T56" i="2" s="1"/>
  <c r="T57" i="2" s="1"/>
  <c r="T58" i="2" s="1"/>
  <c r="T59" i="2" s="1"/>
  <c r="T60" i="2" s="1"/>
  <c r="T61" i="2" s="1"/>
  <c r="T62" i="2" s="1"/>
  <c r="T63" i="2" s="1"/>
  <c r="T64" i="2" s="1"/>
  <c r="T65" i="2" s="1"/>
  <c r="T66" i="2" s="1"/>
  <c r="T67" i="2" s="1"/>
  <c r="T68" i="2" s="1"/>
  <c r="T69" i="2" s="1"/>
  <c r="T70" i="2" s="1"/>
  <c r="T71" i="2" s="1"/>
  <c r="T72" i="2" s="1"/>
  <c r="T73" i="2" s="1"/>
  <c r="T74" i="2" s="1"/>
  <c r="T75" i="2" s="1"/>
  <c r="T76" i="2" s="1"/>
  <c r="T77" i="2" s="1"/>
  <c r="T78" i="2" s="1"/>
  <c r="T79" i="2" s="1"/>
  <c r="T80" i="2" s="1"/>
  <c r="T81" i="2" s="1"/>
  <c r="T82" i="2" s="1"/>
  <c r="T83" i="2" s="1"/>
  <c r="T84" i="2" s="1"/>
  <c r="T85" i="2" s="1"/>
  <c r="T86" i="2" s="1"/>
  <c r="T87" i="2" s="1"/>
  <c r="T88" i="2" s="1"/>
  <c r="T89" i="2" s="1"/>
  <c r="T90" i="2" s="1"/>
  <c r="T91" i="2" s="1"/>
  <c r="T92" i="2" s="1"/>
  <c r="T93" i="2" s="1"/>
  <c r="T94" i="2" s="1"/>
  <c r="T95" i="2" s="1"/>
  <c r="T96" i="2" s="1"/>
  <c r="T97" i="2" s="1"/>
  <c r="T98" i="2" s="1"/>
  <c r="T99" i="2" s="1"/>
  <c r="T100" i="2" s="1"/>
  <c r="T101" i="2" s="1"/>
  <c r="T102" i="2" s="1"/>
  <c r="T103" i="2" s="1"/>
  <c r="T104" i="2" s="1"/>
  <c r="T105" i="2" s="1"/>
  <c r="T106" i="2" s="1"/>
  <c r="T107" i="2" s="1"/>
  <c r="T108" i="2" s="1"/>
  <c r="T109" i="2" s="1"/>
  <c r="T110" i="2" s="1"/>
  <c r="T111" i="2" s="1"/>
  <c r="T112" i="2" s="1"/>
  <c r="T113" i="2" s="1"/>
  <c r="T114" i="2" s="1"/>
  <c r="T115" i="2" s="1"/>
  <c r="T116" i="2" s="1"/>
  <c r="T117" i="2" s="1"/>
  <c r="T118" i="2" s="1"/>
  <c r="T119" i="2" s="1"/>
  <c r="T120" i="2" s="1"/>
  <c r="T121" i="2" s="1"/>
  <c r="T122" i="2" s="1"/>
  <c r="T123" i="2" s="1"/>
  <c r="T124" i="2" s="1"/>
  <c r="T125" i="2" s="1"/>
  <c r="T126" i="2" s="1"/>
  <c r="T127" i="2" s="1"/>
  <c r="T128" i="2" s="1"/>
  <c r="T129" i="2" s="1"/>
  <c r="T130" i="2" s="1"/>
  <c r="T131" i="2" s="1"/>
  <c r="T132" i="2" s="1"/>
  <c r="T133" i="2" s="1"/>
  <c r="T134" i="2" s="1"/>
  <c r="T135" i="2" s="1"/>
  <c r="T136" i="2" s="1"/>
  <c r="T137" i="2" s="1"/>
  <c r="T138" i="2" s="1"/>
  <c r="T139" i="2" s="1"/>
  <c r="T140" i="2" s="1"/>
  <c r="T141" i="2" s="1"/>
  <c r="T142" i="2" s="1"/>
  <c r="T143" i="2" s="1"/>
  <c r="T144" i="2" s="1"/>
  <c r="T145" i="2" s="1"/>
  <c r="T146" i="2" s="1"/>
  <c r="T147" i="2" s="1"/>
  <c r="T148" i="2" s="1"/>
  <c r="T149" i="2" s="1"/>
  <c r="T150" i="2" s="1"/>
  <c r="T151" i="2" s="1"/>
  <c r="T152" i="2" s="1"/>
  <c r="T153" i="2" s="1"/>
  <c r="T154" i="2" s="1"/>
  <c r="T155" i="2" s="1"/>
  <c r="T156" i="2" s="1"/>
  <c r="T157" i="2" s="1"/>
  <c r="T158" i="2" s="1"/>
  <c r="T159" i="2" s="1"/>
  <c r="T160" i="2" s="1"/>
  <c r="T161" i="2" s="1"/>
  <c r="T162" i="2" s="1"/>
  <c r="T163" i="2" s="1"/>
  <c r="T164" i="2" s="1"/>
  <c r="T165" i="2" s="1"/>
  <c r="T166" i="2" s="1"/>
  <c r="T167" i="2" s="1"/>
  <c r="T168" i="2" s="1"/>
  <c r="T169" i="2" s="1"/>
  <c r="T170" i="2" s="1"/>
  <c r="T171" i="2" s="1"/>
  <c r="T172" i="2" s="1"/>
  <c r="T173" i="2" s="1"/>
  <c r="T174" i="2" s="1"/>
  <c r="T175" i="2" s="1"/>
  <c r="T176" i="2" s="1"/>
  <c r="T177" i="2" s="1"/>
  <c r="T178" i="2" s="1"/>
  <c r="T179" i="2" s="1"/>
  <c r="T180" i="2" s="1"/>
  <c r="T181" i="2" s="1"/>
  <c r="T182" i="2" s="1"/>
  <c r="T183" i="2" s="1"/>
  <c r="T184" i="2" s="1"/>
  <c r="T185" i="2" s="1"/>
  <c r="T186" i="2" s="1"/>
  <c r="T187" i="2" s="1"/>
  <c r="T188" i="2" s="1"/>
  <c r="T189" i="2" s="1"/>
  <c r="T190" i="2" s="1"/>
  <c r="T191" i="2" s="1"/>
  <c r="T192" i="2" s="1"/>
  <c r="T193" i="2" s="1"/>
  <c r="T194" i="2" s="1"/>
  <c r="T195" i="2" s="1"/>
  <c r="T196" i="2" s="1"/>
  <c r="T197" i="2" s="1"/>
  <c r="T198" i="2" s="1"/>
  <c r="T199" i="2" s="1"/>
  <c r="T200" i="2" s="1"/>
  <c r="T201" i="2" s="1"/>
  <c r="T202" i="2" s="1"/>
  <c r="T203" i="2" s="1"/>
  <c r="T204" i="2" s="1"/>
  <c r="T205" i="2" s="1"/>
  <c r="T206" i="2" s="1"/>
  <c r="T207" i="2" s="1"/>
  <c r="T208" i="2" s="1"/>
  <c r="T209" i="2" s="1"/>
  <c r="T210" i="2" s="1"/>
  <c r="T211" i="2" s="1"/>
  <c r="T212" i="2" s="1"/>
  <c r="T213" i="2" s="1"/>
  <c r="T214" i="2" s="1"/>
  <c r="T215" i="2" s="1"/>
  <c r="T216" i="2" s="1"/>
  <c r="T217" i="2" s="1"/>
  <c r="T218" i="2" s="1"/>
  <c r="T219" i="2" s="1"/>
  <c r="T220" i="2" s="1"/>
  <c r="T221" i="2" s="1"/>
  <c r="T222" i="2" s="1"/>
  <c r="T223" i="2" s="1"/>
  <c r="T224" i="2" s="1"/>
  <c r="T225" i="2" s="1"/>
  <c r="T226" i="2" s="1"/>
  <c r="T227" i="2" s="1"/>
  <c r="T228" i="2" s="1"/>
  <c r="T229" i="2" s="1"/>
  <c r="T230" i="2" s="1"/>
  <c r="T231" i="2" s="1"/>
  <c r="T232" i="2" s="1"/>
  <c r="T233" i="2" s="1"/>
  <c r="T234" i="2" s="1"/>
  <c r="T235" i="2" s="1"/>
  <c r="T236" i="2" s="1"/>
  <c r="T237" i="2" s="1"/>
  <c r="T238" i="2" s="1"/>
  <c r="T239" i="2" s="1"/>
  <c r="T240" i="2" s="1"/>
  <c r="T241" i="2" s="1"/>
  <c r="T242" i="2" s="1"/>
  <c r="T243" i="2" s="1"/>
  <c r="T244" i="2" s="1"/>
  <c r="T245" i="2" s="1"/>
  <c r="T246" i="2" s="1"/>
  <c r="T247" i="2" s="1"/>
  <c r="T248" i="2" s="1"/>
  <c r="T249" i="2" s="1"/>
  <c r="T250" i="2" s="1"/>
  <c r="T251" i="2" s="1"/>
  <c r="T252" i="2" s="1"/>
  <c r="T253" i="2" s="1"/>
  <c r="T254" i="2" s="1"/>
  <c r="T255" i="2" s="1"/>
  <c r="T256" i="2" s="1"/>
  <c r="T257" i="2" s="1"/>
  <c r="T258" i="2" s="1"/>
  <c r="T259" i="2" s="1"/>
  <c r="T260" i="2" s="1"/>
  <c r="T261" i="2" s="1"/>
  <c r="T262" i="2" s="1"/>
  <c r="T263" i="2" s="1"/>
  <c r="T264" i="2" s="1"/>
  <c r="T265" i="2" s="1"/>
  <c r="T266" i="2" s="1"/>
  <c r="T267" i="2" s="1"/>
  <c r="T268" i="2" s="1"/>
  <c r="T269" i="2" s="1"/>
  <c r="T270" i="2" s="1"/>
  <c r="T271" i="2" s="1"/>
  <c r="T272" i="2" s="1"/>
  <c r="T273" i="2" s="1"/>
  <c r="T274" i="2" s="1"/>
  <c r="T275" i="2" s="1"/>
  <c r="T276" i="2" s="1"/>
  <c r="T277" i="2" s="1"/>
  <c r="T278" i="2" s="1"/>
  <c r="T279" i="2" s="1"/>
  <c r="T280" i="2" s="1"/>
  <c r="T281" i="2" s="1"/>
  <c r="T282" i="2" s="1"/>
  <c r="T283" i="2" s="1"/>
  <c r="T284" i="2" s="1"/>
  <c r="T285" i="2" s="1"/>
  <c r="T286" i="2" s="1"/>
  <c r="T287" i="2" s="1"/>
  <c r="T288" i="2" s="1"/>
  <c r="T289" i="2" s="1"/>
  <c r="T290" i="2" s="1"/>
  <c r="T291" i="2" s="1"/>
  <c r="T292" i="2" s="1"/>
  <c r="T293" i="2" s="1"/>
  <c r="T294" i="2" s="1"/>
  <c r="T295" i="2" s="1"/>
  <c r="T296" i="2" s="1"/>
  <c r="T297" i="2" s="1"/>
  <c r="T298" i="2" s="1"/>
  <c r="T299" i="2" s="1"/>
  <c r="T300" i="2" s="1"/>
  <c r="T301" i="2" s="1"/>
  <c r="T302" i="2" s="1"/>
  <c r="T303" i="2" s="1"/>
  <c r="T304" i="2" s="1"/>
  <c r="T305" i="2" s="1"/>
  <c r="T306" i="2" s="1"/>
  <c r="T307" i="2" s="1"/>
  <c r="T308" i="2" s="1"/>
  <c r="T309" i="2" s="1"/>
  <c r="T310" i="2" s="1"/>
  <c r="T311" i="2" s="1"/>
  <c r="T312" i="2" s="1"/>
  <c r="T313" i="2" s="1"/>
  <c r="T314" i="2" s="1"/>
  <c r="T315" i="2" s="1"/>
  <c r="T316" i="2" s="1"/>
  <c r="T317" i="2" s="1"/>
  <c r="T318" i="2" s="1"/>
  <c r="T319" i="2" s="1"/>
  <c r="T320" i="2" s="1"/>
  <c r="T321" i="2" s="1"/>
  <c r="T322" i="2" s="1"/>
  <c r="T323" i="2" s="1"/>
  <c r="T324" i="2" s="1"/>
  <c r="T325" i="2" s="1"/>
  <c r="T326" i="2" s="1"/>
  <c r="T327" i="2" s="1"/>
  <c r="T328" i="2" s="1"/>
  <c r="T329" i="2" s="1"/>
  <c r="T330" i="2" s="1"/>
  <c r="T331" i="2" s="1"/>
  <c r="T332" i="2" s="1"/>
  <c r="T333" i="2" s="1"/>
  <c r="T334" i="2" s="1"/>
  <c r="T335" i="2" s="1"/>
  <c r="T336" i="2" s="1"/>
  <c r="T337" i="2" s="1"/>
  <c r="T338" i="2" s="1"/>
  <c r="T339" i="2" s="1"/>
  <c r="T340" i="2" s="1"/>
  <c r="T341" i="2" s="1"/>
  <c r="T342" i="2" s="1"/>
  <c r="T343" i="2" s="1"/>
  <c r="T344" i="2" s="1"/>
  <c r="T345" i="2" s="1"/>
  <c r="T346" i="2" s="1"/>
  <c r="T347" i="2" s="1"/>
  <c r="T348" i="2" s="1"/>
  <c r="T349" i="2" s="1"/>
  <c r="T350" i="2" s="1"/>
  <c r="T351" i="2" s="1"/>
  <c r="T352" i="2" s="1"/>
  <c r="T353" i="2" s="1"/>
  <c r="T354" i="2" s="1"/>
  <c r="T355" i="2" s="1"/>
  <c r="T356" i="2" s="1"/>
  <c r="T357" i="2" s="1"/>
  <c r="T358" i="2" s="1"/>
  <c r="T359" i="2" s="1"/>
  <c r="T360" i="2" s="1"/>
  <c r="T361" i="2" s="1"/>
  <c r="T362" i="2" s="1"/>
  <c r="T363" i="2" s="1"/>
  <c r="T364" i="2" s="1"/>
  <c r="T365" i="2" s="1"/>
  <c r="T366" i="2" s="1"/>
  <c r="T367" i="2" s="1"/>
  <c r="T368" i="2" s="1"/>
  <c r="T369" i="2" s="1"/>
  <c r="T370" i="2" s="1"/>
  <c r="T371" i="2" s="1"/>
  <c r="T372" i="2" s="1"/>
  <c r="T373" i="2" s="1"/>
  <c r="T374" i="2" s="1"/>
  <c r="T375" i="2" s="1"/>
  <c r="T376" i="2" s="1"/>
  <c r="T377" i="2" s="1"/>
  <c r="T378" i="2" s="1"/>
  <c r="T379" i="2" s="1"/>
  <c r="T380" i="2" s="1"/>
  <c r="T381" i="2" s="1"/>
  <c r="T382" i="2" s="1"/>
  <c r="T383" i="2" s="1"/>
  <c r="T384" i="2" s="1"/>
  <c r="T385" i="2" s="1"/>
  <c r="T386" i="2" s="1"/>
  <c r="T387" i="2" s="1"/>
  <c r="T388" i="2" s="1"/>
  <c r="T389" i="2" s="1"/>
  <c r="T390" i="2" s="1"/>
  <c r="T391" i="2" s="1"/>
  <c r="T392" i="2" s="1"/>
  <c r="T393" i="2" s="1"/>
  <c r="T394" i="2" s="1"/>
  <c r="T395" i="2" s="1"/>
  <c r="T396" i="2" s="1"/>
  <c r="T397" i="2" s="1"/>
  <c r="T398" i="2" s="1"/>
  <c r="T399" i="2" s="1"/>
  <c r="T400" i="2" s="1"/>
  <c r="T401" i="2" s="1"/>
  <c r="T402" i="2" s="1"/>
  <c r="T403" i="2" s="1"/>
  <c r="T404" i="2" s="1"/>
  <c r="T405" i="2" s="1"/>
  <c r="T406" i="2" s="1"/>
  <c r="T407" i="2" s="1"/>
  <c r="T408" i="2" s="1"/>
  <c r="T409" i="2" s="1"/>
  <c r="T410" i="2" s="1"/>
  <c r="T411" i="2" s="1"/>
  <c r="T412" i="2" s="1"/>
  <c r="T413" i="2" s="1"/>
  <c r="T414" i="2" s="1"/>
  <c r="T415" i="2" s="1"/>
  <c r="T416" i="2" s="1"/>
  <c r="T417" i="2" s="1"/>
  <c r="T418" i="2" s="1"/>
  <c r="T419" i="2" s="1"/>
  <c r="T420" i="2" s="1"/>
  <c r="T421" i="2" s="1"/>
  <c r="T422" i="2" s="1"/>
  <c r="T423" i="2" s="1"/>
  <c r="T424" i="2" s="1"/>
  <c r="T425" i="2" s="1"/>
  <c r="T426" i="2" s="1"/>
  <c r="T427" i="2" s="1"/>
  <c r="T428" i="2" s="1"/>
  <c r="T429" i="2" s="1"/>
  <c r="T430" i="2" s="1"/>
  <c r="T431" i="2" s="1"/>
  <c r="T432" i="2" s="1"/>
  <c r="T433" i="2" s="1"/>
  <c r="T434" i="2" s="1"/>
  <c r="T435" i="2" s="1"/>
  <c r="T436" i="2" s="1"/>
  <c r="T437" i="2" s="1"/>
  <c r="T438" i="2" s="1"/>
  <c r="T439" i="2" s="1"/>
  <c r="T440" i="2" s="1"/>
  <c r="T441" i="2" s="1"/>
  <c r="T442" i="2" s="1"/>
  <c r="T443" i="2" s="1"/>
  <c r="T444" i="2" s="1"/>
  <c r="T445" i="2" s="1"/>
  <c r="T446" i="2" s="1"/>
  <c r="T447" i="2" s="1"/>
  <c r="T448" i="2" s="1"/>
  <c r="T449" i="2" s="1"/>
  <c r="T450" i="2" s="1"/>
  <c r="T451" i="2" s="1"/>
  <c r="T452" i="2" s="1"/>
  <c r="T453" i="2" s="1"/>
  <c r="T454" i="2" s="1"/>
  <c r="T455" i="2" s="1"/>
  <c r="T456" i="2" s="1"/>
  <c r="T457" i="2" s="1"/>
  <c r="T458" i="2" s="1"/>
  <c r="T459" i="2" s="1"/>
  <c r="T460" i="2" s="1"/>
  <c r="T461" i="2" s="1"/>
  <c r="T462" i="2" s="1"/>
  <c r="T463" i="2" s="1"/>
  <c r="T464" i="2" s="1"/>
  <c r="T465" i="2" s="1"/>
  <c r="T466" i="2" s="1"/>
  <c r="T467" i="2" s="1"/>
  <c r="T468" i="2" s="1"/>
  <c r="T469" i="2" s="1"/>
  <c r="T470" i="2" s="1"/>
  <c r="T471" i="2" s="1"/>
  <c r="T472" i="2" s="1"/>
  <c r="T473" i="2" s="1"/>
  <c r="T474" i="2" s="1"/>
  <c r="T475" i="2" s="1"/>
  <c r="T476" i="2" s="1"/>
  <c r="T477" i="2" s="1"/>
  <c r="T478" i="2" s="1"/>
  <c r="T479" i="2" s="1"/>
  <c r="T480" i="2" s="1"/>
  <c r="T481" i="2" s="1"/>
  <c r="T482" i="2" s="1"/>
  <c r="T483" i="2" s="1"/>
  <c r="T484" i="2" s="1"/>
  <c r="T485" i="2" s="1"/>
  <c r="T486" i="2" s="1"/>
  <c r="T487" i="2" s="1"/>
  <c r="T488" i="2" s="1"/>
  <c r="T489" i="2" s="1"/>
  <c r="T490" i="2" s="1"/>
  <c r="T491" i="2" s="1"/>
  <c r="T492" i="2" s="1"/>
  <c r="T493" i="2" s="1"/>
  <c r="T494" i="2" s="1"/>
  <c r="T495" i="2" s="1"/>
  <c r="T496" i="2" s="1"/>
  <c r="T497" i="2" s="1"/>
  <c r="T498" i="2" s="1"/>
  <c r="T499" i="2" s="1"/>
  <c r="T500" i="2" s="1"/>
  <c r="T501" i="2" s="1"/>
  <c r="T502" i="2" s="1"/>
  <c r="T503" i="2" s="1"/>
  <c r="T504" i="2" s="1"/>
  <c r="T505" i="2" s="1"/>
  <c r="T506" i="2" s="1"/>
  <c r="T507" i="2" s="1"/>
  <c r="T508" i="2" s="1"/>
  <c r="T509" i="2" s="1"/>
  <c r="T510" i="2" s="1"/>
  <c r="T511" i="2" s="1"/>
  <c r="T512" i="2" s="1"/>
  <c r="T513" i="2" s="1"/>
  <c r="T514" i="2" s="1"/>
  <c r="T515" i="2" s="1"/>
  <c r="T516" i="2" s="1"/>
  <c r="T517" i="2" s="1"/>
  <c r="T518" i="2" s="1"/>
  <c r="T519" i="2" s="1"/>
  <c r="T520" i="2" s="1"/>
  <c r="T521" i="2" s="1"/>
  <c r="T522" i="2" s="1"/>
  <c r="T523" i="2" s="1"/>
  <c r="T524" i="2" s="1"/>
  <c r="T525" i="2" s="1"/>
  <c r="T526" i="2" s="1"/>
  <c r="T527" i="2" s="1"/>
  <c r="T528" i="2" s="1"/>
  <c r="T529" i="2" s="1"/>
  <c r="T530" i="2" s="1"/>
  <c r="T531" i="2" s="1"/>
  <c r="T532" i="2" s="1"/>
  <c r="T533" i="2" s="1"/>
  <c r="T534" i="2" s="1"/>
  <c r="T535" i="2" s="1"/>
  <c r="T536" i="2" s="1"/>
  <c r="T537" i="2" s="1"/>
  <c r="T538" i="2" s="1"/>
  <c r="T539" i="2" s="1"/>
  <c r="T540" i="2" s="1"/>
  <c r="T541" i="2" s="1"/>
  <c r="T542" i="2" s="1"/>
  <c r="T543" i="2" s="1"/>
  <c r="T544" i="2" s="1"/>
  <c r="T545" i="2" s="1"/>
  <c r="T546" i="2" s="1"/>
  <c r="T547" i="2" s="1"/>
  <c r="T548" i="2" s="1"/>
  <c r="T549" i="2" s="1"/>
  <c r="T550" i="2" s="1"/>
  <c r="T551" i="2" s="1"/>
  <c r="T552" i="2" s="1"/>
  <c r="T553" i="2" s="1"/>
  <c r="T554" i="2" s="1"/>
  <c r="T555" i="2" s="1"/>
  <c r="T556" i="2" s="1"/>
  <c r="T557" i="2" s="1"/>
  <c r="T558" i="2" s="1"/>
  <c r="T559" i="2" s="1"/>
  <c r="T560" i="2" s="1"/>
  <c r="T561" i="2" s="1"/>
  <c r="T562" i="2" s="1"/>
  <c r="T563" i="2" s="1"/>
  <c r="T564" i="2" s="1"/>
  <c r="T565" i="2" s="1"/>
  <c r="T566" i="2" s="1"/>
  <c r="T567" i="2" s="1"/>
  <c r="T568" i="2" s="1"/>
  <c r="T569" i="2" s="1"/>
  <c r="T570" i="2" s="1"/>
  <c r="T571" i="2" s="1"/>
  <c r="T572" i="2" s="1"/>
  <c r="T573" i="2" s="1"/>
  <c r="T574" i="2" s="1"/>
  <c r="T575" i="2" s="1"/>
  <c r="T576" i="2" s="1"/>
  <c r="T577" i="2" s="1"/>
  <c r="T578" i="2" s="1"/>
  <c r="T579" i="2" s="1"/>
  <c r="T580" i="2" s="1"/>
  <c r="T581" i="2" s="1"/>
  <c r="T582" i="2" s="1"/>
  <c r="T583" i="2" s="1"/>
  <c r="T584" i="2" s="1"/>
  <c r="T585" i="2" s="1"/>
  <c r="T586" i="2" s="1"/>
  <c r="T587" i="2" s="1"/>
  <c r="T588" i="2" s="1"/>
  <c r="T589" i="2" s="1"/>
  <c r="T590" i="2" s="1"/>
  <c r="T591" i="2" s="1"/>
  <c r="T592" i="2" s="1"/>
  <c r="T593" i="2" s="1"/>
  <c r="T594" i="2" s="1"/>
  <c r="T595" i="2" s="1"/>
  <c r="T596" i="2" s="1"/>
  <c r="T597" i="2" s="1"/>
  <c r="T598" i="2" s="1"/>
  <c r="T599" i="2" s="1"/>
  <c r="T600" i="2" s="1"/>
  <c r="T601" i="2" s="1"/>
  <c r="T602" i="2" s="1"/>
  <c r="T603" i="2" s="1"/>
  <c r="T604" i="2" s="1"/>
  <c r="T605" i="2" s="1"/>
  <c r="T606" i="2" s="1"/>
  <c r="T607" i="2" s="1"/>
  <c r="T608" i="2" s="1"/>
  <c r="T609" i="2" s="1"/>
  <c r="T610" i="2" s="1"/>
  <c r="T611" i="2" s="1"/>
  <c r="T612" i="2" s="1"/>
  <c r="T613" i="2" s="1"/>
  <c r="T614" i="2" s="1"/>
  <c r="T615" i="2" s="1"/>
  <c r="T616" i="2" s="1"/>
  <c r="T617" i="2" s="1"/>
  <c r="T618" i="2" s="1"/>
  <c r="T619" i="2" s="1"/>
  <c r="T620" i="2" s="1"/>
  <c r="T621" i="2" s="1"/>
  <c r="T622" i="2" s="1"/>
  <c r="T623" i="2" s="1"/>
  <c r="T624" i="2" s="1"/>
  <c r="T625" i="2" s="1"/>
  <c r="T626" i="2" s="1"/>
  <c r="T627" i="2" s="1"/>
  <c r="T628" i="2" s="1"/>
  <c r="T629" i="2" s="1"/>
  <c r="T630" i="2" s="1"/>
  <c r="T631" i="2" s="1"/>
  <c r="T632" i="2" s="1"/>
  <c r="T633" i="2" s="1"/>
  <c r="T634" i="2" s="1"/>
  <c r="T635" i="2" s="1"/>
  <c r="T636" i="2" s="1"/>
  <c r="T637" i="2" s="1"/>
  <c r="T638" i="2" s="1"/>
  <c r="T639" i="2" s="1"/>
  <c r="T640" i="2" s="1"/>
  <c r="T641" i="2" s="1"/>
  <c r="T642" i="2" s="1"/>
  <c r="T643" i="2" s="1"/>
  <c r="T644" i="2" s="1"/>
  <c r="T645" i="2" s="1"/>
  <c r="T646" i="2" s="1"/>
  <c r="T647" i="2" s="1"/>
  <c r="T648" i="2" s="1"/>
  <c r="T649" i="2" s="1"/>
  <c r="T650" i="2" s="1"/>
  <c r="T651" i="2" s="1"/>
  <c r="T652" i="2" s="1"/>
  <c r="T653" i="2" s="1"/>
  <c r="T654" i="2" s="1"/>
  <c r="T655" i="2" s="1"/>
  <c r="T656" i="2" s="1"/>
  <c r="T657" i="2" s="1"/>
  <c r="T658" i="2" s="1"/>
  <c r="T659" i="2" s="1"/>
  <c r="T660" i="2" s="1"/>
  <c r="T661" i="2" s="1"/>
  <c r="T662" i="2" s="1"/>
  <c r="T663" i="2" s="1"/>
  <c r="T664" i="2" s="1"/>
  <c r="T665" i="2" s="1"/>
  <c r="T666" i="2" s="1"/>
  <c r="T667" i="2" s="1"/>
  <c r="T668" i="2" s="1"/>
  <c r="T669" i="2" s="1"/>
  <c r="T670" i="2" s="1"/>
  <c r="T671" i="2" s="1"/>
  <c r="T672" i="2" s="1"/>
  <c r="T673" i="2" s="1"/>
  <c r="T674" i="2" s="1"/>
  <c r="T675" i="2" s="1"/>
  <c r="T676" i="2" s="1"/>
  <c r="T677" i="2" s="1"/>
  <c r="T678" i="2" s="1"/>
  <c r="T679" i="2" s="1"/>
  <c r="T680" i="2" s="1"/>
  <c r="T681" i="2" s="1"/>
  <c r="T682" i="2" s="1"/>
  <c r="T683" i="2" s="1"/>
  <c r="T684" i="2" s="1"/>
  <c r="T685" i="2" s="1"/>
  <c r="T686" i="2" s="1"/>
  <c r="T687" i="2" s="1"/>
  <c r="T688" i="2" s="1"/>
  <c r="T689" i="2" s="1"/>
  <c r="T690" i="2" s="1"/>
  <c r="T691" i="2" s="1"/>
  <c r="T692" i="2" s="1"/>
  <c r="T693" i="2" s="1"/>
  <c r="T694" i="2" s="1"/>
  <c r="T695" i="2" s="1"/>
  <c r="T696" i="2" s="1"/>
  <c r="T697" i="2" s="1"/>
  <c r="T698" i="2" s="1"/>
  <c r="T699" i="2" s="1"/>
  <c r="T700" i="2" s="1"/>
  <c r="T701" i="2" s="1"/>
  <c r="T702" i="2" s="1"/>
  <c r="T703" i="2" s="1"/>
  <c r="T704" i="2" s="1"/>
  <c r="T705" i="2" s="1"/>
  <c r="T706" i="2" s="1"/>
  <c r="T707" i="2" s="1"/>
  <c r="T708" i="2" s="1"/>
  <c r="T709" i="2" s="1"/>
  <c r="T710" i="2" s="1"/>
  <c r="T711" i="2" s="1"/>
  <c r="T712" i="2" s="1"/>
  <c r="T713" i="2" s="1"/>
  <c r="T714" i="2" s="1"/>
  <c r="T715" i="2" s="1"/>
  <c r="T716" i="2" s="1"/>
  <c r="T717" i="2" s="1"/>
  <c r="T718" i="2" s="1"/>
  <c r="T719" i="2" s="1"/>
  <c r="T720" i="2" s="1"/>
  <c r="T721" i="2" s="1"/>
  <c r="T722" i="2" s="1"/>
  <c r="T723" i="2" s="1"/>
  <c r="T724" i="2" s="1"/>
  <c r="T725" i="2" s="1"/>
  <c r="T726" i="2" s="1"/>
  <c r="T727" i="2" s="1"/>
  <c r="T728" i="2" s="1"/>
  <c r="T729" i="2" s="1"/>
  <c r="T730" i="2" s="1"/>
  <c r="T731" i="2" s="1"/>
  <c r="T732" i="2" s="1"/>
  <c r="S3" i="2"/>
  <c r="S4" i="2"/>
  <c r="S5" i="2" s="1"/>
  <c r="S6" i="2" s="1"/>
  <c r="S7" i="2" s="1"/>
  <c r="S8" i="2" s="1"/>
  <c r="S9" i="2" s="1"/>
  <c r="S10" i="2" s="1"/>
  <c r="S11" i="2" s="1"/>
  <c r="S12" i="2" s="1"/>
  <c r="S13" i="2" s="1"/>
  <c r="S14" i="2" s="1"/>
  <c r="S15" i="2" s="1"/>
  <c r="S16" i="2" s="1"/>
  <c r="S17" i="2" s="1"/>
  <c r="S18" i="2" s="1"/>
  <c r="S19" i="2" s="1"/>
  <c r="S20" i="2" s="1"/>
  <c r="S21" i="2" s="1"/>
  <c r="S22" i="2" s="1"/>
  <c r="S23" i="2" s="1"/>
  <c r="S24" i="2" s="1"/>
  <c r="S25" i="2" s="1"/>
  <c r="S26" i="2" s="1"/>
  <c r="S27" i="2" s="1"/>
  <c r="S28" i="2" s="1"/>
  <c r="S29" i="2" s="1"/>
  <c r="S30" i="2" s="1"/>
  <c r="S31" i="2" s="1"/>
  <c r="S32" i="2" s="1"/>
  <c r="S33" i="2" s="1"/>
  <c r="S34" i="2" s="1"/>
  <c r="S35" i="2" s="1"/>
  <c r="S36" i="2" s="1"/>
  <c r="S37" i="2" s="1"/>
  <c r="S38" i="2" s="1"/>
  <c r="S39" i="2" s="1"/>
  <c r="S40" i="2" s="1"/>
  <c r="S41" i="2" s="1"/>
  <c r="S42" i="2" s="1"/>
  <c r="S43" i="2" s="1"/>
  <c r="S44" i="2" s="1"/>
  <c r="S45" i="2" s="1"/>
  <c r="S46" i="2" s="1"/>
  <c r="S47" i="2" s="1"/>
  <c r="S48" i="2" s="1"/>
  <c r="S49" i="2" s="1"/>
  <c r="S50" i="2" s="1"/>
  <c r="S51" i="2" s="1"/>
  <c r="S52" i="2" s="1"/>
  <c r="S53" i="2" s="1"/>
  <c r="S54" i="2" s="1"/>
  <c r="S55" i="2" s="1"/>
  <c r="S56" i="2" s="1"/>
  <c r="S57" i="2" s="1"/>
  <c r="S58" i="2" s="1"/>
  <c r="S59" i="2" s="1"/>
  <c r="S60" i="2" s="1"/>
  <c r="S61" i="2" s="1"/>
  <c r="S62" i="2" s="1"/>
  <c r="S63" i="2" s="1"/>
  <c r="S64" i="2" s="1"/>
  <c r="S65" i="2" s="1"/>
  <c r="S66" i="2" s="1"/>
  <c r="S67" i="2" s="1"/>
  <c r="S68" i="2" s="1"/>
  <c r="S69" i="2" s="1"/>
  <c r="S70" i="2" s="1"/>
  <c r="S71" i="2" s="1"/>
  <c r="S72" i="2" s="1"/>
  <c r="S73" i="2" s="1"/>
  <c r="S74" i="2" s="1"/>
  <c r="S75" i="2" s="1"/>
  <c r="S76" i="2" s="1"/>
  <c r="S77" i="2" s="1"/>
  <c r="S78" i="2" s="1"/>
  <c r="S79" i="2" s="1"/>
  <c r="S80" i="2" s="1"/>
  <c r="S81" i="2" s="1"/>
  <c r="S82" i="2" s="1"/>
  <c r="S83" i="2" s="1"/>
  <c r="S84" i="2" s="1"/>
  <c r="S85" i="2" s="1"/>
  <c r="S86" i="2" s="1"/>
  <c r="S87" i="2" s="1"/>
  <c r="S88" i="2" s="1"/>
  <c r="S89" i="2" s="1"/>
  <c r="S90" i="2" s="1"/>
  <c r="S91" i="2" s="1"/>
  <c r="S92" i="2" s="1"/>
  <c r="S93" i="2" s="1"/>
  <c r="S94" i="2" s="1"/>
  <c r="S95" i="2" s="1"/>
  <c r="S96" i="2" s="1"/>
  <c r="S97" i="2" s="1"/>
  <c r="S98" i="2" s="1"/>
  <c r="S99" i="2" s="1"/>
  <c r="S100" i="2" s="1"/>
  <c r="S101" i="2" s="1"/>
  <c r="S102" i="2" s="1"/>
  <c r="S103" i="2" s="1"/>
  <c r="S104" i="2" s="1"/>
  <c r="S105" i="2" s="1"/>
  <c r="S106" i="2" s="1"/>
  <c r="S107" i="2" s="1"/>
  <c r="S108" i="2" s="1"/>
  <c r="S109" i="2" s="1"/>
  <c r="S110" i="2" s="1"/>
  <c r="S111" i="2" s="1"/>
  <c r="S112" i="2" s="1"/>
  <c r="S113" i="2" s="1"/>
  <c r="S114" i="2" s="1"/>
  <c r="S115" i="2" s="1"/>
  <c r="S116" i="2" s="1"/>
  <c r="S117" i="2" s="1"/>
  <c r="S118" i="2" s="1"/>
  <c r="S119" i="2" s="1"/>
  <c r="S120" i="2" s="1"/>
  <c r="S121" i="2" s="1"/>
  <c r="S122" i="2" s="1"/>
  <c r="S123" i="2" s="1"/>
  <c r="S124" i="2" s="1"/>
  <c r="S125" i="2" s="1"/>
  <c r="S126" i="2" s="1"/>
  <c r="S127" i="2" s="1"/>
  <c r="S128" i="2" s="1"/>
  <c r="S129" i="2" s="1"/>
  <c r="S130" i="2" s="1"/>
  <c r="S131" i="2" s="1"/>
  <c r="S132" i="2" s="1"/>
  <c r="S133" i="2" s="1"/>
  <c r="S134" i="2" s="1"/>
  <c r="S135" i="2" s="1"/>
  <c r="S136" i="2" s="1"/>
  <c r="S137" i="2" s="1"/>
  <c r="S138" i="2" s="1"/>
  <c r="S139" i="2" s="1"/>
  <c r="S140" i="2" s="1"/>
  <c r="S141" i="2" s="1"/>
  <c r="S142" i="2" s="1"/>
  <c r="S143" i="2" s="1"/>
  <c r="S144" i="2" s="1"/>
  <c r="S145" i="2" s="1"/>
  <c r="S146" i="2" s="1"/>
  <c r="S147" i="2" s="1"/>
  <c r="S148" i="2" s="1"/>
  <c r="S149" i="2" s="1"/>
  <c r="S150" i="2" s="1"/>
  <c r="S151" i="2" s="1"/>
  <c r="S152" i="2" s="1"/>
  <c r="S153" i="2" s="1"/>
  <c r="S154" i="2" s="1"/>
  <c r="S155" i="2" s="1"/>
  <c r="S156" i="2" s="1"/>
  <c r="S157" i="2" s="1"/>
  <c r="S158" i="2" s="1"/>
  <c r="S159" i="2" s="1"/>
  <c r="S160" i="2" s="1"/>
  <c r="S161" i="2" s="1"/>
  <c r="S162" i="2" s="1"/>
  <c r="S163" i="2" s="1"/>
  <c r="S164" i="2" s="1"/>
  <c r="S165" i="2" s="1"/>
  <c r="S166" i="2" s="1"/>
  <c r="S167" i="2" s="1"/>
  <c r="S168" i="2" s="1"/>
  <c r="S169" i="2" s="1"/>
  <c r="S170" i="2" s="1"/>
  <c r="S171" i="2" s="1"/>
  <c r="S172" i="2" s="1"/>
  <c r="S173" i="2" s="1"/>
  <c r="S174" i="2" s="1"/>
  <c r="S175" i="2" s="1"/>
  <c r="S176" i="2" s="1"/>
  <c r="S177" i="2" s="1"/>
  <c r="S178" i="2" s="1"/>
  <c r="S179" i="2" s="1"/>
  <c r="S180" i="2" s="1"/>
  <c r="S181" i="2" s="1"/>
  <c r="S182" i="2" s="1"/>
  <c r="S183" i="2" s="1"/>
  <c r="S184" i="2" s="1"/>
  <c r="S185" i="2" s="1"/>
  <c r="S186" i="2" s="1"/>
  <c r="S187" i="2" s="1"/>
  <c r="S188" i="2" s="1"/>
  <c r="S189" i="2" s="1"/>
  <c r="S190" i="2" s="1"/>
  <c r="S191" i="2" s="1"/>
  <c r="S192" i="2" s="1"/>
  <c r="S193" i="2" s="1"/>
  <c r="S194" i="2" s="1"/>
  <c r="S195" i="2" s="1"/>
  <c r="S196" i="2" s="1"/>
  <c r="S197" i="2" s="1"/>
  <c r="S198" i="2" s="1"/>
  <c r="S199" i="2" s="1"/>
  <c r="S200" i="2" s="1"/>
  <c r="S201" i="2" s="1"/>
  <c r="S202" i="2" s="1"/>
  <c r="S203" i="2" s="1"/>
  <c r="S204" i="2" s="1"/>
  <c r="S205" i="2" s="1"/>
  <c r="S206" i="2" s="1"/>
  <c r="S207" i="2" s="1"/>
  <c r="S208" i="2" s="1"/>
  <c r="S209" i="2" s="1"/>
  <c r="S210" i="2" s="1"/>
  <c r="S211" i="2" s="1"/>
  <c r="S212" i="2" s="1"/>
  <c r="S213" i="2" s="1"/>
  <c r="S214" i="2" s="1"/>
  <c r="S215" i="2" s="1"/>
  <c r="S216" i="2" s="1"/>
  <c r="S217" i="2" s="1"/>
  <c r="S218" i="2" s="1"/>
  <c r="S219" i="2" s="1"/>
  <c r="S220" i="2" s="1"/>
  <c r="S221" i="2" s="1"/>
  <c r="S222" i="2" s="1"/>
  <c r="S223" i="2" s="1"/>
  <c r="S224" i="2" s="1"/>
  <c r="S225" i="2" s="1"/>
  <c r="S226" i="2" s="1"/>
  <c r="S227" i="2" s="1"/>
  <c r="S228" i="2" s="1"/>
  <c r="S229" i="2" s="1"/>
  <c r="S230" i="2" s="1"/>
  <c r="S231" i="2" s="1"/>
  <c r="S232" i="2" s="1"/>
  <c r="S233" i="2" s="1"/>
  <c r="S234" i="2" s="1"/>
  <c r="S235" i="2" s="1"/>
  <c r="S236" i="2" s="1"/>
  <c r="S237" i="2" s="1"/>
  <c r="S238" i="2" s="1"/>
  <c r="S239" i="2" s="1"/>
  <c r="S240" i="2" s="1"/>
  <c r="S241" i="2" s="1"/>
  <c r="S242" i="2" s="1"/>
  <c r="S243" i="2" s="1"/>
  <c r="S244" i="2" s="1"/>
  <c r="S245" i="2" s="1"/>
  <c r="S246" i="2" s="1"/>
  <c r="S247" i="2" s="1"/>
  <c r="S248" i="2" s="1"/>
  <c r="S249" i="2" s="1"/>
  <c r="S250" i="2" s="1"/>
  <c r="S251" i="2" s="1"/>
  <c r="S252" i="2" s="1"/>
  <c r="S253" i="2" s="1"/>
  <c r="S254" i="2" s="1"/>
  <c r="S255" i="2" s="1"/>
  <c r="S256" i="2" s="1"/>
  <c r="S257" i="2" s="1"/>
  <c r="S258" i="2" s="1"/>
  <c r="S259" i="2" s="1"/>
  <c r="S260" i="2" s="1"/>
  <c r="S261" i="2" s="1"/>
  <c r="S262" i="2" s="1"/>
  <c r="S263" i="2" s="1"/>
  <c r="S264" i="2" s="1"/>
  <c r="S265" i="2" s="1"/>
  <c r="S266" i="2" s="1"/>
  <c r="S267" i="2" s="1"/>
  <c r="S268" i="2" s="1"/>
  <c r="S269" i="2" s="1"/>
  <c r="S270" i="2" s="1"/>
  <c r="S271" i="2" s="1"/>
  <c r="S272" i="2" s="1"/>
  <c r="S273" i="2" s="1"/>
  <c r="S274" i="2" s="1"/>
  <c r="S275" i="2" s="1"/>
  <c r="S276" i="2" s="1"/>
  <c r="S277" i="2" s="1"/>
  <c r="S278" i="2" s="1"/>
  <c r="S279" i="2" s="1"/>
  <c r="S280" i="2" s="1"/>
  <c r="S281" i="2" s="1"/>
  <c r="S282" i="2" s="1"/>
  <c r="S283" i="2" s="1"/>
  <c r="S284" i="2" s="1"/>
  <c r="S285" i="2" s="1"/>
  <c r="S286" i="2" s="1"/>
  <c r="S287" i="2" s="1"/>
  <c r="S288" i="2" s="1"/>
  <c r="S289" i="2" s="1"/>
  <c r="S290" i="2" s="1"/>
  <c r="S291" i="2" s="1"/>
  <c r="S292" i="2" s="1"/>
  <c r="S293" i="2" s="1"/>
  <c r="S294" i="2" s="1"/>
  <c r="S295" i="2" s="1"/>
  <c r="S296" i="2" s="1"/>
  <c r="S297" i="2" s="1"/>
  <c r="S298" i="2" s="1"/>
  <c r="S299" i="2" s="1"/>
  <c r="S300" i="2" s="1"/>
  <c r="S301" i="2" s="1"/>
  <c r="S302" i="2" s="1"/>
  <c r="S303" i="2" s="1"/>
  <c r="S304" i="2" s="1"/>
  <c r="S305" i="2" s="1"/>
  <c r="S306" i="2" s="1"/>
  <c r="S307" i="2" s="1"/>
  <c r="S308" i="2" s="1"/>
  <c r="S309" i="2" s="1"/>
  <c r="S310" i="2" s="1"/>
  <c r="S311" i="2" s="1"/>
  <c r="S312" i="2" s="1"/>
  <c r="S313" i="2" s="1"/>
  <c r="S314" i="2" s="1"/>
  <c r="S315" i="2" s="1"/>
  <c r="S316" i="2" s="1"/>
  <c r="S317" i="2" s="1"/>
  <c r="S318" i="2" s="1"/>
  <c r="S319" i="2" s="1"/>
  <c r="S320" i="2" s="1"/>
  <c r="S321" i="2" s="1"/>
  <c r="S322" i="2" s="1"/>
  <c r="S323" i="2" s="1"/>
  <c r="S324" i="2" s="1"/>
  <c r="S325" i="2" s="1"/>
  <c r="S326" i="2" s="1"/>
  <c r="S327" i="2" s="1"/>
  <c r="S328" i="2" s="1"/>
  <c r="S329" i="2" s="1"/>
  <c r="S330" i="2" s="1"/>
  <c r="S331" i="2" s="1"/>
  <c r="S332" i="2" s="1"/>
  <c r="S333" i="2" s="1"/>
  <c r="S334" i="2" s="1"/>
  <c r="S335" i="2" s="1"/>
  <c r="S336" i="2" s="1"/>
  <c r="S337" i="2" s="1"/>
  <c r="S338" i="2" s="1"/>
  <c r="S339" i="2" s="1"/>
  <c r="S340" i="2" s="1"/>
  <c r="S341" i="2" s="1"/>
  <c r="S342" i="2" s="1"/>
  <c r="S343" i="2" s="1"/>
  <c r="S344" i="2" s="1"/>
  <c r="S345" i="2" s="1"/>
  <c r="S346" i="2" s="1"/>
  <c r="S347" i="2" s="1"/>
  <c r="S348" i="2" s="1"/>
  <c r="S349" i="2" s="1"/>
  <c r="S350" i="2" s="1"/>
  <c r="S351" i="2" s="1"/>
  <c r="S352" i="2" s="1"/>
  <c r="S353" i="2" s="1"/>
  <c r="S354" i="2" s="1"/>
  <c r="S355" i="2" s="1"/>
  <c r="S356" i="2" s="1"/>
  <c r="S357" i="2" s="1"/>
  <c r="S358" i="2" s="1"/>
  <c r="S359" i="2" s="1"/>
  <c r="S360" i="2" s="1"/>
  <c r="S361" i="2" s="1"/>
  <c r="S362" i="2" s="1"/>
  <c r="S363" i="2" s="1"/>
  <c r="S364" i="2" s="1"/>
  <c r="S365" i="2" s="1"/>
  <c r="S366" i="2" s="1"/>
  <c r="S367" i="2" s="1"/>
  <c r="S368" i="2" s="1"/>
  <c r="S369" i="2" s="1"/>
  <c r="S370" i="2" s="1"/>
  <c r="S371" i="2" s="1"/>
  <c r="S372" i="2" s="1"/>
  <c r="S373" i="2" s="1"/>
  <c r="S374" i="2" s="1"/>
  <c r="S375" i="2" s="1"/>
  <c r="S376" i="2" s="1"/>
  <c r="S377" i="2" s="1"/>
  <c r="S378" i="2" s="1"/>
  <c r="S379" i="2" s="1"/>
  <c r="S380" i="2" s="1"/>
  <c r="S381" i="2" s="1"/>
  <c r="S382" i="2" s="1"/>
  <c r="S383" i="2" s="1"/>
  <c r="S384" i="2" s="1"/>
  <c r="S385" i="2" s="1"/>
  <c r="S386" i="2" s="1"/>
  <c r="S387" i="2" s="1"/>
  <c r="S388" i="2" s="1"/>
  <c r="S389" i="2" s="1"/>
  <c r="S390" i="2" s="1"/>
  <c r="S391" i="2" s="1"/>
  <c r="S392" i="2" s="1"/>
  <c r="S393" i="2" s="1"/>
  <c r="S394" i="2" s="1"/>
  <c r="S395" i="2" s="1"/>
  <c r="S396" i="2" s="1"/>
  <c r="S397" i="2" s="1"/>
  <c r="S398" i="2" s="1"/>
  <c r="S399" i="2" s="1"/>
  <c r="S400" i="2" s="1"/>
  <c r="S401" i="2" s="1"/>
  <c r="S402" i="2" s="1"/>
  <c r="S403" i="2" s="1"/>
  <c r="S404" i="2" s="1"/>
  <c r="S405" i="2" s="1"/>
  <c r="S406" i="2" s="1"/>
  <c r="S407" i="2" s="1"/>
  <c r="S408" i="2" s="1"/>
  <c r="S409" i="2" s="1"/>
  <c r="S410" i="2" s="1"/>
  <c r="S411" i="2" s="1"/>
  <c r="S412" i="2" s="1"/>
  <c r="S413" i="2" s="1"/>
  <c r="S414" i="2" s="1"/>
  <c r="S415" i="2" s="1"/>
  <c r="S416" i="2" s="1"/>
  <c r="S417" i="2" s="1"/>
  <c r="S418" i="2" s="1"/>
  <c r="S419" i="2" s="1"/>
  <c r="S420" i="2" s="1"/>
  <c r="S421" i="2" s="1"/>
  <c r="S422" i="2" s="1"/>
  <c r="S423" i="2" s="1"/>
  <c r="S424" i="2" s="1"/>
  <c r="S425" i="2" s="1"/>
  <c r="S426" i="2" s="1"/>
  <c r="S427" i="2" s="1"/>
  <c r="S428" i="2" s="1"/>
  <c r="S429" i="2" s="1"/>
  <c r="S430" i="2" s="1"/>
  <c r="S431" i="2" s="1"/>
  <c r="S432" i="2" s="1"/>
  <c r="S433" i="2" s="1"/>
  <c r="S434" i="2" s="1"/>
  <c r="S435" i="2" s="1"/>
  <c r="S436" i="2" s="1"/>
  <c r="S437" i="2" s="1"/>
  <c r="S438" i="2" s="1"/>
  <c r="S439" i="2" s="1"/>
  <c r="S440" i="2" s="1"/>
  <c r="S441" i="2" s="1"/>
  <c r="S442" i="2" s="1"/>
  <c r="S443" i="2" s="1"/>
  <c r="S444" i="2" s="1"/>
  <c r="S445" i="2" s="1"/>
  <c r="S446" i="2" s="1"/>
  <c r="S447" i="2" s="1"/>
  <c r="S448" i="2" s="1"/>
  <c r="S449" i="2" s="1"/>
  <c r="S450" i="2" s="1"/>
  <c r="S451" i="2" s="1"/>
  <c r="S452" i="2" s="1"/>
  <c r="S453" i="2" s="1"/>
  <c r="S454" i="2" s="1"/>
  <c r="S455" i="2" s="1"/>
  <c r="S456" i="2" s="1"/>
  <c r="S457" i="2" s="1"/>
  <c r="S458" i="2" s="1"/>
  <c r="S459" i="2" s="1"/>
  <c r="S460" i="2" s="1"/>
  <c r="S461" i="2" s="1"/>
  <c r="S462" i="2" s="1"/>
  <c r="S463" i="2" s="1"/>
  <c r="S464" i="2" s="1"/>
  <c r="S465" i="2" s="1"/>
  <c r="S466" i="2" s="1"/>
  <c r="S467" i="2" s="1"/>
  <c r="S468" i="2" s="1"/>
  <c r="S469" i="2" s="1"/>
  <c r="S470" i="2" s="1"/>
  <c r="S471" i="2" s="1"/>
  <c r="S472" i="2" s="1"/>
  <c r="S473" i="2" s="1"/>
  <c r="S474" i="2" s="1"/>
  <c r="S475" i="2" s="1"/>
  <c r="S476" i="2" s="1"/>
  <c r="S477" i="2" s="1"/>
  <c r="S478" i="2" s="1"/>
  <c r="S479" i="2" s="1"/>
  <c r="S480" i="2" s="1"/>
  <c r="S481" i="2" s="1"/>
  <c r="S482" i="2" s="1"/>
  <c r="S483" i="2" s="1"/>
  <c r="S484" i="2" s="1"/>
  <c r="S485" i="2" s="1"/>
  <c r="S486" i="2" s="1"/>
  <c r="S487" i="2" s="1"/>
  <c r="S488" i="2" s="1"/>
  <c r="S489" i="2" s="1"/>
  <c r="S490" i="2" s="1"/>
  <c r="S491" i="2" s="1"/>
  <c r="S492" i="2" s="1"/>
  <c r="S493" i="2" s="1"/>
  <c r="S494" i="2" s="1"/>
  <c r="S495" i="2" s="1"/>
  <c r="S496" i="2" s="1"/>
  <c r="S497" i="2" s="1"/>
  <c r="S498" i="2" s="1"/>
  <c r="S499" i="2" s="1"/>
  <c r="S500" i="2" s="1"/>
  <c r="S501" i="2" s="1"/>
  <c r="S502" i="2" s="1"/>
  <c r="S503" i="2" s="1"/>
  <c r="S504" i="2" s="1"/>
  <c r="S505" i="2" s="1"/>
  <c r="S506" i="2" s="1"/>
  <c r="S507" i="2" s="1"/>
  <c r="S508" i="2" s="1"/>
  <c r="S509" i="2" s="1"/>
  <c r="S510" i="2" s="1"/>
  <c r="S511" i="2" s="1"/>
  <c r="S512" i="2" s="1"/>
  <c r="S513" i="2" s="1"/>
  <c r="S514" i="2" s="1"/>
  <c r="S515" i="2" s="1"/>
  <c r="S516" i="2" s="1"/>
  <c r="S517" i="2" s="1"/>
  <c r="S518" i="2" s="1"/>
  <c r="S519" i="2" s="1"/>
  <c r="S520" i="2" s="1"/>
  <c r="S521" i="2" s="1"/>
  <c r="S522" i="2" s="1"/>
  <c r="S523" i="2" s="1"/>
  <c r="S524" i="2" s="1"/>
  <c r="S525" i="2" s="1"/>
  <c r="S526" i="2" s="1"/>
  <c r="S527" i="2" s="1"/>
  <c r="S528" i="2" s="1"/>
  <c r="S529" i="2" s="1"/>
  <c r="S530" i="2" s="1"/>
  <c r="S531" i="2" s="1"/>
  <c r="S532" i="2" s="1"/>
  <c r="S533" i="2" s="1"/>
  <c r="S534" i="2" s="1"/>
  <c r="S535" i="2" s="1"/>
  <c r="S536" i="2" s="1"/>
  <c r="S537" i="2" s="1"/>
  <c r="S538" i="2" s="1"/>
  <c r="S539" i="2" s="1"/>
  <c r="S540" i="2" s="1"/>
  <c r="S541" i="2" s="1"/>
  <c r="S542" i="2" s="1"/>
  <c r="S543" i="2" s="1"/>
  <c r="S544" i="2" s="1"/>
  <c r="S545" i="2" s="1"/>
  <c r="S546" i="2" s="1"/>
  <c r="S547" i="2" s="1"/>
  <c r="S548" i="2" s="1"/>
  <c r="S549" i="2" s="1"/>
  <c r="S550" i="2" s="1"/>
  <c r="S551" i="2" s="1"/>
  <c r="S552" i="2" s="1"/>
  <c r="S553" i="2" s="1"/>
  <c r="S554" i="2" s="1"/>
  <c r="S555" i="2" s="1"/>
  <c r="S556" i="2" s="1"/>
  <c r="S557" i="2" s="1"/>
  <c r="S558" i="2" s="1"/>
  <c r="S559" i="2" s="1"/>
  <c r="S560" i="2" s="1"/>
  <c r="S561" i="2" s="1"/>
  <c r="S562" i="2" s="1"/>
  <c r="S563" i="2" s="1"/>
  <c r="S564" i="2" s="1"/>
  <c r="S565" i="2" s="1"/>
  <c r="S566" i="2" s="1"/>
  <c r="S567" i="2" s="1"/>
  <c r="S568" i="2" s="1"/>
  <c r="S569" i="2" s="1"/>
  <c r="S570" i="2" s="1"/>
  <c r="S571" i="2" s="1"/>
  <c r="S572" i="2" s="1"/>
  <c r="S573" i="2" s="1"/>
  <c r="S574" i="2" s="1"/>
  <c r="S575" i="2" s="1"/>
  <c r="S576" i="2" s="1"/>
  <c r="S577" i="2" s="1"/>
  <c r="S578" i="2" s="1"/>
  <c r="S579" i="2" s="1"/>
  <c r="S580" i="2" s="1"/>
  <c r="S581" i="2" s="1"/>
  <c r="S582" i="2" s="1"/>
  <c r="S583" i="2" s="1"/>
  <c r="S584" i="2" s="1"/>
  <c r="S585" i="2" s="1"/>
  <c r="S586" i="2" s="1"/>
  <c r="S587" i="2" s="1"/>
  <c r="S588" i="2" s="1"/>
  <c r="S589" i="2" s="1"/>
  <c r="S590" i="2" s="1"/>
  <c r="S591" i="2" s="1"/>
  <c r="S592" i="2" s="1"/>
  <c r="S593" i="2" s="1"/>
  <c r="S594" i="2" s="1"/>
  <c r="S595" i="2" s="1"/>
  <c r="S596" i="2" s="1"/>
  <c r="S597" i="2" s="1"/>
  <c r="S598" i="2" s="1"/>
  <c r="S599" i="2" s="1"/>
  <c r="S600" i="2" s="1"/>
  <c r="S601" i="2" s="1"/>
  <c r="S602" i="2" s="1"/>
  <c r="S603" i="2" s="1"/>
  <c r="S604" i="2" s="1"/>
  <c r="S605" i="2" s="1"/>
  <c r="S606" i="2" s="1"/>
  <c r="S607" i="2" s="1"/>
  <c r="S608" i="2" s="1"/>
  <c r="S609" i="2" s="1"/>
  <c r="S610" i="2" s="1"/>
  <c r="S611" i="2" s="1"/>
  <c r="S612" i="2" s="1"/>
  <c r="S613" i="2" s="1"/>
  <c r="S614" i="2" s="1"/>
  <c r="S615" i="2" s="1"/>
  <c r="S616" i="2" s="1"/>
  <c r="S617" i="2" s="1"/>
  <c r="S618" i="2" s="1"/>
  <c r="S619" i="2" s="1"/>
  <c r="S620" i="2" s="1"/>
  <c r="S621" i="2" s="1"/>
  <c r="S622" i="2" s="1"/>
  <c r="S623" i="2" s="1"/>
  <c r="S624" i="2" s="1"/>
  <c r="S625" i="2" s="1"/>
  <c r="S626" i="2" s="1"/>
  <c r="S627" i="2" s="1"/>
  <c r="S628" i="2" s="1"/>
  <c r="S629" i="2" s="1"/>
  <c r="S630" i="2" s="1"/>
  <c r="S631" i="2" s="1"/>
  <c r="S632" i="2" s="1"/>
  <c r="S633" i="2" s="1"/>
  <c r="S634" i="2" s="1"/>
  <c r="S635" i="2" s="1"/>
  <c r="S636" i="2" s="1"/>
  <c r="S637" i="2" s="1"/>
  <c r="S638" i="2" s="1"/>
  <c r="S639" i="2" s="1"/>
  <c r="S640" i="2" s="1"/>
  <c r="S641" i="2" s="1"/>
  <c r="S642" i="2" s="1"/>
  <c r="S643" i="2" s="1"/>
  <c r="S644" i="2" s="1"/>
  <c r="S645" i="2" s="1"/>
  <c r="S646" i="2" s="1"/>
  <c r="S647" i="2" s="1"/>
  <c r="S648" i="2" s="1"/>
  <c r="S649" i="2" s="1"/>
  <c r="S650" i="2" s="1"/>
  <c r="S651" i="2" s="1"/>
  <c r="S652" i="2" s="1"/>
  <c r="S653" i="2" s="1"/>
  <c r="S654" i="2" s="1"/>
  <c r="S655" i="2" s="1"/>
  <c r="S656" i="2" s="1"/>
  <c r="S657" i="2" s="1"/>
  <c r="S658" i="2" s="1"/>
  <c r="S659" i="2" s="1"/>
  <c r="S660" i="2" s="1"/>
  <c r="S661" i="2" s="1"/>
  <c r="S662" i="2" s="1"/>
  <c r="S663" i="2" s="1"/>
  <c r="S664" i="2" s="1"/>
  <c r="S665" i="2" s="1"/>
  <c r="S666" i="2" s="1"/>
  <c r="S667" i="2" s="1"/>
  <c r="S668" i="2" s="1"/>
  <c r="S669" i="2" s="1"/>
  <c r="S670" i="2" s="1"/>
  <c r="S671" i="2" s="1"/>
  <c r="S672" i="2" s="1"/>
  <c r="S673" i="2" s="1"/>
  <c r="S674" i="2" s="1"/>
  <c r="S675" i="2" s="1"/>
  <c r="S676" i="2" s="1"/>
  <c r="S677" i="2" s="1"/>
  <c r="S678" i="2" s="1"/>
  <c r="S679" i="2" s="1"/>
  <c r="S680" i="2" s="1"/>
  <c r="S681" i="2" s="1"/>
  <c r="S682" i="2" s="1"/>
  <c r="S683" i="2" s="1"/>
  <c r="S684" i="2" s="1"/>
  <c r="S685" i="2" s="1"/>
  <c r="S686" i="2" s="1"/>
  <c r="S687" i="2" s="1"/>
  <c r="S688" i="2" s="1"/>
  <c r="S689" i="2" s="1"/>
  <c r="S690" i="2" s="1"/>
  <c r="S691" i="2" s="1"/>
  <c r="S692" i="2" s="1"/>
  <c r="S693" i="2" s="1"/>
  <c r="S694" i="2" s="1"/>
  <c r="S695" i="2" s="1"/>
  <c r="S696" i="2" s="1"/>
  <c r="S697" i="2" s="1"/>
  <c r="S698" i="2" s="1"/>
  <c r="S699" i="2" s="1"/>
  <c r="S700" i="2" s="1"/>
  <c r="S701" i="2" s="1"/>
  <c r="S702" i="2" s="1"/>
  <c r="S703" i="2" s="1"/>
  <c r="S704" i="2" s="1"/>
  <c r="S705" i="2" s="1"/>
  <c r="S706" i="2" s="1"/>
  <c r="S707" i="2" s="1"/>
  <c r="S708" i="2" s="1"/>
  <c r="S709" i="2" s="1"/>
  <c r="S710" i="2" s="1"/>
  <c r="S711" i="2" s="1"/>
  <c r="S712" i="2" s="1"/>
  <c r="S713" i="2" s="1"/>
  <c r="S714" i="2" s="1"/>
  <c r="S715" i="2" s="1"/>
  <c r="S716" i="2" s="1"/>
  <c r="S717" i="2" s="1"/>
  <c r="S718" i="2" s="1"/>
  <c r="S719" i="2" s="1"/>
  <c r="S720" i="2" s="1"/>
  <c r="S721" i="2" s="1"/>
  <c r="S722" i="2" s="1"/>
  <c r="S723" i="2" s="1"/>
  <c r="S724" i="2" s="1"/>
  <c r="S725" i="2" s="1"/>
  <c r="S726" i="2" s="1"/>
  <c r="S727" i="2" s="1"/>
  <c r="S728" i="2" s="1"/>
  <c r="S729" i="2" s="1"/>
  <c r="S730" i="2" s="1"/>
  <c r="S731" i="2" s="1"/>
  <c r="S732" i="2" s="1"/>
  <c r="R3" i="2"/>
  <c r="R4" i="2"/>
  <c r="R5" i="2" s="1"/>
  <c r="R6" i="2" s="1"/>
  <c r="R7" i="2" s="1"/>
  <c r="R8" i="2" s="1"/>
  <c r="R9" i="2" s="1"/>
  <c r="R10" i="2" s="1"/>
  <c r="R11" i="2" s="1"/>
  <c r="R12" i="2" s="1"/>
  <c r="R13" i="2" s="1"/>
  <c r="R14" i="2" s="1"/>
  <c r="R15" i="2" s="1"/>
  <c r="R16" i="2" s="1"/>
  <c r="R17" i="2" s="1"/>
  <c r="R18" i="2" s="1"/>
  <c r="R19" i="2" s="1"/>
  <c r="R20" i="2" s="1"/>
  <c r="R21" i="2" s="1"/>
  <c r="R22" i="2" s="1"/>
  <c r="R23" i="2" s="1"/>
  <c r="R24" i="2" s="1"/>
  <c r="R25" i="2" s="1"/>
  <c r="R26" i="2" s="1"/>
  <c r="R27" i="2" s="1"/>
  <c r="R28" i="2" s="1"/>
  <c r="R29" i="2" s="1"/>
  <c r="R30" i="2" s="1"/>
  <c r="R31" i="2" s="1"/>
  <c r="R32" i="2" s="1"/>
  <c r="R33" i="2" s="1"/>
  <c r="R34" i="2" s="1"/>
  <c r="R35" i="2" s="1"/>
  <c r="R36" i="2" s="1"/>
  <c r="R37" i="2" s="1"/>
  <c r="R38" i="2" s="1"/>
  <c r="R39" i="2" s="1"/>
  <c r="R40" i="2" s="1"/>
  <c r="R41" i="2" s="1"/>
  <c r="R42" i="2" s="1"/>
  <c r="R43" i="2" s="1"/>
  <c r="R44" i="2" s="1"/>
  <c r="R45" i="2" s="1"/>
  <c r="R46" i="2" s="1"/>
  <c r="R47" i="2" s="1"/>
  <c r="R48" i="2" s="1"/>
  <c r="R49" i="2" s="1"/>
  <c r="R50" i="2" s="1"/>
  <c r="R51" i="2" s="1"/>
  <c r="R52" i="2" s="1"/>
  <c r="R53" i="2" s="1"/>
  <c r="R54" i="2" s="1"/>
  <c r="R55" i="2" s="1"/>
  <c r="R56" i="2" s="1"/>
  <c r="R57" i="2" s="1"/>
  <c r="R58" i="2" s="1"/>
  <c r="R59" i="2" s="1"/>
  <c r="R60" i="2" s="1"/>
  <c r="R61" i="2" s="1"/>
  <c r="R62" i="2" s="1"/>
  <c r="R63" i="2" s="1"/>
  <c r="R64" i="2" s="1"/>
  <c r="R65" i="2" s="1"/>
  <c r="R66" i="2" s="1"/>
  <c r="R67" i="2" s="1"/>
  <c r="R68" i="2" s="1"/>
  <c r="R69" i="2" s="1"/>
  <c r="R70" i="2" s="1"/>
  <c r="R71" i="2" s="1"/>
  <c r="R72" i="2" s="1"/>
  <c r="R73" i="2" s="1"/>
  <c r="R74" i="2" s="1"/>
  <c r="R75" i="2" s="1"/>
  <c r="R76" i="2" s="1"/>
  <c r="R77" i="2" s="1"/>
  <c r="R78" i="2" s="1"/>
  <c r="R79" i="2" s="1"/>
  <c r="R80" i="2" s="1"/>
  <c r="R81" i="2" s="1"/>
  <c r="R82" i="2" s="1"/>
  <c r="R83" i="2" s="1"/>
  <c r="R84" i="2" s="1"/>
  <c r="R85" i="2" s="1"/>
  <c r="R86" i="2" s="1"/>
  <c r="R87" i="2" s="1"/>
  <c r="R88" i="2" s="1"/>
  <c r="R89" i="2" s="1"/>
  <c r="R90" i="2" s="1"/>
  <c r="R91" i="2" s="1"/>
  <c r="R92" i="2" s="1"/>
  <c r="R93" i="2" s="1"/>
  <c r="R94" i="2" s="1"/>
  <c r="R95" i="2" s="1"/>
  <c r="R96" i="2" s="1"/>
  <c r="R97" i="2" s="1"/>
  <c r="R98" i="2" s="1"/>
  <c r="R99" i="2" s="1"/>
  <c r="R100" i="2" s="1"/>
  <c r="R101" i="2" s="1"/>
  <c r="R102" i="2" s="1"/>
  <c r="R103" i="2" s="1"/>
  <c r="R104" i="2" s="1"/>
  <c r="R105" i="2" s="1"/>
  <c r="R106" i="2" s="1"/>
  <c r="R107" i="2" s="1"/>
  <c r="R108" i="2" s="1"/>
  <c r="R109" i="2" s="1"/>
  <c r="R110" i="2" s="1"/>
  <c r="R111" i="2" s="1"/>
  <c r="R112" i="2" s="1"/>
  <c r="R113" i="2" s="1"/>
  <c r="R114" i="2" s="1"/>
  <c r="R115" i="2" s="1"/>
  <c r="R116" i="2" s="1"/>
  <c r="R117" i="2" s="1"/>
  <c r="R118" i="2" s="1"/>
  <c r="R119" i="2" s="1"/>
  <c r="R120" i="2" s="1"/>
  <c r="R121" i="2" s="1"/>
  <c r="R122" i="2" s="1"/>
  <c r="R123" i="2" s="1"/>
  <c r="R124" i="2" s="1"/>
  <c r="R125" i="2" s="1"/>
  <c r="R126" i="2" s="1"/>
  <c r="R127" i="2" s="1"/>
  <c r="R128" i="2" s="1"/>
  <c r="R129" i="2" s="1"/>
  <c r="R130" i="2" s="1"/>
  <c r="R131" i="2" s="1"/>
  <c r="R132" i="2" s="1"/>
  <c r="R133" i="2" s="1"/>
  <c r="R134" i="2" s="1"/>
  <c r="R135" i="2" s="1"/>
  <c r="R136" i="2" s="1"/>
  <c r="R137" i="2" s="1"/>
  <c r="R138" i="2" s="1"/>
  <c r="R139" i="2" s="1"/>
  <c r="R140" i="2" s="1"/>
  <c r="R141" i="2" s="1"/>
  <c r="R142" i="2" s="1"/>
  <c r="R143" i="2" s="1"/>
  <c r="R144" i="2" s="1"/>
  <c r="R145" i="2" s="1"/>
  <c r="R146" i="2" s="1"/>
  <c r="R147" i="2" s="1"/>
  <c r="R148" i="2" s="1"/>
  <c r="R149" i="2" s="1"/>
  <c r="R150" i="2" s="1"/>
  <c r="R151" i="2" s="1"/>
  <c r="R152" i="2" s="1"/>
  <c r="R153" i="2" s="1"/>
  <c r="R154" i="2" s="1"/>
  <c r="R155" i="2" s="1"/>
  <c r="R156" i="2" s="1"/>
  <c r="R157" i="2" s="1"/>
  <c r="R158" i="2" s="1"/>
  <c r="R159" i="2" s="1"/>
  <c r="R160" i="2" s="1"/>
  <c r="R161" i="2" s="1"/>
  <c r="R162" i="2" s="1"/>
  <c r="R163" i="2" s="1"/>
  <c r="R164" i="2" s="1"/>
  <c r="R165" i="2" s="1"/>
  <c r="R166" i="2" s="1"/>
  <c r="R167" i="2" s="1"/>
  <c r="R168" i="2" s="1"/>
  <c r="R169" i="2" s="1"/>
  <c r="R170" i="2" s="1"/>
  <c r="R171" i="2" s="1"/>
  <c r="R172" i="2" s="1"/>
  <c r="R173" i="2" s="1"/>
  <c r="R174" i="2" s="1"/>
  <c r="R175" i="2" s="1"/>
  <c r="R176" i="2" s="1"/>
  <c r="R177" i="2" s="1"/>
  <c r="R178" i="2" s="1"/>
  <c r="R179" i="2" s="1"/>
  <c r="R180" i="2" s="1"/>
  <c r="R181" i="2" s="1"/>
  <c r="R182" i="2" s="1"/>
  <c r="R183" i="2" s="1"/>
  <c r="R184" i="2" s="1"/>
  <c r="R185" i="2" s="1"/>
  <c r="R186" i="2" s="1"/>
  <c r="R187" i="2" s="1"/>
  <c r="R188" i="2" s="1"/>
  <c r="R189" i="2" s="1"/>
  <c r="R190" i="2" s="1"/>
  <c r="R191" i="2" s="1"/>
  <c r="R192" i="2" s="1"/>
  <c r="R193" i="2" s="1"/>
  <c r="R194" i="2" s="1"/>
  <c r="R195" i="2" s="1"/>
  <c r="R196" i="2" s="1"/>
  <c r="R197" i="2" s="1"/>
  <c r="R198" i="2" s="1"/>
  <c r="R199" i="2" s="1"/>
  <c r="R200" i="2" s="1"/>
  <c r="R201" i="2" s="1"/>
  <c r="R202" i="2" s="1"/>
  <c r="R203" i="2" s="1"/>
  <c r="R204" i="2" s="1"/>
  <c r="R205" i="2" s="1"/>
  <c r="R206" i="2" s="1"/>
  <c r="R207" i="2" s="1"/>
  <c r="R208" i="2" s="1"/>
  <c r="R209" i="2" s="1"/>
  <c r="R210" i="2" s="1"/>
  <c r="R211" i="2" s="1"/>
  <c r="R212" i="2" s="1"/>
  <c r="R213" i="2" s="1"/>
  <c r="R214" i="2" s="1"/>
  <c r="R215" i="2" s="1"/>
  <c r="R216" i="2" s="1"/>
  <c r="R217" i="2" s="1"/>
  <c r="R218" i="2" s="1"/>
  <c r="R219" i="2" s="1"/>
  <c r="R220" i="2" s="1"/>
  <c r="R221" i="2" s="1"/>
  <c r="R222" i="2" s="1"/>
  <c r="R223" i="2" s="1"/>
  <c r="R224" i="2" s="1"/>
  <c r="R225" i="2" s="1"/>
  <c r="R226" i="2" s="1"/>
  <c r="R227" i="2" s="1"/>
  <c r="R228" i="2" s="1"/>
  <c r="R229" i="2" s="1"/>
  <c r="R230" i="2" s="1"/>
  <c r="R231" i="2" s="1"/>
  <c r="R232" i="2" s="1"/>
  <c r="R233" i="2" s="1"/>
  <c r="R234" i="2" s="1"/>
  <c r="R235" i="2" s="1"/>
  <c r="R236" i="2" s="1"/>
  <c r="R237" i="2" s="1"/>
  <c r="R238" i="2" s="1"/>
  <c r="R239" i="2" s="1"/>
  <c r="R240" i="2" s="1"/>
  <c r="R241" i="2" s="1"/>
  <c r="R242" i="2" s="1"/>
  <c r="R243" i="2" s="1"/>
  <c r="R244" i="2" s="1"/>
  <c r="R245" i="2" s="1"/>
  <c r="R246" i="2" s="1"/>
  <c r="R247" i="2" s="1"/>
  <c r="R248" i="2" s="1"/>
  <c r="R249" i="2" s="1"/>
  <c r="R250" i="2" s="1"/>
  <c r="R251" i="2" s="1"/>
  <c r="R252" i="2" s="1"/>
  <c r="R253" i="2" s="1"/>
  <c r="R254" i="2" s="1"/>
  <c r="R255" i="2" s="1"/>
  <c r="R256" i="2" s="1"/>
  <c r="R257" i="2" s="1"/>
  <c r="R258" i="2" s="1"/>
  <c r="R259" i="2" s="1"/>
  <c r="R260" i="2" s="1"/>
  <c r="R261" i="2" s="1"/>
  <c r="R262" i="2" s="1"/>
  <c r="R263" i="2" s="1"/>
  <c r="R264" i="2" s="1"/>
  <c r="R265" i="2" s="1"/>
  <c r="R266" i="2" s="1"/>
  <c r="R267" i="2" s="1"/>
  <c r="R268" i="2" s="1"/>
  <c r="R269" i="2" s="1"/>
  <c r="R270" i="2" s="1"/>
  <c r="R271" i="2" s="1"/>
  <c r="R272" i="2" s="1"/>
  <c r="R273" i="2" s="1"/>
  <c r="R274" i="2" s="1"/>
  <c r="R275" i="2" s="1"/>
  <c r="R276" i="2" s="1"/>
  <c r="R277" i="2" s="1"/>
  <c r="R278" i="2" s="1"/>
  <c r="R279" i="2" s="1"/>
  <c r="R280" i="2" s="1"/>
  <c r="R281" i="2" s="1"/>
  <c r="R282" i="2" s="1"/>
  <c r="R283" i="2" s="1"/>
  <c r="R284" i="2" s="1"/>
  <c r="R285" i="2" s="1"/>
  <c r="R286" i="2" s="1"/>
  <c r="R287" i="2" s="1"/>
  <c r="R288" i="2" s="1"/>
  <c r="R289" i="2" s="1"/>
  <c r="R290" i="2" s="1"/>
  <c r="R291" i="2" s="1"/>
  <c r="R292" i="2" s="1"/>
  <c r="R293" i="2" s="1"/>
  <c r="R294" i="2" s="1"/>
  <c r="R295" i="2" s="1"/>
  <c r="R296" i="2" s="1"/>
  <c r="R297" i="2" s="1"/>
  <c r="R298" i="2" s="1"/>
  <c r="R299" i="2" s="1"/>
  <c r="R300" i="2" s="1"/>
  <c r="R301" i="2" s="1"/>
  <c r="R302" i="2" s="1"/>
  <c r="R303" i="2" s="1"/>
  <c r="R304" i="2" s="1"/>
  <c r="R305" i="2" s="1"/>
  <c r="R306" i="2" s="1"/>
  <c r="R307" i="2" s="1"/>
  <c r="R308" i="2" s="1"/>
  <c r="R309" i="2" s="1"/>
  <c r="R310" i="2" s="1"/>
  <c r="R311" i="2" s="1"/>
  <c r="R312" i="2" s="1"/>
  <c r="R313" i="2" s="1"/>
  <c r="R314" i="2" s="1"/>
  <c r="R315" i="2" s="1"/>
  <c r="R316" i="2" s="1"/>
  <c r="R317" i="2" s="1"/>
  <c r="R318" i="2" s="1"/>
  <c r="R319" i="2" s="1"/>
  <c r="R320" i="2" s="1"/>
  <c r="R321" i="2" s="1"/>
  <c r="R322" i="2" s="1"/>
  <c r="R323" i="2" s="1"/>
  <c r="R324" i="2" s="1"/>
  <c r="R325" i="2" s="1"/>
  <c r="R326" i="2" s="1"/>
  <c r="R327" i="2" s="1"/>
  <c r="R328" i="2" s="1"/>
  <c r="R329" i="2" s="1"/>
  <c r="R330" i="2" s="1"/>
  <c r="R331" i="2" s="1"/>
  <c r="R332" i="2" s="1"/>
  <c r="R333" i="2" s="1"/>
  <c r="R334" i="2" s="1"/>
  <c r="R335" i="2" s="1"/>
  <c r="R336" i="2" s="1"/>
  <c r="R337" i="2" s="1"/>
  <c r="R338" i="2" s="1"/>
  <c r="R339" i="2" s="1"/>
  <c r="R340" i="2" s="1"/>
  <c r="R341" i="2" s="1"/>
  <c r="R342" i="2" s="1"/>
  <c r="R343" i="2" s="1"/>
  <c r="R344" i="2" s="1"/>
  <c r="R345" i="2" s="1"/>
  <c r="R346" i="2" s="1"/>
  <c r="R347" i="2" s="1"/>
  <c r="R348" i="2" s="1"/>
  <c r="R349" i="2" s="1"/>
  <c r="R350" i="2" s="1"/>
  <c r="R351" i="2" s="1"/>
  <c r="R352" i="2" s="1"/>
  <c r="R353" i="2" s="1"/>
  <c r="R354" i="2" s="1"/>
  <c r="R355" i="2" s="1"/>
  <c r="R356" i="2" s="1"/>
  <c r="R357" i="2" s="1"/>
  <c r="R358" i="2" s="1"/>
  <c r="R359" i="2" s="1"/>
  <c r="R360" i="2" s="1"/>
  <c r="R361" i="2" s="1"/>
  <c r="R362" i="2" s="1"/>
  <c r="R363" i="2" s="1"/>
  <c r="R364" i="2" s="1"/>
  <c r="R365" i="2" s="1"/>
  <c r="R366" i="2" s="1"/>
  <c r="R367" i="2" s="1"/>
  <c r="R368" i="2" s="1"/>
  <c r="R369" i="2" s="1"/>
  <c r="R370" i="2" s="1"/>
  <c r="R371" i="2" s="1"/>
  <c r="R372" i="2" s="1"/>
  <c r="R373" i="2" s="1"/>
  <c r="R374" i="2" s="1"/>
  <c r="R375" i="2" s="1"/>
  <c r="R376" i="2" s="1"/>
  <c r="R377" i="2" s="1"/>
  <c r="R378" i="2" s="1"/>
  <c r="R379" i="2" s="1"/>
  <c r="R380" i="2" s="1"/>
  <c r="R381" i="2" s="1"/>
  <c r="R382" i="2" s="1"/>
  <c r="R383" i="2" s="1"/>
  <c r="R384" i="2" s="1"/>
  <c r="R385" i="2" s="1"/>
  <c r="R386" i="2" s="1"/>
  <c r="R387" i="2" s="1"/>
  <c r="R388" i="2" s="1"/>
  <c r="R389" i="2" s="1"/>
  <c r="R390" i="2" s="1"/>
  <c r="R391" i="2" s="1"/>
  <c r="R392" i="2" s="1"/>
  <c r="R393" i="2" s="1"/>
  <c r="R394" i="2" s="1"/>
  <c r="R395" i="2" s="1"/>
  <c r="R396" i="2" s="1"/>
  <c r="R397" i="2" s="1"/>
  <c r="R398" i="2" s="1"/>
  <c r="R399" i="2" s="1"/>
  <c r="R400" i="2" s="1"/>
  <c r="R401" i="2" s="1"/>
  <c r="R402" i="2" s="1"/>
  <c r="R403" i="2" s="1"/>
  <c r="R404" i="2" s="1"/>
  <c r="R405" i="2" s="1"/>
  <c r="R406" i="2" s="1"/>
  <c r="R407" i="2" s="1"/>
  <c r="R408" i="2" s="1"/>
  <c r="R409" i="2" s="1"/>
  <c r="R410" i="2" s="1"/>
  <c r="R411" i="2" s="1"/>
  <c r="R412" i="2" s="1"/>
  <c r="R413" i="2" s="1"/>
  <c r="R414" i="2" s="1"/>
  <c r="R415" i="2" s="1"/>
  <c r="R416" i="2" s="1"/>
  <c r="R417" i="2" s="1"/>
  <c r="R418" i="2" s="1"/>
  <c r="R419" i="2" s="1"/>
  <c r="R420" i="2" s="1"/>
  <c r="R421" i="2" s="1"/>
  <c r="R422" i="2" s="1"/>
  <c r="R423" i="2" s="1"/>
  <c r="R424" i="2" s="1"/>
  <c r="R425" i="2" s="1"/>
  <c r="R426" i="2" s="1"/>
  <c r="R427" i="2" s="1"/>
  <c r="R428" i="2" s="1"/>
  <c r="R429" i="2" s="1"/>
  <c r="R430" i="2" s="1"/>
  <c r="R431" i="2" s="1"/>
  <c r="R432" i="2" s="1"/>
  <c r="R433" i="2" s="1"/>
  <c r="R434" i="2" s="1"/>
  <c r="R435" i="2" s="1"/>
  <c r="R436" i="2" s="1"/>
  <c r="R437" i="2" s="1"/>
  <c r="R438" i="2" s="1"/>
  <c r="R439" i="2" s="1"/>
  <c r="R440" i="2" s="1"/>
  <c r="R441" i="2" s="1"/>
  <c r="R442" i="2" s="1"/>
  <c r="R443" i="2" s="1"/>
  <c r="R444" i="2" s="1"/>
  <c r="R445" i="2" s="1"/>
  <c r="R446" i="2" s="1"/>
  <c r="R447" i="2" s="1"/>
  <c r="R448" i="2" s="1"/>
  <c r="R449" i="2" s="1"/>
  <c r="R450" i="2" s="1"/>
  <c r="R451" i="2" s="1"/>
  <c r="R452" i="2" s="1"/>
  <c r="R453" i="2" s="1"/>
  <c r="R454" i="2" s="1"/>
  <c r="R455" i="2" s="1"/>
  <c r="R456" i="2" s="1"/>
  <c r="R457" i="2" s="1"/>
  <c r="R458" i="2" s="1"/>
  <c r="R459" i="2" s="1"/>
  <c r="R460" i="2" s="1"/>
  <c r="R461" i="2" s="1"/>
  <c r="R462" i="2" s="1"/>
  <c r="R463" i="2" s="1"/>
  <c r="R464" i="2" s="1"/>
  <c r="R465" i="2" s="1"/>
  <c r="R466" i="2" s="1"/>
  <c r="R467" i="2" s="1"/>
  <c r="R468" i="2" s="1"/>
  <c r="R469" i="2" s="1"/>
  <c r="R470" i="2" s="1"/>
  <c r="R471" i="2" s="1"/>
  <c r="R472" i="2" s="1"/>
  <c r="R473" i="2" s="1"/>
  <c r="R474" i="2" s="1"/>
  <c r="R475" i="2" s="1"/>
  <c r="R476" i="2" s="1"/>
  <c r="R477" i="2" s="1"/>
  <c r="R478" i="2" s="1"/>
  <c r="R479" i="2" s="1"/>
  <c r="R480" i="2" s="1"/>
  <c r="R481" i="2" s="1"/>
  <c r="R482" i="2" s="1"/>
  <c r="R483" i="2" s="1"/>
  <c r="R484" i="2" s="1"/>
  <c r="R485" i="2" s="1"/>
  <c r="R486" i="2" s="1"/>
  <c r="R487" i="2" s="1"/>
  <c r="R488" i="2" s="1"/>
  <c r="R489" i="2" s="1"/>
  <c r="R490" i="2" s="1"/>
  <c r="R491" i="2" s="1"/>
  <c r="R492" i="2" s="1"/>
  <c r="R493" i="2" s="1"/>
  <c r="R494" i="2" s="1"/>
  <c r="R495" i="2" s="1"/>
  <c r="R496" i="2" s="1"/>
  <c r="R497" i="2" s="1"/>
  <c r="R498" i="2" s="1"/>
  <c r="R499" i="2" s="1"/>
  <c r="R500" i="2" s="1"/>
  <c r="R501" i="2" s="1"/>
  <c r="R502" i="2" s="1"/>
  <c r="R503" i="2" s="1"/>
  <c r="R504" i="2" s="1"/>
  <c r="R505" i="2" s="1"/>
  <c r="R506" i="2" s="1"/>
  <c r="R507" i="2" s="1"/>
  <c r="R508" i="2" s="1"/>
  <c r="R509" i="2" s="1"/>
  <c r="R510" i="2" s="1"/>
  <c r="R511" i="2" s="1"/>
  <c r="R512" i="2" s="1"/>
  <c r="R513" i="2" s="1"/>
  <c r="R514" i="2" s="1"/>
  <c r="R515" i="2" s="1"/>
  <c r="R516" i="2" s="1"/>
  <c r="R517" i="2" s="1"/>
  <c r="R518" i="2" s="1"/>
  <c r="R519" i="2" s="1"/>
  <c r="R520" i="2" s="1"/>
  <c r="R521" i="2" s="1"/>
  <c r="R522" i="2" s="1"/>
  <c r="R523" i="2" s="1"/>
  <c r="R524" i="2" s="1"/>
  <c r="R525" i="2" s="1"/>
  <c r="R526" i="2" s="1"/>
  <c r="R527" i="2" s="1"/>
  <c r="R528" i="2" s="1"/>
  <c r="R529" i="2" s="1"/>
  <c r="R530" i="2" s="1"/>
  <c r="R531" i="2" s="1"/>
  <c r="R532" i="2" s="1"/>
  <c r="R533" i="2" s="1"/>
  <c r="R534" i="2" s="1"/>
  <c r="R535" i="2" s="1"/>
  <c r="R536" i="2" s="1"/>
  <c r="R537" i="2" s="1"/>
  <c r="R538" i="2" s="1"/>
  <c r="R539" i="2" s="1"/>
  <c r="R540" i="2" s="1"/>
  <c r="R541" i="2" s="1"/>
  <c r="R542" i="2" s="1"/>
  <c r="R543" i="2" s="1"/>
  <c r="R544" i="2" s="1"/>
  <c r="R545" i="2" s="1"/>
  <c r="R546" i="2" s="1"/>
  <c r="R547" i="2" s="1"/>
  <c r="R548" i="2" s="1"/>
  <c r="R549" i="2" s="1"/>
  <c r="R550" i="2" s="1"/>
  <c r="R551" i="2" s="1"/>
  <c r="R552" i="2" s="1"/>
  <c r="R553" i="2" s="1"/>
  <c r="R554" i="2" s="1"/>
  <c r="R555" i="2" s="1"/>
  <c r="R556" i="2" s="1"/>
  <c r="R557" i="2" s="1"/>
  <c r="R558" i="2" s="1"/>
  <c r="R559" i="2" s="1"/>
  <c r="R560" i="2" s="1"/>
  <c r="R561" i="2" s="1"/>
  <c r="R562" i="2" s="1"/>
  <c r="R563" i="2" s="1"/>
  <c r="R564" i="2" s="1"/>
  <c r="R565" i="2" s="1"/>
  <c r="R566" i="2" s="1"/>
  <c r="R567" i="2" s="1"/>
  <c r="R568" i="2" s="1"/>
  <c r="R569" i="2" s="1"/>
  <c r="R570" i="2" s="1"/>
  <c r="R571" i="2" s="1"/>
  <c r="R572" i="2" s="1"/>
  <c r="R573" i="2" s="1"/>
  <c r="R574" i="2" s="1"/>
  <c r="R575" i="2" s="1"/>
  <c r="R576" i="2" s="1"/>
  <c r="R577" i="2" s="1"/>
  <c r="R578" i="2" s="1"/>
  <c r="R579" i="2" s="1"/>
  <c r="R580" i="2" s="1"/>
  <c r="R581" i="2" s="1"/>
  <c r="R582" i="2" s="1"/>
  <c r="R583" i="2" s="1"/>
  <c r="R584" i="2" s="1"/>
  <c r="R585" i="2" s="1"/>
  <c r="R586" i="2" s="1"/>
  <c r="R587" i="2" s="1"/>
  <c r="R588" i="2" s="1"/>
  <c r="R589" i="2" s="1"/>
  <c r="R590" i="2" s="1"/>
  <c r="R591" i="2" s="1"/>
  <c r="R592" i="2" s="1"/>
  <c r="R593" i="2" s="1"/>
  <c r="R594" i="2" s="1"/>
  <c r="R595" i="2" s="1"/>
  <c r="R596" i="2" s="1"/>
  <c r="R597" i="2" s="1"/>
  <c r="R598" i="2" s="1"/>
  <c r="R599" i="2" s="1"/>
  <c r="R600" i="2" s="1"/>
  <c r="R601" i="2" s="1"/>
  <c r="R602" i="2" s="1"/>
  <c r="R603" i="2" s="1"/>
  <c r="R604" i="2" s="1"/>
  <c r="R605" i="2" s="1"/>
  <c r="R606" i="2" s="1"/>
  <c r="R607" i="2" s="1"/>
  <c r="R608" i="2" s="1"/>
  <c r="R609" i="2" s="1"/>
  <c r="R610" i="2" s="1"/>
  <c r="R611" i="2" s="1"/>
  <c r="R612" i="2" s="1"/>
  <c r="R613" i="2" s="1"/>
  <c r="R614" i="2" s="1"/>
  <c r="R615" i="2" s="1"/>
  <c r="R616" i="2" s="1"/>
  <c r="R617" i="2" s="1"/>
  <c r="R618" i="2" s="1"/>
  <c r="R619" i="2" s="1"/>
  <c r="R620" i="2" s="1"/>
  <c r="R621" i="2" s="1"/>
  <c r="R622" i="2" s="1"/>
  <c r="R623" i="2" s="1"/>
  <c r="R624" i="2" s="1"/>
  <c r="R625" i="2" s="1"/>
  <c r="R626" i="2" s="1"/>
  <c r="R627" i="2" s="1"/>
  <c r="R628" i="2" s="1"/>
  <c r="R629" i="2" s="1"/>
  <c r="R630" i="2" s="1"/>
  <c r="R631" i="2" s="1"/>
  <c r="R632" i="2" s="1"/>
  <c r="R633" i="2" s="1"/>
  <c r="R634" i="2" s="1"/>
  <c r="R635" i="2" s="1"/>
  <c r="R636" i="2" s="1"/>
  <c r="R637" i="2" s="1"/>
  <c r="R638" i="2" s="1"/>
  <c r="R639" i="2" s="1"/>
  <c r="R640" i="2" s="1"/>
  <c r="R641" i="2" s="1"/>
  <c r="R642" i="2" s="1"/>
  <c r="R643" i="2" s="1"/>
  <c r="R644" i="2" s="1"/>
  <c r="R645" i="2" s="1"/>
  <c r="R646" i="2" s="1"/>
  <c r="R647" i="2" s="1"/>
  <c r="R648" i="2" s="1"/>
  <c r="R649" i="2" s="1"/>
  <c r="R650" i="2" s="1"/>
  <c r="R651" i="2" s="1"/>
  <c r="R652" i="2" s="1"/>
  <c r="R653" i="2" s="1"/>
  <c r="R654" i="2" s="1"/>
  <c r="R655" i="2" s="1"/>
  <c r="R656" i="2" s="1"/>
  <c r="R657" i="2" s="1"/>
  <c r="R658" i="2" s="1"/>
  <c r="R659" i="2" s="1"/>
  <c r="R660" i="2" s="1"/>
  <c r="R661" i="2" s="1"/>
  <c r="R662" i="2" s="1"/>
  <c r="R663" i="2" s="1"/>
  <c r="R664" i="2" s="1"/>
  <c r="R665" i="2" s="1"/>
  <c r="R666" i="2" s="1"/>
  <c r="R667" i="2" s="1"/>
  <c r="R668" i="2" s="1"/>
  <c r="R669" i="2" s="1"/>
  <c r="R670" i="2" s="1"/>
  <c r="R671" i="2" s="1"/>
  <c r="R672" i="2" s="1"/>
  <c r="R673" i="2" s="1"/>
  <c r="R674" i="2" s="1"/>
  <c r="R675" i="2" s="1"/>
  <c r="R676" i="2" s="1"/>
  <c r="R677" i="2" s="1"/>
  <c r="R678" i="2" s="1"/>
  <c r="R679" i="2" s="1"/>
  <c r="R680" i="2" s="1"/>
  <c r="R681" i="2" s="1"/>
  <c r="R682" i="2" s="1"/>
  <c r="R683" i="2" s="1"/>
  <c r="R684" i="2" s="1"/>
  <c r="R685" i="2" s="1"/>
  <c r="R686" i="2" s="1"/>
  <c r="R687" i="2" s="1"/>
  <c r="R688" i="2" s="1"/>
  <c r="R689" i="2" s="1"/>
  <c r="R690" i="2" s="1"/>
  <c r="R691" i="2" s="1"/>
  <c r="R692" i="2" s="1"/>
  <c r="R693" i="2" s="1"/>
  <c r="R694" i="2" s="1"/>
  <c r="R695" i="2" s="1"/>
  <c r="R696" i="2" s="1"/>
  <c r="R697" i="2" s="1"/>
  <c r="R698" i="2" s="1"/>
  <c r="R699" i="2" s="1"/>
  <c r="R700" i="2" s="1"/>
  <c r="R701" i="2" s="1"/>
  <c r="R702" i="2" s="1"/>
  <c r="R703" i="2" s="1"/>
  <c r="R704" i="2" s="1"/>
  <c r="R705" i="2" s="1"/>
  <c r="R706" i="2" s="1"/>
  <c r="R707" i="2" s="1"/>
  <c r="R708" i="2" s="1"/>
  <c r="R709" i="2" s="1"/>
  <c r="R710" i="2" s="1"/>
  <c r="R711" i="2" s="1"/>
  <c r="R712" i="2" s="1"/>
  <c r="R713" i="2" s="1"/>
  <c r="R714" i="2" s="1"/>
  <c r="R715" i="2" s="1"/>
  <c r="R716" i="2" s="1"/>
  <c r="R717" i="2" s="1"/>
  <c r="R718" i="2" s="1"/>
  <c r="R719" i="2" s="1"/>
  <c r="R720" i="2" s="1"/>
  <c r="R721" i="2" s="1"/>
  <c r="R722" i="2" s="1"/>
  <c r="R723" i="2" s="1"/>
  <c r="R724" i="2" s="1"/>
  <c r="R725" i="2" s="1"/>
  <c r="R726" i="2" s="1"/>
  <c r="R727" i="2" s="1"/>
  <c r="R728" i="2" s="1"/>
  <c r="R729" i="2" s="1"/>
  <c r="R730" i="2" s="1"/>
  <c r="R731" i="2" s="1"/>
  <c r="R732" i="2" s="1"/>
  <c r="Q3" i="2"/>
  <c r="Q4" i="2"/>
  <c r="Q5" i="2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Q246" i="2" s="1"/>
  <c r="Q247" i="2" s="1"/>
  <c r="Q248" i="2" s="1"/>
  <c r="Q249" i="2" s="1"/>
  <c r="Q250" i="2" s="1"/>
  <c r="Q251" i="2" s="1"/>
  <c r="Q252" i="2" s="1"/>
  <c r="Q253" i="2" s="1"/>
  <c r="Q254" i="2" s="1"/>
  <c r="Q255" i="2" s="1"/>
  <c r="Q256" i="2" s="1"/>
  <c r="Q257" i="2" s="1"/>
  <c r="Q258" i="2" s="1"/>
  <c r="Q259" i="2" s="1"/>
  <c r="Q260" i="2" s="1"/>
  <c r="Q261" i="2" s="1"/>
  <c r="Q262" i="2" s="1"/>
  <c r="Q263" i="2" s="1"/>
  <c r="Q264" i="2" s="1"/>
  <c r="Q265" i="2" s="1"/>
  <c r="Q266" i="2" s="1"/>
  <c r="Q267" i="2" s="1"/>
  <c r="Q268" i="2" s="1"/>
  <c r="Q269" i="2" s="1"/>
  <c r="Q270" i="2" s="1"/>
  <c r="Q271" i="2" s="1"/>
  <c r="Q272" i="2" s="1"/>
  <c r="Q273" i="2" s="1"/>
  <c r="Q274" i="2" s="1"/>
  <c r="Q275" i="2" s="1"/>
  <c r="Q276" i="2" s="1"/>
  <c r="Q277" i="2" s="1"/>
  <c r="Q278" i="2" s="1"/>
  <c r="Q279" i="2" s="1"/>
  <c r="Q280" i="2" s="1"/>
  <c r="Q281" i="2" s="1"/>
  <c r="Q282" i="2" s="1"/>
  <c r="Q283" i="2" s="1"/>
  <c r="Q284" i="2" s="1"/>
  <c r="Q285" i="2" s="1"/>
  <c r="Q286" i="2" s="1"/>
  <c r="Q287" i="2" s="1"/>
  <c r="Q288" i="2" s="1"/>
  <c r="Q289" i="2" s="1"/>
  <c r="Q290" i="2" s="1"/>
  <c r="Q291" i="2" s="1"/>
  <c r="Q292" i="2" s="1"/>
  <c r="Q293" i="2" s="1"/>
  <c r="Q294" i="2" s="1"/>
  <c r="Q295" i="2" s="1"/>
  <c r="Q296" i="2" s="1"/>
  <c r="Q297" i="2" s="1"/>
  <c r="Q298" i="2" s="1"/>
  <c r="Q299" i="2" s="1"/>
  <c r="Q300" i="2" s="1"/>
  <c r="Q301" i="2" s="1"/>
  <c r="Q302" i="2" s="1"/>
  <c r="Q303" i="2" s="1"/>
  <c r="Q304" i="2" s="1"/>
  <c r="Q305" i="2" s="1"/>
  <c r="Q306" i="2" s="1"/>
  <c r="Q307" i="2" s="1"/>
  <c r="Q308" i="2" s="1"/>
  <c r="Q309" i="2" s="1"/>
  <c r="Q310" i="2" s="1"/>
  <c r="Q311" i="2" s="1"/>
  <c r="Q312" i="2" s="1"/>
  <c r="Q313" i="2" s="1"/>
  <c r="Q314" i="2" s="1"/>
  <c r="Q315" i="2" s="1"/>
  <c r="Q316" i="2" s="1"/>
  <c r="Q317" i="2" s="1"/>
  <c r="Q318" i="2" s="1"/>
  <c r="Q319" i="2" s="1"/>
  <c r="Q320" i="2" s="1"/>
  <c r="Q321" i="2" s="1"/>
  <c r="Q322" i="2" s="1"/>
  <c r="Q323" i="2" s="1"/>
  <c r="Q324" i="2" s="1"/>
  <c r="Q325" i="2" s="1"/>
  <c r="Q326" i="2" s="1"/>
  <c r="Q327" i="2" s="1"/>
  <c r="Q328" i="2" s="1"/>
  <c r="Q329" i="2" s="1"/>
  <c r="Q330" i="2" s="1"/>
  <c r="Q331" i="2" s="1"/>
  <c r="Q332" i="2" s="1"/>
  <c r="Q333" i="2" s="1"/>
  <c r="Q334" i="2" s="1"/>
  <c r="Q335" i="2" s="1"/>
  <c r="Q336" i="2" s="1"/>
  <c r="Q337" i="2" s="1"/>
  <c r="Q338" i="2" s="1"/>
  <c r="Q339" i="2" s="1"/>
  <c r="Q340" i="2" s="1"/>
  <c r="Q341" i="2" s="1"/>
  <c r="Q342" i="2" s="1"/>
  <c r="Q343" i="2" s="1"/>
  <c r="Q344" i="2" s="1"/>
  <c r="Q345" i="2" s="1"/>
  <c r="Q346" i="2" s="1"/>
  <c r="Q347" i="2" s="1"/>
  <c r="Q348" i="2" s="1"/>
  <c r="Q349" i="2" s="1"/>
  <c r="Q350" i="2" s="1"/>
  <c r="Q351" i="2" s="1"/>
  <c r="Q352" i="2" s="1"/>
  <c r="Q353" i="2" s="1"/>
  <c r="Q354" i="2" s="1"/>
  <c r="Q355" i="2" s="1"/>
  <c r="Q356" i="2" s="1"/>
  <c r="Q357" i="2" s="1"/>
  <c r="Q358" i="2" s="1"/>
  <c r="Q359" i="2" s="1"/>
  <c r="Q360" i="2" s="1"/>
  <c r="Q361" i="2" s="1"/>
  <c r="Q362" i="2" s="1"/>
  <c r="Q363" i="2" s="1"/>
  <c r="Q364" i="2" s="1"/>
  <c r="Q365" i="2" s="1"/>
  <c r="Q366" i="2" s="1"/>
  <c r="Q367" i="2" s="1"/>
  <c r="Q368" i="2" s="1"/>
  <c r="Q369" i="2" s="1"/>
  <c r="Q370" i="2" s="1"/>
  <c r="Q371" i="2" s="1"/>
  <c r="Q372" i="2" s="1"/>
  <c r="Q373" i="2" s="1"/>
  <c r="Q374" i="2" s="1"/>
  <c r="Q375" i="2" s="1"/>
  <c r="Q376" i="2" s="1"/>
  <c r="Q377" i="2" s="1"/>
  <c r="Q378" i="2" s="1"/>
  <c r="Q379" i="2" s="1"/>
  <c r="Q380" i="2" s="1"/>
  <c r="Q381" i="2" s="1"/>
  <c r="Q382" i="2" s="1"/>
  <c r="Q383" i="2" s="1"/>
  <c r="Q384" i="2" s="1"/>
  <c r="Q385" i="2" s="1"/>
  <c r="Q386" i="2" s="1"/>
  <c r="Q387" i="2" s="1"/>
  <c r="Q388" i="2" s="1"/>
  <c r="Q389" i="2" s="1"/>
  <c r="Q390" i="2" s="1"/>
  <c r="Q391" i="2" s="1"/>
  <c r="Q392" i="2" s="1"/>
  <c r="Q393" i="2" s="1"/>
  <c r="Q394" i="2" s="1"/>
  <c r="Q395" i="2" s="1"/>
  <c r="Q396" i="2" s="1"/>
  <c r="Q397" i="2" s="1"/>
  <c r="Q398" i="2" s="1"/>
  <c r="Q399" i="2" s="1"/>
  <c r="Q400" i="2" s="1"/>
  <c r="Q401" i="2" s="1"/>
  <c r="Q402" i="2" s="1"/>
  <c r="Q403" i="2" s="1"/>
  <c r="Q404" i="2" s="1"/>
  <c r="Q405" i="2" s="1"/>
  <c r="Q406" i="2" s="1"/>
  <c r="Q407" i="2" s="1"/>
  <c r="Q408" i="2" s="1"/>
  <c r="Q409" i="2" s="1"/>
  <c r="Q410" i="2" s="1"/>
  <c r="Q411" i="2" s="1"/>
  <c r="Q412" i="2" s="1"/>
  <c r="Q413" i="2" s="1"/>
  <c r="Q414" i="2" s="1"/>
  <c r="Q415" i="2" s="1"/>
  <c r="Q416" i="2" s="1"/>
  <c r="Q417" i="2" s="1"/>
  <c r="Q418" i="2" s="1"/>
  <c r="Q419" i="2" s="1"/>
  <c r="Q420" i="2" s="1"/>
  <c r="Q421" i="2" s="1"/>
  <c r="Q422" i="2" s="1"/>
  <c r="Q423" i="2" s="1"/>
  <c r="Q424" i="2" s="1"/>
  <c r="Q425" i="2" s="1"/>
  <c r="Q426" i="2" s="1"/>
  <c r="Q427" i="2" s="1"/>
  <c r="Q428" i="2" s="1"/>
  <c r="Q429" i="2" s="1"/>
  <c r="Q430" i="2" s="1"/>
  <c r="Q431" i="2" s="1"/>
  <c r="Q432" i="2" s="1"/>
  <c r="Q433" i="2" s="1"/>
  <c r="Q434" i="2" s="1"/>
  <c r="Q435" i="2" s="1"/>
  <c r="Q436" i="2" s="1"/>
  <c r="Q437" i="2" s="1"/>
  <c r="Q438" i="2" s="1"/>
  <c r="Q439" i="2" s="1"/>
  <c r="Q440" i="2" s="1"/>
  <c r="Q441" i="2" s="1"/>
  <c r="Q442" i="2" s="1"/>
  <c r="Q443" i="2" s="1"/>
  <c r="Q444" i="2" s="1"/>
  <c r="Q445" i="2" s="1"/>
  <c r="Q446" i="2" s="1"/>
  <c r="Q447" i="2" s="1"/>
  <c r="Q448" i="2" s="1"/>
  <c r="Q449" i="2" s="1"/>
  <c r="Q450" i="2" s="1"/>
  <c r="Q451" i="2" s="1"/>
  <c r="Q452" i="2" s="1"/>
  <c r="Q453" i="2" s="1"/>
  <c r="Q454" i="2" s="1"/>
  <c r="Q455" i="2" s="1"/>
  <c r="Q456" i="2" s="1"/>
  <c r="Q457" i="2" s="1"/>
  <c r="Q458" i="2" s="1"/>
  <c r="Q459" i="2" s="1"/>
  <c r="Q460" i="2" s="1"/>
  <c r="Q461" i="2" s="1"/>
  <c r="Q462" i="2" s="1"/>
  <c r="Q463" i="2" s="1"/>
  <c r="Q464" i="2" s="1"/>
  <c r="Q465" i="2" s="1"/>
  <c r="Q466" i="2" s="1"/>
  <c r="Q467" i="2" s="1"/>
  <c r="Q468" i="2" s="1"/>
  <c r="Q469" i="2" s="1"/>
  <c r="Q470" i="2" s="1"/>
  <c r="Q471" i="2" s="1"/>
  <c r="Q472" i="2" s="1"/>
  <c r="Q473" i="2" s="1"/>
  <c r="Q474" i="2" s="1"/>
  <c r="Q475" i="2" s="1"/>
  <c r="Q476" i="2" s="1"/>
  <c r="Q477" i="2" s="1"/>
  <c r="Q478" i="2" s="1"/>
  <c r="Q479" i="2" s="1"/>
  <c r="Q480" i="2" s="1"/>
  <c r="Q481" i="2" s="1"/>
  <c r="Q482" i="2" s="1"/>
  <c r="Q483" i="2" s="1"/>
  <c r="Q484" i="2" s="1"/>
  <c r="Q485" i="2" s="1"/>
  <c r="Q486" i="2" s="1"/>
  <c r="Q487" i="2" s="1"/>
  <c r="Q488" i="2" s="1"/>
  <c r="Q489" i="2" s="1"/>
  <c r="Q490" i="2" s="1"/>
  <c r="Q491" i="2" s="1"/>
  <c r="Q492" i="2" s="1"/>
  <c r="Q493" i="2" s="1"/>
  <c r="Q494" i="2" s="1"/>
  <c r="Q495" i="2" s="1"/>
  <c r="Q496" i="2" s="1"/>
  <c r="Q497" i="2" s="1"/>
  <c r="Q498" i="2" s="1"/>
  <c r="Q499" i="2" s="1"/>
  <c r="Q500" i="2" s="1"/>
  <c r="Q501" i="2" s="1"/>
  <c r="Q502" i="2" s="1"/>
  <c r="Q503" i="2" s="1"/>
  <c r="Q504" i="2" s="1"/>
  <c r="Q505" i="2" s="1"/>
  <c r="Q506" i="2" s="1"/>
  <c r="Q507" i="2" s="1"/>
  <c r="Q508" i="2" s="1"/>
  <c r="Q509" i="2" s="1"/>
  <c r="Q510" i="2" s="1"/>
  <c r="Q511" i="2" s="1"/>
  <c r="Q512" i="2" s="1"/>
  <c r="Q513" i="2" s="1"/>
  <c r="Q514" i="2" s="1"/>
  <c r="Q515" i="2" s="1"/>
  <c r="Q516" i="2" s="1"/>
  <c r="Q517" i="2" s="1"/>
  <c r="Q518" i="2" s="1"/>
  <c r="Q519" i="2" s="1"/>
  <c r="Q520" i="2" s="1"/>
  <c r="Q521" i="2" s="1"/>
  <c r="Q522" i="2" s="1"/>
  <c r="Q523" i="2" s="1"/>
  <c r="Q524" i="2" s="1"/>
  <c r="Q525" i="2" s="1"/>
  <c r="Q526" i="2" s="1"/>
  <c r="Q527" i="2" s="1"/>
  <c r="Q528" i="2" s="1"/>
  <c r="Q529" i="2" s="1"/>
  <c r="Q530" i="2" s="1"/>
  <c r="Q531" i="2" s="1"/>
  <c r="Q532" i="2" s="1"/>
  <c r="Q533" i="2" s="1"/>
  <c r="Q534" i="2" s="1"/>
  <c r="Q535" i="2" s="1"/>
  <c r="Q536" i="2" s="1"/>
  <c r="Q537" i="2" s="1"/>
  <c r="Q538" i="2" s="1"/>
  <c r="Q539" i="2" s="1"/>
  <c r="Q540" i="2" s="1"/>
  <c r="Q541" i="2" s="1"/>
  <c r="Q542" i="2" s="1"/>
  <c r="Q543" i="2" s="1"/>
  <c r="Q544" i="2" s="1"/>
  <c r="Q545" i="2" s="1"/>
  <c r="Q546" i="2" s="1"/>
  <c r="Q547" i="2" s="1"/>
  <c r="Q548" i="2" s="1"/>
  <c r="Q549" i="2" s="1"/>
  <c r="Q550" i="2" s="1"/>
  <c r="Q551" i="2" s="1"/>
  <c r="Q552" i="2" s="1"/>
  <c r="Q553" i="2" s="1"/>
  <c r="Q554" i="2" s="1"/>
  <c r="Q555" i="2" s="1"/>
  <c r="Q556" i="2" s="1"/>
  <c r="Q557" i="2" s="1"/>
  <c r="Q558" i="2" s="1"/>
  <c r="Q559" i="2" s="1"/>
  <c r="Q560" i="2" s="1"/>
  <c r="Q561" i="2" s="1"/>
  <c r="Q562" i="2" s="1"/>
  <c r="Q563" i="2" s="1"/>
  <c r="Q564" i="2" s="1"/>
  <c r="Q565" i="2" s="1"/>
  <c r="Q566" i="2" s="1"/>
  <c r="Q567" i="2" s="1"/>
  <c r="Q568" i="2" s="1"/>
  <c r="Q569" i="2" s="1"/>
  <c r="Q570" i="2" s="1"/>
  <c r="Q571" i="2" s="1"/>
  <c r="Q572" i="2" s="1"/>
  <c r="Q573" i="2" s="1"/>
  <c r="Q574" i="2" s="1"/>
  <c r="Q575" i="2" s="1"/>
  <c r="Q576" i="2" s="1"/>
  <c r="Q577" i="2" s="1"/>
  <c r="Q578" i="2" s="1"/>
  <c r="Q579" i="2" s="1"/>
  <c r="Q580" i="2" s="1"/>
  <c r="Q581" i="2" s="1"/>
  <c r="Q582" i="2" s="1"/>
  <c r="Q583" i="2" s="1"/>
  <c r="Q584" i="2" s="1"/>
  <c r="Q585" i="2" s="1"/>
  <c r="Q586" i="2" s="1"/>
  <c r="Q587" i="2" s="1"/>
  <c r="Q588" i="2" s="1"/>
  <c r="Q589" i="2" s="1"/>
  <c r="Q590" i="2" s="1"/>
  <c r="Q591" i="2" s="1"/>
  <c r="Q592" i="2" s="1"/>
  <c r="Q593" i="2" s="1"/>
  <c r="Q594" i="2" s="1"/>
  <c r="Q595" i="2" s="1"/>
  <c r="Q596" i="2" s="1"/>
  <c r="Q597" i="2" s="1"/>
  <c r="Q598" i="2" s="1"/>
  <c r="Q599" i="2" s="1"/>
  <c r="Q600" i="2" s="1"/>
  <c r="Q601" i="2" s="1"/>
  <c r="Q602" i="2" s="1"/>
  <c r="Q603" i="2" s="1"/>
  <c r="Q604" i="2" s="1"/>
  <c r="Q605" i="2" s="1"/>
  <c r="Q606" i="2" s="1"/>
  <c r="Q607" i="2" s="1"/>
  <c r="Q608" i="2" s="1"/>
  <c r="Q609" i="2" s="1"/>
  <c r="Q610" i="2" s="1"/>
  <c r="Q611" i="2" s="1"/>
  <c r="Q612" i="2" s="1"/>
  <c r="Q613" i="2" s="1"/>
  <c r="Q614" i="2" s="1"/>
  <c r="Q615" i="2" s="1"/>
  <c r="Q616" i="2" s="1"/>
  <c r="Q617" i="2" s="1"/>
  <c r="Q618" i="2" s="1"/>
  <c r="Q619" i="2" s="1"/>
  <c r="Q620" i="2" s="1"/>
  <c r="Q621" i="2" s="1"/>
  <c r="Q622" i="2" s="1"/>
  <c r="Q623" i="2" s="1"/>
  <c r="Q624" i="2" s="1"/>
  <c r="Q625" i="2" s="1"/>
  <c r="Q626" i="2" s="1"/>
  <c r="Q627" i="2" s="1"/>
  <c r="Q628" i="2" s="1"/>
  <c r="Q629" i="2" s="1"/>
  <c r="Q630" i="2" s="1"/>
  <c r="Q631" i="2" s="1"/>
  <c r="Q632" i="2" s="1"/>
  <c r="Q633" i="2" s="1"/>
  <c r="Q634" i="2" s="1"/>
  <c r="Q635" i="2" s="1"/>
  <c r="Q636" i="2" s="1"/>
  <c r="Q637" i="2" s="1"/>
  <c r="Q638" i="2" s="1"/>
  <c r="Q639" i="2" s="1"/>
  <c r="Q640" i="2" s="1"/>
  <c r="Q641" i="2" s="1"/>
  <c r="Q642" i="2" s="1"/>
  <c r="Q643" i="2" s="1"/>
  <c r="Q644" i="2" s="1"/>
  <c r="Q645" i="2" s="1"/>
  <c r="Q646" i="2" s="1"/>
  <c r="Q647" i="2" s="1"/>
  <c r="Q648" i="2" s="1"/>
  <c r="Q649" i="2" s="1"/>
  <c r="Q650" i="2" s="1"/>
  <c r="Q651" i="2" s="1"/>
  <c r="Q652" i="2" s="1"/>
  <c r="Q653" i="2" s="1"/>
  <c r="Q654" i="2" s="1"/>
  <c r="Q655" i="2" s="1"/>
  <c r="Q656" i="2" s="1"/>
  <c r="Q657" i="2" s="1"/>
  <c r="Q658" i="2" s="1"/>
  <c r="Q659" i="2" s="1"/>
  <c r="Q660" i="2" s="1"/>
  <c r="Q661" i="2" s="1"/>
  <c r="Q662" i="2" s="1"/>
  <c r="Q663" i="2" s="1"/>
  <c r="Q664" i="2" s="1"/>
  <c r="Q665" i="2" s="1"/>
  <c r="Q666" i="2" s="1"/>
  <c r="Q667" i="2" s="1"/>
  <c r="Q668" i="2" s="1"/>
  <c r="Q669" i="2" s="1"/>
  <c r="Q670" i="2" s="1"/>
  <c r="Q671" i="2" s="1"/>
  <c r="Q672" i="2" s="1"/>
  <c r="Q673" i="2" s="1"/>
  <c r="Q674" i="2" s="1"/>
  <c r="Q675" i="2" s="1"/>
  <c r="Q676" i="2" s="1"/>
  <c r="Q677" i="2" s="1"/>
  <c r="Q678" i="2" s="1"/>
  <c r="Q679" i="2" s="1"/>
  <c r="Q680" i="2" s="1"/>
  <c r="Q681" i="2" s="1"/>
  <c r="Q682" i="2" s="1"/>
  <c r="Q683" i="2" s="1"/>
  <c r="Q684" i="2" s="1"/>
  <c r="Q685" i="2" s="1"/>
  <c r="Q686" i="2" s="1"/>
  <c r="Q687" i="2" s="1"/>
  <c r="Q688" i="2" s="1"/>
  <c r="Q689" i="2" s="1"/>
  <c r="Q690" i="2" s="1"/>
  <c r="Q691" i="2" s="1"/>
  <c r="Q692" i="2" s="1"/>
  <c r="Q693" i="2" s="1"/>
  <c r="Q694" i="2" s="1"/>
  <c r="Q695" i="2" s="1"/>
  <c r="Q696" i="2" s="1"/>
  <c r="Q697" i="2" s="1"/>
  <c r="Q698" i="2" s="1"/>
  <c r="Q699" i="2" s="1"/>
  <c r="Q700" i="2" s="1"/>
  <c r="Q701" i="2" s="1"/>
  <c r="Q702" i="2" s="1"/>
  <c r="Q703" i="2" s="1"/>
  <c r="Q704" i="2" s="1"/>
  <c r="Q705" i="2" s="1"/>
  <c r="Q706" i="2" s="1"/>
  <c r="Q707" i="2" s="1"/>
  <c r="Q708" i="2" s="1"/>
  <c r="Q709" i="2" s="1"/>
  <c r="Q710" i="2" s="1"/>
  <c r="Q711" i="2" s="1"/>
  <c r="Q712" i="2" s="1"/>
  <c r="Q713" i="2" s="1"/>
  <c r="Q714" i="2" s="1"/>
  <c r="Q715" i="2" s="1"/>
  <c r="Q716" i="2" s="1"/>
  <c r="Q717" i="2" s="1"/>
  <c r="Q718" i="2" s="1"/>
  <c r="Q719" i="2" s="1"/>
  <c r="Q720" i="2" s="1"/>
  <c r="Q721" i="2" s="1"/>
  <c r="Q722" i="2" s="1"/>
  <c r="Q723" i="2" s="1"/>
  <c r="Q724" i="2" s="1"/>
  <c r="Q725" i="2" s="1"/>
  <c r="Q726" i="2" s="1"/>
  <c r="Q727" i="2" s="1"/>
  <c r="Q728" i="2" s="1"/>
  <c r="Q729" i="2" s="1"/>
  <c r="Q730" i="2" s="1"/>
  <c r="Q731" i="2" s="1"/>
  <c r="Q732" i="2" s="1"/>
  <c r="P3" i="2"/>
  <c r="P4" i="2" s="1"/>
  <c r="P5" i="2" s="1"/>
  <c r="P6" i="2" s="1"/>
  <c r="P7" i="2" s="1"/>
  <c r="P8" i="2" s="1"/>
  <c r="P9" i="2" s="1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P41" i="2" s="1"/>
  <c r="P42" i="2" s="1"/>
  <c r="P43" i="2" s="1"/>
  <c r="P44" i="2" s="1"/>
  <c r="P45" i="2" s="1"/>
  <c r="P46" i="2" s="1"/>
  <c r="P47" i="2" s="1"/>
  <c r="P48" i="2" s="1"/>
  <c r="P49" i="2" s="1"/>
  <c r="P50" i="2" s="1"/>
  <c r="P51" i="2" s="1"/>
  <c r="P52" i="2" s="1"/>
  <c r="P53" i="2" s="1"/>
  <c r="P54" i="2" s="1"/>
  <c r="P55" i="2" s="1"/>
  <c r="P56" i="2" s="1"/>
  <c r="P57" i="2" s="1"/>
  <c r="P58" i="2" s="1"/>
  <c r="P59" i="2" s="1"/>
  <c r="P60" i="2" s="1"/>
  <c r="P61" i="2" s="1"/>
  <c r="P62" i="2" s="1"/>
  <c r="P63" i="2" s="1"/>
  <c r="P64" i="2" s="1"/>
  <c r="P65" i="2" s="1"/>
  <c r="P66" i="2" s="1"/>
  <c r="P67" i="2" s="1"/>
  <c r="P68" i="2" s="1"/>
  <c r="P69" i="2" s="1"/>
  <c r="P70" i="2" s="1"/>
  <c r="P71" i="2" s="1"/>
  <c r="P72" i="2" s="1"/>
  <c r="P73" i="2" s="1"/>
  <c r="P74" i="2" s="1"/>
  <c r="P75" i="2" s="1"/>
  <c r="P76" i="2" s="1"/>
  <c r="P77" i="2" s="1"/>
  <c r="P78" i="2" s="1"/>
  <c r="P79" i="2" s="1"/>
  <c r="P80" i="2" s="1"/>
  <c r="P81" i="2" s="1"/>
  <c r="P82" i="2" s="1"/>
  <c r="P83" i="2" s="1"/>
  <c r="P84" i="2" s="1"/>
  <c r="P85" i="2" s="1"/>
  <c r="P86" i="2" s="1"/>
  <c r="P87" i="2" s="1"/>
  <c r="P88" i="2" s="1"/>
  <c r="P89" i="2" s="1"/>
  <c r="P90" i="2" s="1"/>
  <c r="P91" i="2" s="1"/>
  <c r="P92" i="2" s="1"/>
  <c r="P93" i="2" s="1"/>
  <c r="P94" i="2" s="1"/>
  <c r="P95" i="2" s="1"/>
  <c r="P96" i="2" s="1"/>
  <c r="P97" i="2" s="1"/>
  <c r="P98" i="2" s="1"/>
  <c r="P99" i="2" s="1"/>
  <c r="P100" i="2" s="1"/>
  <c r="P101" i="2" s="1"/>
  <c r="P102" i="2" s="1"/>
  <c r="P103" i="2" s="1"/>
  <c r="P104" i="2" s="1"/>
  <c r="P105" i="2" s="1"/>
  <c r="P106" i="2" s="1"/>
  <c r="P107" i="2" s="1"/>
  <c r="P108" i="2" s="1"/>
  <c r="P109" i="2" s="1"/>
  <c r="P110" i="2" s="1"/>
  <c r="P111" i="2" s="1"/>
  <c r="P112" i="2" s="1"/>
  <c r="P113" i="2" s="1"/>
  <c r="P114" i="2" s="1"/>
  <c r="P115" i="2" s="1"/>
  <c r="P116" i="2" s="1"/>
  <c r="P117" i="2" s="1"/>
  <c r="P118" i="2" s="1"/>
  <c r="P119" i="2" s="1"/>
  <c r="P120" i="2" s="1"/>
  <c r="P121" i="2" s="1"/>
  <c r="P122" i="2" s="1"/>
  <c r="P123" i="2" s="1"/>
  <c r="P124" i="2" s="1"/>
  <c r="P125" i="2" s="1"/>
  <c r="P126" i="2" s="1"/>
  <c r="P127" i="2" s="1"/>
  <c r="P128" i="2" s="1"/>
  <c r="P129" i="2" s="1"/>
  <c r="P130" i="2" s="1"/>
  <c r="P131" i="2" s="1"/>
  <c r="P132" i="2" s="1"/>
  <c r="P133" i="2" s="1"/>
  <c r="P134" i="2" s="1"/>
  <c r="P135" i="2" s="1"/>
  <c r="P136" i="2" s="1"/>
  <c r="P137" i="2" s="1"/>
  <c r="P138" i="2" s="1"/>
  <c r="P139" i="2" s="1"/>
  <c r="P140" i="2" s="1"/>
  <c r="P141" i="2" s="1"/>
  <c r="P142" i="2" s="1"/>
  <c r="P143" i="2" s="1"/>
  <c r="P144" i="2" s="1"/>
  <c r="P145" i="2" s="1"/>
  <c r="P146" i="2" s="1"/>
  <c r="P147" i="2" s="1"/>
  <c r="P148" i="2" s="1"/>
  <c r="P149" i="2" s="1"/>
  <c r="P150" i="2" s="1"/>
  <c r="P151" i="2" s="1"/>
  <c r="P152" i="2" s="1"/>
  <c r="P153" i="2" s="1"/>
  <c r="P154" i="2" s="1"/>
  <c r="P155" i="2" s="1"/>
  <c r="P156" i="2" s="1"/>
  <c r="P157" i="2" s="1"/>
  <c r="P158" i="2" s="1"/>
  <c r="P159" i="2" s="1"/>
  <c r="P160" i="2" s="1"/>
  <c r="P161" i="2" s="1"/>
  <c r="P162" i="2" s="1"/>
  <c r="P163" i="2" s="1"/>
  <c r="P164" i="2" s="1"/>
  <c r="P165" i="2" s="1"/>
  <c r="P166" i="2" s="1"/>
  <c r="P167" i="2" s="1"/>
  <c r="P168" i="2" s="1"/>
  <c r="P169" i="2" s="1"/>
  <c r="P170" i="2" s="1"/>
  <c r="P171" i="2" s="1"/>
  <c r="P172" i="2" s="1"/>
  <c r="P173" i="2" s="1"/>
  <c r="P174" i="2" s="1"/>
  <c r="P175" i="2" s="1"/>
  <c r="P176" i="2" s="1"/>
  <c r="P177" i="2" s="1"/>
  <c r="P178" i="2" s="1"/>
  <c r="P179" i="2" s="1"/>
  <c r="P180" i="2" s="1"/>
  <c r="P181" i="2" s="1"/>
  <c r="P182" i="2" s="1"/>
  <c r="P183" i="2" s="1"/>
  <c r="P184" i="2" s="1"/>
  <c r="P185" i="2" s="1"/>
  <c r="P186" i="2" s="1"/>
  <c r="P187" i="2" s="1"/>
  <c r="P188" i="2" s="1"/>
  <c r="P189" i="2" s="1"/>
  <c r="P190" i="2" s="1"/>
  <c r="P191" i="2" s="1"/>
  <c r="P192" i="2" s="1"/>
  <c r="P193" i="2" s="1"/>
  <c r="P194" i="2" s="1"/>
  <c r="P195" i="2" s="1"/>
  <c r="P196" i="2" s="1"/>
  <c r="P197" i="2" s="1"/>
  <c r="P198" i="2" s="1"/>
  <c r="P199" i="2" s="1"/>
  <c r="P200" i="2" s="1"/>
  <c r="P201" i="2" s="1"/>
  <c r="P202" i="2" s="1"/>
  <c r="P203" i="2" s="1"/>
  <c r="P204" i="2" s="1"/>
  <c r="P205" i="2" s="1"/>
  <c r="P206" i="2" s="1"/>
  <c r="P207" i="2" s="1"/>
  <c r="P208" i="2" s="1"/>
  <c r="P209" i="2" s="1"/>
  <c r="P210" i="2" s="1"/>
  <c r="P211" i="2" s="1"/>
  <c r="P212" i="2" s="1"/>
  <c r="P213" i="2" s="1"/>
  <c r="P214" i="2" s="1"/>
  <c r="P215" i="2" s="1"/>
  <c r="P216" i="2" s="1"/>
  <c r="P217" i="2" s="1"/>
  <c r="P218" i="2" s="1"/>
  <c r="P219" i="2" s="1"/>
  <c r="P220" i="2" s="1"/>
  <c r="P221" i="2" s="1"/>
  <c r="P222" i="2" s="1"/>
  <c r="P223" i="2" s="1"/>
  <c r="P224" i="2" s="1"/>
  <c r="P225" i="2" s="1"/>
  <c r="P226" i="2" s="1"/>
  <c r="P227" i="2" s="1"/>
  <c r="P228" i="2" s="1"/>
  <c r="P229" i="2" s="1"/>
  <c r="P230" i="2" s="1"/>
  <c r="P231" i="2" s="1"/>
  <c r="P232" i="2" s="1"/>
  <c r="P233" i="2" s="1"/>
  <c r="P234" i="2" s="1"/>
  <c r="P235" i="2" s="1"/>
  <c r="P236" i="2" s="1"/>
  <c r="P237" i="2" s="1"/>
  <c r="P238" i="2" s="1"/>
  <c r="P239" i="2" s="1"/>
  <c r="P240" i="2" s="1"/>
  <c r="P241" i="2" s="1"/>
  <c r="P242" i="2" s="1"/>
  <c r="P243" i="2" s="1"/>
  <c r="P244" i="2" s="1"/>
  <c r="P245" i="2" s="1"/>
  <c r="P246" i="2" s="1"/>
  <c r="P247" i="2" s="1"/>
  <c r="P248" i="2" s="1"/>
  <c r="P249" i="2" s="1"/>
  <c r="P250" i="2" s="1"/>
  <c r="P251" i="2" s="1"/>
  <c r="P252" i="2" s="1"/>
  <c r="P253" i="2" s="1"/>
  <c r="P254" i="2" s="1"/>
  <c r="P255" i="2" s="1"/>
  <c r="P256" i="2" s="1"/>
  <c r="P257" i="2" s="1"/>
  <c r="P258" i="2" s="1"/>
  <c r="P259" i="2" s="1"/>
  <c r="P260" i="2" s="1"/>
  <c r="P261" i="2" s="1"/>
  <c r="P262" i="2" s="1"/>
  <c r="P263" i="2" s="1"/>
  <c r="P264" i="2" s="1"/>
  <c r="P265" i="2" s="1"/>
  <c r="P266" i="2" s="1"/>
  <c r="P267" i="2" s="1"/>
  <c r="P268" i="2" s="1"/>
  <c r="P269" i="2" s="1"/>
  <c r="P270" i="2" s="1"/>
  <c r="P271" i="2" s="1"/>
  <c r="P272" i="2" s="1"/>
  <c r="P273" i="2" s="1"/>
  <c r="P274" i="2" s="1"/>
  <c r="P275" i="2" s="1"/>
  <c r="P276" i="2" s="1"/>
  <c r="P277" i="2" s="1"/>
  <c r="P278" i="2" s="1"/>
  <c r="P279" i="2" s="1"/>
  <c r="P280" i="2" s="1"/>
  <c r="P281" i="2" s="1"/>
  <c r="P282" i="2" s="1"/>
  <c r="P283" i="2" s="1"/>
  <c r="P284" i="2" s="1"/>
  <c r="P285" i="2" s="1"/>
  <c r="P286" i="2" s="1"/>
  <c r="P287" i="2" s="1"/>
  <c r="P288" i="2" s="1"/>
  <c r="P289" i="2" s="1"/>
  <c r="P290" i="2" s="1"/>
  <c r="P291" i="2" s="1"/>
  <c r="P292" i="2" s="1"/>
  <c r="P293" i="2" s="1"/>
  <c r="P294" i="2" s="1"/>
  <c r="P295" i="2" s="1"/>
  <c r="P296" i="2" s="1"/>
  <c r="P297" i="2" s="1"/>
  <c r="P298" i="2" s="1"/>
  <c r="P299" i="2" s="1"/>
  <c r="P300" i="2" s="1"/>
  <c r="P301" i="2" s="1"/>
  <c r="P302" i="2" s="1"/>
  <c r="P303" i="2" s="1"/>
  <c r="P304" i="2" s="1"/>
  <c r="P305" i="2" s="1"/>
  <c r="P306" i="2" s="1"/>
  <c r="P307" i="2" s="1"/>
  <c r="P308" i="2" s="1"/>
  <c r="P309" i="2" s="1"/>
  <c r="P310" i="2" s="1"/>
  <c r="P311" i="2" s="1"/>
  <c r="P312" i="2" s="1"/>
  <c r="P313" i="2" s="1"/>
  <c r="P314" i="2" s="1"/>
  <c r="P315" i="2" s="1"/>
  <c r="P316" i="2" s="1"/>
  <c r="P317" i="2" s="1"/>
  <c r="P318" i="2" s="1"/>
  <c r="P319" i="2" s="1"/>
  <c r="P320" i="2" s="1"/>
  <c r="P321" i="2" s="1"/>
  <c r="P322" i="2" s="1"/>
  <c r="P323" i="2" s="1"/>
  <c r="P324" i="2" s="1"/>
  <c r="P325" i="2" s="1"/>
  <c r="P326" i="2" s="1"/>
  <c r="P327" i="2" s="1"/>
  <c r="P328" i="2" s="1"/>
  <c r="P329" i="2" s="1"/>
  <c r="P330" i="2" s="1"/>
  <c r="P331" i="2" s="1"/>
  <c r="P332" i="2" s="1"/>
  <c r="P333" i="2" s="1"/>
  <c r="P334" i="2" s="1"/>
  <c r="P335" i="2" s="1"/>
  <c r="P336" i="2" s="1"/>
  <c r="P337" i="2" s="1"/>
  <c r="P338" i="2" s="1"/>
  <c r="P339" i="2" s="1"/>
  <c r="P340" i="2" s="1"/>
  <c r="P341" i="2" s="1"/>
  <c r="P342" i="2" s="1"/>
  <c r="P343" i="2" s="1"/>
  <c r="P344" i="2" s="1"/>
  <c r="P345" i="2" s="1"/>
  <c r="P346" i="2" s="1"/>
  <c r="P347" i="2" s="1"/>
  <c r="P348" i="2" s="1"/>
  <c r="P349" i="2" s="1"/>
  <c r="P350" i="2" s="1"/>
  <c r="P351" i="2" s="1"/>
  <c r="P352" i="2" s="1"/>
  <c r="P353" i="2" s="1"/>
  <c r="P354" i="2" s="1"/>
  <c r="P355" i="2" s="1"/>
  <c r="P356" i="2" s="1"/>
  <c r="P357" i="2" s="1"/>
  <c r="P358" i="2" s="1"/>
  <c r="P359" i="2" s="1"/>
  <c r="P360" i="2" s="1"/>
  <c r="P361" i="2" s="1"/>
  <c r="P362" i="2" s="1"/>
  <c r="P363" i="2" s="1"/>
  <c r="P364" i="2" s="1"/>
  <c r="P365" i="2" s="1"/>
  <c r="P366" i="2" s="1"/>
  <c r="P367" i="2" s="1"/>
  <c r="P368" i="2" s="1"/>
  <c r="P369" i="2" s="1"/>
  <c r="P370" i="2" s="1"/>
  <c r="P371" i="2" s="1"/>
  <c r="P372" i="2" s="1"/>
  <c r="P373" i="2" s="1"/>
  <c r="P374" i="2" s="1"/>
  <c r="P375" i="2" s="1"/>
  <c r="P376" i="2" s="1"/>
  <c r="P377" i="2" s="1"/>
  <c r="P378" i="2" s="1"/>
  <c r="P379" i="2" s="1"/>
  <c r="P380" i="2" s="1"/>
  <c r="P381" i="2" s="1"/>
  <c r="P382" i="2" s="1"/>
  <c r="P383" i="2" s="1"/>
  <c r="P384" i="2" s="1"/>
  <c r="P385" i="2" s="1"/>
  <c r="P386" i="2" s="1"/>
  <c r="P387" i="2" s="1"/>
  <c r="P388" i="2" s="1"/>
  <c r="P389" i="2" s="1"/>
  <c r="P390" i="2" s="1"/>
  <c r="P391" i="2" s="1"/>
  <c r="P392" i="2" s="1"/>
  <c r="P393" i="2" s="1"/>
  <c r="P394" i="2" s="1"/>
  <c r="P395" i="2" s="1"/>
  <c r="P396" i="2" s="1"/>
  <c r="P397" i="2" s="1"/>
  <c r="P398" i="2" s="1"/>
  <c r="P399" i="2" s="1"/>
  <c r="P400" i="2" s="1"/>
  <c r="P401" i="2" s="1"/>
  <c r="P402" i="2" s="1"/>
  <c r="P403" i="2" s="1"/>
  <c r="P404" i="2" s="1"/>
  <c r="P405" i="2" s="1"/>
  <c r="P406" i="2" s="1"/>
  <c r="P407" i="2" s="1"/>
  <c r="P408" i="2" s="1"/>
  <c r="P409" i="2" s="1"/>
  <c r="P410" i="2" s="1"/>
  <c r="P411" i="2" s="1"/>
  <c r="P412" i="2" s="1"/>
  <c r="P413" i="2" s="1"/>
  <c r="P414" i="2" s="1"/>
  <c r="P415" i="2" s="1"/>
  <c r="P416" i="2" s="1"/>
  <c r="P417" i="2" s="1"/>
  <c r="P418" i="2" s="1"/>
  <c r="P419" i="2" s="1"/>
  <c r="P420" i="2" s="1"/>
  <c r="P421" i="2" s="1"/>
  <c r="P422" i="2" s="1"/>
  <c r="P423" i="2" s="1"/>
  <c r="P424" i="2" s="1"/>
  <c r="P425" i="2" s="1"/>
  <c r="P426" i="2" s="1"/>
  <c r="P427" i="2" s="1"/>
  <c r="P428" i="2" s="1"/>
  <c r="P429" i="2" s="1"/>
  <c r="P430" i="2" s="1"/>
  <c r="P431" i="2" s="1"/>
  <c r="P432" i="2" s="1"/>
  <c r="P433" i="2" s="1"/>
  <c r="P434" i="2" s="1"/>
  <c r="P435" i="2" s="1"/>
  <c r="P436" i="2" s="1"/>
  <c r="P437" i="2" s="1"/>
  <c r="P438" i="2" s="1"/>
  <c r="P439" i="2" s="1"/>
  <c r="P440" i="2" s="1"/>
  <c r="P441" i="2" s="1"/>
  <c r="P442" i="2" s="1"/>
  <c r="P443" i="2" s="1"/>
  <c r="P444" i="2" s="1"/>
  <c r="P445" i="2" s="1"/>
  <c r="P446" i="2" s="1"/>
  <c r="P447" i="2" s="1"/>
  <c r="P448" i="2" s="1"/>
  <c r="P449" i="2" s="1"/>
  <c r="P450" i="2" s="1"/>
  <c r="P451" i="2" s="1"/>
  <c r="P452" i="2" s="1"/>
  <c r="P453" i="2" s="1"/>
  <c r="P454" i="2" s="1"/>
  <c r="P455" i="2" s="1"/>
  <c r="P456" i="2" s="1"/>
  <c r="P457" i="2" s="1"/>
  <c r="P458" i="2" s="1"/>
  <c r="P459" i="2" s="1"/>
  <c r="P460" i="2" s="1"/>
  <c r="P461" i="2" s="1"/>
  <c r="P462" i="2" s="1"/>
  <c r="P463" i="2" s="1"/>
  <c r="P464" i="2" s="1"/>
  <c r="P465" i="2" s="1"/>
  <c r="P466" i="2" s="1"/>
  <c r="P467" i="2" s="1"/>
  <c r="P468" i="2" s="1"/>
  <c r="P469" i="2" s="1"/>
  <c r="P470" i="2" s="1"/>
  <c r="P471" i="2" s="1"/>
  <c r="P472" i="2" s="1"/>
  <c r="P473" i="2" s="1"/>
  <c r="P474" i="2" s="1"/>
  <c r="P475" i="2" s="1"/>
  <c r="P476" i="2" s="1"/>
  <c r="P477" i="2" s="1"/>
  <c r="P478" i="2" s="1"/>
  <c r="P479" i="2" s="1"/>
  <c r="P480" i="2" s="1"/>
  <c r="P481" i="2" s="1"/>
  <c r="P482" i="2" s="1"/>
  <c r="P483" i="2" s="1"/>
  <c r="P484" i="2" s="1"/>
  <c r="P485" i="2" s="1"/>
  <c r="P486" i="2" s="1"/>
  <c r="P487" i="2" s="1"/>
  <c r="P488" i="2" s="1"/>
  <c r="P489" i="2" s="1"/>
  <c r="P490" i="2" s="1"/>
  <c r="P491" i="2" s="1"/>
  <c r="P492" i="2" s="1"/>
  <c r="P493" i="2" s="1"/>
  <c r="P494" i="2" s="1"/>
  <c r="P495" i="2" s="1"/>
  <c r="P496" i="2" s="1"/>
  <c r="P497" i="2" s="1"/>
  <c r="P498" i="2" s="1"/>
  <c r="P499" i="2" s="1"/>
  <c r="P500" i="2" s="1"/>
  <c r="P501" i="2" s="1"/>
  <c r="P502" i="2" s="1"/>
  <c r="P503" i="2" s="1"/>
  <c r="P504" i="2" s="1"/>
  <c r="P505" i="2" s="1"/>
  <c r="P506" i="2" s="1"/>
  <c r="P507" i="2" s="1"/>
  <c r="P508" i="2" s="1"/>
  <c r="P509" i="2" s="1"/>
  <c r="P510" i="2" s="1"/>
  <c r="P511" i="2" s="1"/>
  <c r="P512" i="2" s="1"/>
  <c r="P513" i="2" s="1"/>
  <c r="P514" i="2" s="1"/>
  <c r="P515" i="2" s="1"/>
  <c r="P516" i="2" s="1"/>
  <c r="P517" i="2" s="1"/>
  <c r="P518" i="2" s="1"/>
  <c r="P519" i="2" s="1"/>
  <c r="P520" i="2" s="1"/>
  <c r="P521" i="2" s="1"/>
  <c r="P522" i="2" s="1"/>
  <c r="P523" i="2" s="1"/>
  <c r="P524" i="2" s="1"/>
  <c r="P525" i="2" s="1"/>
  <c r="P526" i="2" s="1"/>
  <c r="P527" i="2" s="1"/>
  <c r="P528" i="2" s="1"/>
  <c r="P529" i="2" s="1"/>
  <c r="P530" i="2" s="1"/>
  <c r="P531" i="2" s="1"/>
  <c r="P532" i="2" s="1"/>
  <c r="P533" i="2" s="1"/>
  <c r="P534" i="2" s="1"/>
  <c r="P535" i="2" s="1"/>
  <c r="P536" i="2" s="1"/>
  <c r="P537" i="2" s="1"/>
  <c r="P538" i="2" s="1"/>
  <c r="P539" i="2" s="1"/>
  <c r="P540" i="2" s="1"/>
  <c r="P541" i="2" s="1"/>
  <c r="P542" i="2" s="1"/>
  <c r="P543" i="2" s="1"/>
  <c r="P544" i="2" s="1"/>
  <c r="P545" i="2" s="1"/>
  <c r="P546" i="2" s="1"/>
  <c r="P547" i="2" s="1"/>
  <c r="P548" i="2" s="1"/>
  <c r="P549" i="2" s="1"/>
  <c r="P550" i="2" s="1"/>
  <c r="P551" i="2" s="1"/>
  <c r="P552" i="2" s="1"/>
  <c r="P553" i="2" s="1"/>
  <c r="P554" i="2" s="1"/>
  <c r="P555" i="2" s="1"/>
  <c r="P556" i="2" s="1"/>
  <c r="P557" i="2" s="1"/>
  <c r="P558" i="2" s="1"/>
  <c r="P559" i="2" s="1"/>
  <c r="P560" i="2" s="1"/>
  <c r="P561" i="2" s="1"/>
  <c r="P562" i="2" s="1"/>
  <c r="P563" i="2" s="1"/>
  <c r="P564" i="2" s="1"/>
  <c r="P565" i="2" s="1"/>
  <c r="P566" i="2" s="1"/>
  <c r="P567" i="2" s="1"/>
  <c r="P568" i="2" s="1"/>
  <c r="P569" i="2" s="1"/>
  <c r="P570" i="2" s="1"/>
  <c r="P571" i="2" s="1"/>
  <c r="P572" i="2" s="1"/>
  <c r="P573" i="2" s="1"/>
  <c r="P574" i="2" s="1"/>
  <c r="P575" i="2" s="1"/>
  <c r="P576" i="2" s="1"/>
  <c r="P577" i="2" s="1"/>
  <c r="P578" i="2" s="1"/>
  <c r="P579" i="2" s="1"/>
  <c r="P580" i="2" s="1"/>
  <c r="P581" i="2" s="1"/>
  <c r="P582" i="2" s="1"/>
  <c r="P583" i="2" s="1"/>
  <c r="P584" i="2" s="1"/>
  <c r="P585" i="2" s="1"/>
  <c r="P586" i="2" s="1"/>
  <c r="P587" i="2" s="1"/>
  <c r="P588" i="2" s="1"/>
  <c r="P589" i="2" s="1"/>
  <c r="P590" i="2" s="1"/>
  <c r="P591" i="2" s="1"/>
  <c r="P592" i="2" s="1"/>
  <c r="P593" i="2" s="1"/>
  <c r="P594" i="2" s="1"/>
  <c r="P595" i="2" s="1"/>
  <c r="P596" i="2" s="1"/>
  <c r="P597" i="2" s="1"/>
  <c r="P598" i="2" s="1"/>
  <c r="P599" i="2" s="1"/>
  <c r="P600" i="2" s="1"/>
  <c r="P601" i="2" s="1"/>
  <c r="P602" i="2" s="1"/>
  <c r="P603" i="2" s="1"/>
  <c r="P604" i="2" s="1"/>
  <c r="P605" i="2" s="1"/>
  <c r="P606" i="2" s="1"/>
  <c r="P607" i="2" s="1"/>
  <c r="P608" i="2" s="1"/>
  <c r="P609" i="2" s="1"/>
  <c r="P610" i="2" s="1"/>
  <c r="P611" i="2" s="1"/>
  <c r="P612" i="2" s="1"/>
  <c r="P613" i="2" s="1"/>
  <c r="P614" i="2" s="1"/>
  <c r="P615" i="2" s="1"/>
  <c r="P616" i="2" s="1"/>
  <c r="P617" i="2" s="1"/>
  <c r="P618" i="2" s="1"/>
  <c r="P619" i="2" s="1"/>
  <c r="P620" i="2" s="1"/>
  <c r="P621" i="2" s="1"/>
  <c r="P622" i="2" s="1"/>
  <c r="P623" i="2" s="1"/>
  <c r="P624" i="2" s="1"/>
  <c r="P625" i="2" s="1"/>
  <c r="P626" i="2" s="1"/>
  <c r="P627" i="2" s="1"/>
  <c r="P628" i="2" s="1"/>
  <c r="P629" i="2" s="1"/>
  <c r="P630" i="2" s="1"/>
  <c r="P631" i="2" s="1"/>
  <c r="P632" i="2" s="1"/>
  <c r="P633" i="2" s="1"/>
  <c r="P634" i="2" s="1"/>
  <c r="P635" i="2" s="1"/>
  <c r="P636" i="2" s="1"/>
  <c r="P637" i="2" s="1"/>
  <c r="P638" i="2" s="1"/>
  <c r="P639" i="2" s="1"/>
  <c r="P640" i="2" s="1"/>
  <c r="P641" i="2" s="1"/>
  <c r="P642" i="2" s="1"/>
  <c r="P643" i="2" s="1"/>
  <c r="P644" i="2" s="1"/>
  <c r="P645" i="2" s="1"/>
  <c r="P646" i="2" s="1"/>
  <c r="P647" i="2" s="1"/>
  <c r="P648" i="2" s="1"/>
  <c r="P649" i="2" s="1"/>
  <c r="P650" i="2" s="1"/>
  <c r="P651" i="2" s="1"/>
  <c r="P652" i="2" s="1"/>
  <c r="P653" i="2" s="1"/>
  <c r="P654" i="2" s="1"/>
  <c r="P655" i="2" s="1"/>
  <c r="P656" i="2" s="1"/>
  <c r="P657" i="2" s="1"/>
  <c r="P658" i="2" s="1"/>
  <c r="P659" i="2" s="1"/>
  <c r="P660" i="2" s="1"/>
  <c r="P661" i="2" s="1"/>
  <c r="P662" i="2" s="1"/>
  <c r="P663" i="2" s="1"/>
  <c r="P664" i="2" s="1"/>
  <c r="P665" i="2" s="1"/>
  <c r="P666" i="2" s="1"/>
  <c r="P667" i="2" s="1"/>
  <c r="P668" i="2" s="1"/>
  <c r="P669" i="2" s="1"/>
  <c r="P670" i="2" s="1"/>
  <c r="P671" i="2" s="1"/>
  <c r="P672" i="2" s="1"/>
  <c r="P673" i="2" s="1"/>
  <c r="P674" i="2" s="1"/>
  <c r="P675" i="2" s="1"/>
  <c r="P676" i="2" s="1"/>
  <c r="P677" i="2" s="1"/>
  <c r="P678" i="2" s="1"/>
  <c r="P679" i="2" s="1"/>
  <c r="P680" i="2" s="1"/>
  <c r="P681" i="2" s="1"/>
  <c r="P682" i="2" s="1"/>
  <c r="P683" i="2" s="1"/>
  <c r="P684" i="2" s="1"/>
  <c r="P685" i="2" s="1"/>
  <c r="P686" i="2" s="1"/>
  <c r="P687" i="2" s="1"/>
  <c r="P688" i="2" s="1"/>
  <c r="P689" i="2" s="1"/>
  <c r="P690" i="2" s="1"/>
  <c r="P691" i="2" s="1"/>
  <c r="P692" i="2" s="1"/>
  <c r="P693" i="2" s="1"/>
  <c r="P694" i="2" s="1"/>
  <c r="P695" i="2" s="1"/>
  <c r="P696" i="2" s="1"/>
  <c r="P697" i="2" s="1"/>
  <c r="P698" i="2" s="1"/>
  <c r="P699" i="2" s="1"/>
  <c r="P700" i="2" s="1"/>
  <c r="P701" i="2" s="1"/>
  <c r="P702" i="2" s="1"/>
  <c r="P703" i="2" s="1"/>
  <c r="P704" i="2" s="1"/>
  <c r="P705" i="2" s="1"/>
  <c r="P706" i="2" s="1"/>
  <c r="P707" i="2" s="1"/>
  <c r="P708" i="2" s="1"/>
  <c r="P709" i="2" s="1"/>
  <c r="P710" i="2" s="1"/>
  <c r="P711" i="2" s="1"/>
  <c r="P712" i="2" s="1"/>
  <c r="P713" i="2" s="1"/>
  <c r="P714" i="2" s="1"/>
  <c r="P715" i="2" s="1"/>
  <c r="P716" i="2" s="1"/>
  <c r="P717" i="2" s="1"/>
  <c r="P718" i="2" s="1"/>
  <c r="P719" i="2" s="1"/>
  <c r="P720" i="2" s="1"/>
  <c r="P721" i="2" s="1"/>
  <c r="P722" i="2" s="1"/>
  <c r="P723" i="2" s="1"/>
  <c r="P724" i="2" s="1"/>
  <c r="P725" i="2" s="1"/>
  <c r="P726" i="2" s="1"/>
  <c r="P727" i="2" s="1"/>
  <c r="P728" i="2" s="1"/>
  <c r="P729" i="2" s="1"/>
  <c r="P730" i="2" s="1"/>
  <c r="P731" i="2" s="1"/>
  <c r="P732" i="2" s="1"/>
  <c r="AU9" i="2"/>
  <c r="AU10" i="2"/>
  <c r="AU21" i="2" s="1"/>
  <c r="AU11" i="2"/>
  <c r="AU12" i="2"/>
  <c r="AU13" i="2"/>
  <c r="AU14" i="2"/>
  <c r="AU15" i="2"/>
  <c r="AJ9" i="2"/>
  <c r="AJ10" i="2"/>
  <c r="AJ21" i="2" s="1"/>
  <c r="AJ11" i="2"/>
  <c r="AJ12" i="2"/>
  <c r="AJ13" i="2"/>
  <c r="AJ14" i="2"/>
  <c r="AJ15" i="2"/>
  <c r="AK9" i="2"/>
  <c r="AK10" i="2"/>
  <c r="AK21" i="2" s="1"/>
  <c r="AK11" i="2"/>
  <c r="AK12" i="2"/>
  <c r="AK13" i="2"/>
  <c r="AK14" i="2"/>
  <c r="AK15" i="2"/>
  <c r="AL9" i="2"/>
  <c r="AL10" i="2"/>
  <c r="AL21" i="2" s="1"/>
  <c r="AL11" i="2"/>
  <c r="AL12" i="2"/>
  <c r="AL13" i="2"/>
  <c r="AL14" i="2"/>
  <c r="AL15" i="2"/>
  <c r="AM9" i="2"/>
  <c r="AM10" i="2"/>
  <c r="AM21" i="2" s="1"/>
  <c r="AM11" i="2"/>
  <c r="AM12" i="2"/>
  <c r="AM13" i="2"/>
  <c r="AM14" i="2"/>
  <c r="AM15" i="2"/>
  <c r="AN9" i="2"/>
  <c r="AN10" i="2"/>
  <c r="AN21" i="2" s="1"/>
  <c r="AN11" i="2"/>
  <c r="AN12" i="2"/>
  <c r="AN13" i="2"/>
  <c r="AN14" i="2"/>
  <c r="AN15" i="2"/>
  <c r="AO9" i="2"/>
  <c r="AO10" i="2"/>
  <c r="AO21" i="2" s="1"/>
  <c r="AO11" i="2"/>
  <c r="AO12" i="2"/>
  <c r="AO13" i="2"/>
  <c r="AO14" i="2"/>
  <c r="AO15" i="2"/>
  <c r="AP9" i="2"/>
  <c r="AP10" i="2"/>
  <c r="AP21" i="2" s="1"/>
  <c r="AP11" i="2"/>
  <c r="AP12" i="2"/>
  <c r="AP13" i="2"/>
  <c r="AP14" i="2"/>
  <c r="AP15" i="2"/>
  <c r="AQ9" i="2"/>
  <c r="AQ10" i="2"/>
  <c r="AQ21" i="2" s="1"/>
  <c r="AQ11" i="2"/>
  <c r="AQ12" i="2"/>
  <c r="AQ13" i="2"/>
  <c r="AQ14" i="2"/>
  <c r="AQ15" i="2"/>
  <c r="AR9" i="2"/>
  <c r="AR10" i="2"/>
  <c r="AR21" i="2" s="1"/>
  <c r="AR11" i="2"/>
  <c r="AR12" i="2"/>
  <c r="AR13" i="2"/>
  <c r="AR14" i="2"/>
  <c r="AR15" i="2"/>
  <c r="AS9" i="2"/>
  <c r="AS10" i="2"/>
  <c r="AS21" i="2" s="1"/>
  <c r="AS11" i="2"/>
  <c r="AS12" i="2"/>
  <c r="AS13" i="2"/>
  <c r="AS14" i="2"/>
  <c r="AS15" i="2"/>
  <c r="AT9" i="2"/>
  <c r="AT10" i="2"/>
  <c r="AT21" i="2" s="1"/>
  <c r="AT11" i="2"/>
  <c r="AT12" i="2"/>
  <c r="AT13" i="2"/>
  <c r="AT14" i="2"/>
  <c r="AT15" i="2"/>
  <c r="AI9" i="2"/>
  <c r="AI10" i="2"/>
  <c r="AI21" i="2" s="1"/>
  <c r="AI11" i="2"/>
  <c r="AI12" i="2"/>
  <c r="AI13" i="2"/>
  <c r="AI14" i="2"/>
  <c r="AI15" i="2"/>
  <c r="AJ6" i="2"/>
  <c r="AJ7" i="2"/>
  <c r="AJ20" i="2" s="1"/>
  <c r="AJ8" i="2"/>
  <c r="AK6" i="2"/>
  <c r="AK7" i="2"/>
  <c r="AK20" i="2" s="1"/>
  <c r="AK8" i="2"/>
  <c r="AL6" i="2"/>
  <c r="AL7" i="2"/>
  <c r="AL20" i="2" s="1"/>
  <c r="AL8" i="2"/>
  <c r="AM6" i="2"/>
  <c r="AM7" i="2"/>
  <c r="AM20" i="2" s="1"/>
  <c r="AM8" i="2"/>
  <c r="AN6" i="2"/>
  <c r="AN7" i="2"/>
  <c r="AN20" i="2" s="1"/>
  <c r="AN8" i="2"/>
  <c r="AO6" i="2"/>
  <c r="AO7" i="2"/>
  <c r="AO20" i="2" s="1"/>
  <c r="AO8" i="2"/>
  <c r="AP6" i="2"/>
  <c r="AP7" i="2"/>
  <c r="AP20" i="2" s="1"/>
  <c r="AP8" i="2"/>
  <c r="AQ6" i="2"/>
  <c r="AQ7" i="2"/>
  <c r="AQ20" i="2" s="1"/>
  <c r="AQ8" i="2"/>
  <c r="AR6" i="2"/>
  <c r="AR7" i="2"/>
  <c r="AR20" i="2" s="1"/>
  <c r="AR8" i="2"/>
  <c r="AS6" i="2"/>
  <c r="AS7" i="2"/>
  <c r="AS20" i="2" s="1"/>
  <c r="AS8" i="2"/>
  <c r="AT6" i="2"/>
  <c r="AT7" i="2"/>
  <c r="AT20" i="2" s="1"/>
  <c r="AT8" i="2"/>
  <c r="AU6" i="2"/>
  <c r="AU7" i="2"/>
  <c r="AU20" i="2" s="1"/>
  <c r="AU8" i="2"/>
  <c r="AI6" i="2"/>
  <c r="AI7" i="2"/>
  <c r="AI20" i="2" s="1"/>
  <c r="AI8" i="2"/>
  <c r="AJ2" i="2"/>
  <c r="AJ3" i="2"/>
  <c r="AJ19" i="2" s="1"/>
  <c r="AJ4" i="2"/>
  <c r="AJ18" i="2" s="1"/>
  <c r="AJ5" i="2"/>
  <c r="AK2" i="2"/>
  <c r="AK3" i="2"/>
  <c r="AK19" i="2" s="1"/>
  <c r="AK4" i="2"/>
  <c r="AK5" i="2"/>
  <c r="AL2" i="2"/>
  <c r="AL18" i="2" s="1"/>
  <c r="AL3" i="2"/>
  <c r="AL4" i="2"/>
  <c r="AL5" i="2"/>
  <c r="AL19" i="2"/>
  <c r="AM2" i="2"/>
  <c r="AM18" i="2" s="1"/>
  <c r="AM3" i="2"/>
  <c r="AM4" i="2"/>
  <c r="AM19" i="2" s="1"/>
  <c r="AM5" i="2"/>
  <c r="AN2" i="2"/>
  <c r="AN3" i="2"/>
  <c r="AN19" i="2" s="1"/>
  <c r="AN4" i="2"/>
  <c r="AN18" i="2" s="1"/>
  <c r="AN5" i="2"/>
  <c r="AO2" i="2"/>
  <c r="AO3" i="2"/>
  <c r="AO19" i="2" s="1"/>
  <c r="AO4" i="2"/>
  <c r="AO5" i="2"/>
  <c r="AP2" i="2"/>
  <c r="AP18" i="2" s="1"/>
  <c r="AP3" i="2"/>
  <c r="AP4" i="2"/>
  <c r="AP5" i="2"/>
  <c r="AP19" i="2"/>
  <c r="AQ2" i="2"/>
  <c r="AQ18" i="2" s="1"/>
  <c r="AQ3" i="2"/>
  <c r="AQ4" i="2"/>
  <c r="AQ19" i="2" s="1"/>
  <c r="AQ5" i="2"/>
  <c r="AR2" i="2"/>
  <c r="AR3" i="2"/>
  <c r="AR19" i="2" s="1"/>
  <c r="AR4" i="2"/>
  <c r="AR18" i="2" s="1"/>
  <c r="AR5" i="2"/>
  <c r="AS2" i="2"/>
  <c r="AS3" i="2"/>
  <c r="AS19" i="2" s="1"/>
  <c r="AS4" i="2"/>
  <c r="AS5" i="2"/>
  <c r="AT2" i="2"/>
  <c r="AT18" i="2" s="1"/>
  <c r="AT3" i="2"/>
  <c r="AT4" i="2"/>
  <c r="AT5" i="2"/>
  <c r="AT19" i="2"/>
  <c r="AU2" i="2"/>
  <c r="AU18" i="2" s="1"/>
  <c r="AU3" i="2"/>
  <c r="AU4" i="2"/>
  <c r="AU19" i="2" s="1"/>
  <c r="AU5" i="2"/>
  <c r="AI2" i="2"/>
  <c r="AI3" i="2"/>
  <c r="AI19" i="2" s="1"/>
  <c r="AI4" i="2"/>
  <c r="AI18" i="2" s="1"/>
  <c r="AI5" i="2"/>
  <c r="AK18" i="2"/>
  <c r="AO18" i="2"/>
  <c r="AS18" i="2"/>
  <c r="P214" i="1"/>
  <c r="P212" i="1"/>
  <c r="P210" i="1"/>
  <c r="G36" i="6"/>
  <c r="G15" i="6"/>
  <c r="G56" i="6"/>
  <c r="D57" i="6"/>
  <c r="D58" i="6"/>
  <c r="D62" i="6"/>
  <c r="C60" i="6" s="1"/>
  <c r="N3" i="5"/>
  <c r="N4" i="5"/>
  <c r="N5" i="5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M3" i="5"/>
  <c r="M4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L3" i="5"/>
  <c r="L4" i="5"/>
  <c r="L5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91" i="5"/>
  <c r="L92" i="5"/>
  <c r="L93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131" i="5"/>
  <c r="L132" i="5"/>
  <c r="L133" i="5"/>
  <c r="L134" i="5"/>
  <c r="L135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407" i="5"/>
  <c r="L408" i="5"/>
  <c r="L409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0" i="5"/>
  <c r="L561" i="5"/>
  <c r="L562" i="5"/>
  <c r="L563" i="5"/>
  <c r="L564" i="5"/>
  <c r="L565" i="5"/>
  <c r="L566" i="5"/>
  <c r="L567" i="5"/>
  <c r="L568" i="5"/>
  <c r="L569" i="5"/>
  <c r="L570" i="5"/>
  <c r="L571" i="5"/>
  <c r="L572" i="5"/>
  <c r="L573" i="5"/>
  <c r="L574" i="5"/>
  <c r="L575" i="5"/>
  <c r="L576" i="5"/>
  <c r="L577" i="5"/>
  <c r="L578" i="5"/>
  <c r="L579" i="5"/>
  <c r="L580" i="5"/>
  <c r="L581" i="5"/>
  <c r="L582" i="5"/>
  <c r="L583" i="5"/>
  <c r="L584" i="5"/>
  <c r="L585" i="5"/>
  <c r="L586" i="5"/>
  <c r="L587" i="5"/>
  <c r="L588" i="5"/>
  <c r="L589" i="5"/>
  <c r="L590" i="5"/>
  <c r="L591" i="5"/>
  <c r="L592" i="5"/>
  <c r="L593" i="5"/>
  <c r="L594" i="5"/>
  <c r="L595" i="5"/>
  <c r="L596" i="5"/>
  <c r="L597" i="5"/>
  <c r="L598" i="5"/>
  <c r="L599" i="5"/>
  <c r="L600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3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3" i="5"/>
  <c r="L634" i="5"/>
  <c r="L635" i="5"/>
  <c r="L636" i="5"/>
  <c r="L637" i="5"/>
  <c r="L638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5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8" i="5"/>
  <c r="L669" i="5"/>
  <c r="L670" i="5"/>
  <c r="L671" i="5"/>
  <c r="L672" i="5"/>
  <c r="L673" i="5"/>
  <c r="L674" i="5"/>
  <c r="L675" i="5"/>
  <c r="L676" i="5"/>
  <c r="L677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1" i="5"/>
  <c r="L702" i="5"/>
  <c r="L703" i="5"/>
  <c r="L704" i="5"/>
  <c r="L705" i="5"/>
  <c r="L706" i="5"/>
  <c r="L707" i="5"/>
  <c r="L708" i="5"/>
  <c r="L709" i="5"/>
  <c r="L710" i="5"/>
  <c r="L711" i="5"/>
  <c r="L712" i="5"/>
  <c r="L713" i="5"/>
  <c r="L714" i="5"/>
  <c r="L715" i="5"/>
  <c r="L716" i="5"/>
  <c r="L717" i="5"/>
  <c r="L718" i="5"/>
  <c r="L719" i="5"/>
  <c r="L720" i="5"/>
  <c r="L721" i="5"/>
  <c r="L722" i="5"/>
  <c r="L723" i="5"/>
  <c r="L724" i="5"/>
  <c r="L725" i="5"/>
  <c r="L726" i="5"/>
  <c r="L727" i="5"/>
  <c r="L728" i="5"/>
  <c r="L729" i="5"/>
  <c r="L730" i="5"/>
  <c r="L731" i="5"/>
  <c r="K3" i="5"/>
  <c r="K4" i="5"/>
  <c r="K5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J3" i="5"/>
  <c r="J4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I3" i="5"/>
  <c r="I4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H3" i="5"/>
  <c r="H4" i="5"/>
  <c r="H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25" i="5"/>
  <c r="H26" i="5"/>
  <c r="H27" i="5"/>
  <c r="H28" i="5"/>
  <c r="H29" i="5"/>
  <c r="H30" i="5"/>
  <c r="H31" i="5"/>
  <c r="H32" i="5"/>
  <c r="H33" i="5"/>
  <c r="H34" i="5"/>
  <c r="H35" i="5"/>
  <c r="H36" i="5"/>
  <c r="H37" i="5"/>
  <c r="H38" i="5"/>
  <c r="H39" i="5"/>
  <c r="H40" i="5"/>
  <c r="H41" i="5"/>
  <c r="H42" i="5"/>
  <c r="H43" i="5"/>
  <c r="H44" i="5"/>
  <c r="H45" i="5"/>
  <c r="H46" i="5"/>
  <c r="H47" i="5"/>
  <c r="H48" i="5"/>
  <c r="H49" i="5"/>
  <c r="H50" i="5"/>
  <c r="H51" i="5"/>
  <c r="H52" i="5"/>
  <c r="H53" i="5"/>
  <c r="H54" i="5"/>
  <c r="H55" i="5"/>
  <c r="H56" i="5"/>
  <c r="H57" i="5"/>
  <c r="H58" i="5"/>
  <c r="H59" i="5"/>
  <c r="H60" i="5"/>
  <c r="H61" i="5"/>
  <c r="H62" i="5"/>
  <c r="H63" i="5"/>
  <c r="H64" i="5"/>
  <c r="H65" i="5"/>
  <c r="H66" i="5"/>
  <c r="H67" i="5"/>
  <c r="H68" i="5"/>
  <c r="H69" i="5"/>
  <c r="H70" i="5"/>
  <c r="H71" i="5"/>
  <c r="H72" i="5"/>
  <c r="H73" i="5"/>
  <c r="H74" i="5"/>
  <c r="H75" i="5"/>
  <c r="H76" i="5"/>
  <c r="H77" i="5"/>
  <c r="H78" i="5"/>
  <c r="H79" i="5"/>
  <c r="H80" i="5"/>
  <c r="H81" i="5"/>
  <c r="H82" i="5"/>
  <c r="H83" i="5"/>
  <c r="H84" i="5"/>
  <c r="H85" i="5"/>
  <c r="H86" i="5"/>
  <c r="H87" i="5"/>
  <c r="H88" i="5"/>
  <c r="H89" i="5"/>
  <c r="H90" i="5"/>
  <c r="H91" i="5"/>
  <c r="H92" i="5"/>
  <c r="H93" i="5"/>
  <c r="H94" i="5"/>
  <c r="H95" i="5"/>
  <c r="H96" i="5"/>
  <c r="H97" i="5"/>
  <c r="H98" i="5"/>
  <c r="H99" i="5"/>
  <c r="H100" i="5"/>
  <c r="H101" i="5"/>
  <c r="H102" i="5"/>
  <c r="H103" i="5"/>
  <c r="H104" i="5"/>
  <c r="H105" i="5"/>
  <c r="H106" i="5"/>
  <c r="H107" i="5"/>
  <c r="H108" i="5"/>
  <c r="H109" i="5"/>
  <c r="H110" i="5"/>
  <c r="H111" i="5"/>
  <c r="H112" i="5"/>
  <c r="H113" i="5"/>
  <c r="H114" i="5"/>
  <c r="H115" i="5"/>
  <c r="H116" i="5"/>
  <c r="H117" i="5"/>
  <c r="H118" i="5"/>
  <c r="H119" i="5"/>
  <c r="H120" i="5"/>
  <c r="H121" i="5"/>
  <c r="H122" i="5"/>
  <c r="H123" i="5"/>
  <c r="H124" i="5"/>
  <c r="H125" i="5"/>
  <c r="H126" i="5"/>
  <c r="H127" i="5"/>
  <c r="H128" i="5"/>
  <c r="H129" i="5"/>
  <c r="H130" i="5"/>
  <c r="H131" i="5"/>
  <c r="H132" i="5"/>
  <c r="H133" i="5"/>
  <c r="H134" i="5"/>
  <c r="H135" i="5"/>
  <c r="H136" i="5"/>
  <c r="H137" i="5"/>
  <c r="H138" i="5"/>
  <c r="H139" i="5"/>
  <c r="H140" i="5"/>
  <c r="H141" i="5"/>
  <c r="H142" i="5"/>
  <c r="H143" i="5"/>
  <c r="H144" i="5"/>
  <c r="H145" i="5"/>
  <c r="H146" i="5"/>
  <c r="H147" i="5"/>
  <c r="H148" i="5"/>
  <c r="H149" i="5"/>
  <c r="H150" i="5"/>
  <c r="H151" i="5"/>
  <c r="H152" i="5"/>
  <c r="H153" i="5"/>
  <c r="H154" i="5"/>
  <c r="H155" i="5"/>
  <c r="H156" i="5"/>
  <c r="H157" i="5"/>
  <c r="H158" i="5"/>
  <c r="H159" i="5"/>
  <c r="H160" i="5"/>
  <c r="H161" i="5"/>
  <c r="H162" i="5"/>
  <c r="H163" i="5"/>
  <c r="H164" i="5"/>
  <c r="H165" i="5"/>
  <c r="H166" i="5"/>
  <c r="H167" i="5"/>
  <c r="H168" i="5"/>
  <c r="H169" i="5"/>
  <c r="H170" i="5"/>
  <c r="H171" i="5"/>
  <c r="H172" i="5"/>
  <c r="H173" i="5"/>
  <c r="H174" i="5"/>
  <c r="H175" i="5"/>
  <c r="H176" i="5"/>
  <c r="H177" i="5"/>
  <c r="H178" i="5"/>
  <c r="H179" i="5"/>
  <c r="H180" i="5"/>
  <c r="H181" i="5"/>
  <c r="H182" i="5"/>
  <c r="H183" i="5"/>
  <c r="H184" i="5"/>
  <c r="H185" i="5"/>
  <c r="H186" i="5"/>
  <c r="H187" i="5"/>
  <c r="H188" i="5"/>
  <c r="H189" i="5"/>
  <c r="H190" i="5"/>
  <c r="H191" i="5"/>
  <c r="H192" i="5"/>
  <c r="H193" i="5"/>
  <c r="H194" i="5"/>
  <c r="H195" i="5"/>
  <c r="H196" i="5"/>
  <c r="H197" i="5"/>
  <c r="H198" i="5"/>
  <c r="H199" i="5"/>
  <c r="H200" i="5"/>
  <c r="H201" i="5"/>
  <c r="H202" i="5"/>
  <c r="H203" i="5"/>
  <c r="H204" i="5"/>
  <c r="H205" i="5"/>
  <c r="H206" i="5"/>
  <c r="H207" i="5"/>
  <c r="H208" i="5"/>
  <c r="H209" i="5"/>
  <c r="H210" i="5"/>
  <c r="H211" i="5"/>
  <c r="H212" i="5"/>
  <c r="H213" i="5"/>
  <c r="H214" i="5"/>
  <c r="H215" i="5"/>
  <c r="H216" i="5"/>
  <c r="H217" i="5"/>
  <c r="H218" i="5"/>
  <c r="H219" i="5"/>
  <c r="H220" i="5"/>
  <c r="H221" i="5"/>
  <c r="H222" i="5"/>
  <c r="H223" i="5"/>
  <c r="H224" i="5"/>
  <c r="H225" i="5"/>
  <c r="H226" i="5"/>
  <c r="H227" i="5"/>
  <c r="H228" i="5"/>
  <c r="H229" i="5"/>
  <c r="H230" i="5"/>
  <c r="H231" i="5"/>
  <c r="H232" i="5"/>
  <c r="H233" i="5"/>
  <c r="H234" i="5"/>
  <c r="H235" i="5"/>
  <c r="H236" i="5"/>
  <c r="H237" i="5"/>
  <c r="H238" i="5"/>
  <c r="H239" i="5"/>
  <c r="H240" i="5"/>
  <c r="H241" i="5"/>
  <c r="H242" i="5"/>
  <c r="H243" i="5"/>
  <c r="H244" i="5"/>
  <c r="H245" i="5"/>
  <c r="H246" i="5"/>
  <c r="H247" i="5"/>
  <c r="H248" i="5"/>
  <c r="H249" i="5"/>
  <c r="H250" i="5"/>
  <c r="H251" i="5"/>
  <c r="H252" i="5"/>
  <c r="H253" i="5"/>
  <c r="H254" i="5"/>
  <c r="H255" i="5"/>
  <c r="H256" i="5"/>
  <c r="H257" i="5"/>
  <c r="H258" i="5"/>
  <c r="H259" i="5"/>
  <c r="H260" i="5"/>
  <c r="H261" i="5"/>
  <c r="H262" i="5"/>
  <c r="H263" i="5"/>
  <c r="H264" i="5"/>
  <c r="H265" i="5"/>
  <c r="H266" i="5"/>
  <c r="H267" i="5"/>
  <c r="H268" i="5"/>
  <c r="H269" i="5"/>
  <c r="H270" i="5"/>
  <c r="H271" i="5"/>
  <c r="H272" i="5"/>
  <c r="H273" i="5"/>
  <c r="H274" i="5"/>
  <c r="H275" i="5"/>
  <c r="H276" i="5"/>
  <c r="H277" i="5"/>
  <c r="H278" i="5"/>
  <c r="H279" i="5"/>
  <c r="H280" i="5"/>
  <c r="H281" i="5"/>
  <c r="H282" i="5"/>
  <c r="H283" i="5"/>
  <c r="H284" i="5"/>
  <c r="H285" i="5"/>
  <c r="H286" i="5"/>
  <c r="H287" i="5"/>
  <c r="H288" i="5"/>
  <c r="H289" i="5"/>
  <c r="H290" i="5"/>
  <c r="H291" i="5"/>
  <c r="H292" i="5"/>
  <c r="H293" i="5"/>
  <c r="H294" i="5"/>
  <c r="H295" i="5"/>
  <c r="H296" i="5"/>
  <c r="H297" i="5"/>
  <c r="H298" i="5"/>
  <c r="H299" i="5"/>
  <c r="H300" i="5"/>
  <c r="H301" i="5"/>
  <c r="H302" i="5"/>
  <c r="H303" i="5"/>
  <c r="H304" i="5"/>
  <c r="H305" i="5"/>
  <c r="H306" i="5"/>
  <c r="H307" i="5"/>
  <c r="H308" i="5"/>
  <c r="H309" i="5"/>
  <c r="H310" i="5"/>
  <c r="H311" i="5"/>
  <c r="H312" i="5"/>
  <c r="H313" i="5"/>
  <c r="H314" i="5"/>
  <c r="H315" i="5"/>
  <c r="H316" i="5"/>
  <c r="H317" i="5"/>
  <c r="H318" i="5"/>
  <c r="H319" i="5"/>
  <c r="H320" i="5"/>
  <c r="H321" i="5"/>
  <c r="H322" i="5"/>
  <c r="H323" i="5"/>
  <c r="H324" i="5"/>
  <c r="H325" i="5"/>
  <c r="H326" i="5"/>
  <c r="H327" i="5"/>
  <c r="H328" i="5"/>
  <c r="H329" i="5"/>
  <c r="H330" i="5"/>
  <c r="H331" i="5"/>
  <c r="H332" i="5"/>
  <c r="H333" i="5"/>
  <c r="H334" i="5"/>
  <c r="H335" i="5"/>
  <c r="H336" i="5"/>
  <c r="H337" i="5"/>
  <c r="H338" i="5"/>
  <c r="H339" i="5"/>
  <c r="H340" i="5"/>
  <c r="H341" i="5"/>
  <c r="H342" i="5"/>
  <c r="H343" i="5"/>
  <c r="H344" i="5"/>
  <c r="H345" i="5"/>
  <c r="H346" i="5"/>
  <c r="H347" i="5"/>
  <c r="H348" i="5"/>
  <c r="H349" i="5"/>
  <c r="H350" i="5"/>
  <c r="H351" i="5"/>
  <c r="H352" i="5"/>
  <c r="H353" i="5"/>
  <c r="H354" i="5"/>
  <c r="H355" i="5"/>
  <c r="H356" i="5"/>
  <c r="H357" i="5"/>
  <c r="H358" i="5"/>
  <c r="H359" i="5"/>
  <c r="H360" i="5"/>
  <c r="H361" i="5"/>
  <c r="H362" i="5"/>
  <c r="H363" i="5"/>
  <c r="H364" i="5"/>
  <c r="H365" i="5"/>
  <c r="H366" i="5"/>
  <c r="H367" i="5"/>
  <c r="H368" i="5"/>
  <c r="H369" i="5"/>
  <c r="H370" i="5"/>
  <c r="H371" i="5"/>
  <c r="H372" i="5"/>
  <c r="H373" i="5"/>
  <c r="H374" i="5"/>
  <c r="H375" i="5"/>
  <c r="H376" i="5"/>
  <c r="H377" i="5"/>
  <c r="H378" i="5"/>
  <c r="H379" i="5"/>
  <c r="H380" i="5"/>
  <c r="H381" i="5"/>
  <c r="H382" i="5"/>
  <c r="H383" i="5"/>
  <c r="H384" i="5"/>
  <c r="H385" i="5"/>
  <c r="H386" i="5"/>
  <c r="H387" i="5"/>
  <c r="H388" i="5"/>
  <c r="H389" i="5"/>
  <c r="H390" i="5"/>
  <c r="H391" i="5"/>
  <c r="H392" i="5"/>
  <c r="H393" i="5"/>
  <c r="H394" i="5"/>
  <c r="H395" i="5"/>
  <c r="H396" i="5"/>
  <c r="H397" i="5"/>
  <c r="H398" i="5"/>
  <c r="H399" i="5"/>
  <c r="H400" i="5"/>
  <c r="H401" i="5"/>
  <c r="H402" i="5"/>
  <c r="H403" i="5"/>
  <c r="H404" i="5"/>
  <c r="H405" i="5"/>
  <c r="H406" i="5"/>
  <c r="H407" i="5"/>
  <c r="H408" i="5"/>
  <c r="H409" i="5"/>
  <c r="H410" i="5"/>
  <c r="H411" i="5"/>
  <c r="H412" i="5"/>
  <c r="H413" i="5"/>
  <c r="H414" i="5"/>
  <c r="H415" i="5"/>
  <c r="H416" i="5"/>
  <c r="H417" i="5"/>
  <c r="H418" i="5"/>
  <c r="H419" i="5"/>
  <c r="H420" i="5"/>
  <c r="H421" i="5"/>
  <c r="H422" i="5"/>
  <c r="H423" i="5"/>
  <c r="H424" i="5"/>
  <c r="H425" i="5"/>
  <c r="H426" i="5"/>
  <c r="H427" i="5"/>
  <c r="H428" i="5"/>
  <c r="H429" i="5"/>
  <c r="H430" i="5"/>
  <c r="H431" i="5"/>
  <c r="H432" i="5"/>
  <c r="H433" i="5"/>
  <c r="H434" i="5"/>
  <c r="H435" i="5"/>
  <c r="H436" i="5"/>
  <c r="H437" i="5"/>
  <c r="H438" i="5"/>
  <c r="H439" i="5"/>
  <c r="H440" i="5"/>
  <c r="H441" i="5"/>
  <c r="H442" i="5"/>
  <c r="H443" i="5"/>
  <c r="H444" i="5"/>
  <c r="H445" i="5"/>
  <c r="H446" i="5"/>
  <c r="H447" i="5"/>
  <c r="H448" i="5"/>
  <c r="H449" i="5"/>
  <c r="H450" i="5"/>
  <c r="H451" i="5"/>
  <c r="H452" i="5"/>
  <c r="H453" i="5"/>
  <c r="H454" i="5"/>
  <c r="H455" i="5"/>
  <c r="H456" i="5"/>
  <c r="H457" i="5"/>
  <c r="H458" i="5"/>
  <c r="H459" i="5"/>
  <c r="H460" i="5"/>
  <c r="H461" i="5"/>
  <c r="H462" i="5"/>
  <c r="H463" i="5"/>
  <c r="H464" i="5"/>
  <c r="H465" i="5"/>
  <c r="H466" i="5"/>
  <c r="H467" i="5"/>
  <c r="H468" i="5"/>
  <c r="H469" i="5"/>
  <c r="H470" i="5"/>
  <c r="H471" i="5"/>
  <c r="H472" i="5"/>
  <c r="H473" i="5"/>
  <c r="H474" i="5"/>
  <c r="H475" i="5"/>
  <c r="H476" i="5"/>
  <c r="H477" i="5"/>
  <c r="H478" i="5"/>
  <c r="H479" i="5"/>
  <c r="H480" i="5"/>
  <c r="H481" i="5"/>
  <c r="H482" i="5"/>
  <c r="H483" i="5"/>
  <c r="H484" i="5"/>
  <c r="H485" i="5"/>
  <c r="H486" i="5"/>
  <c r="H487" i="5"/>
  <c r="H488" i="5"/>
  <c r="H489" i="5"/>
  <c r="H490" i="5"/>
  <c r="H491" i="5"/>
  <c r="H492" i="5"/>
  <c r="H493" i="5"/>
  <c r="H494" i="5"/>
  <c r="H495" i="5"/>
  <c r="H496" i="5"/>
  <c r="H497" i="5"/>
  <c r="H498" i="5"/>
  <c r="H499" i="5"/>
  <c r="H500" i="5"/>
  <c r="H501" i="5"/>
  <c r="H502" i="5"/>
  <c r="H503" i="5"/>
  <c r="H504" i="5"/>
  <c r="H505" i="5"/>
  <c r="H506" i="5"/>
  <c r="H507" i="5"/>
  <c r="H508" i="5"/>
  <c r="H509" i="5"/>
  <c r="H510" i="5"/>
  <c r="H511" i="5"/>
  <c r="H512" i="5"/>
  <c r="H513" i="5"/>
  <c r="H514" i="5"/>
  <c r="H515" i="5"/>
  <c r="H516" i="5"/>
  <c r="H517" i="5"/>
  <c r="H518" i="5"/>
  <c r="H519" i="5"/>
  <c r="H520" i="5"/>
  <c r="H521" i="5"/>
  <c r="H522" i="5"/>
  <c r="H523" i="5"/>
  <c r="H524" i="5"/>
  <c r="H525" i="5"/>
  <c r="H526" i="5"/>
  <c r="H527" i="5"/>
  <c r="H528" i="5"/>
  <c r="H529" i="5"/>
  <c r="H530" i="5"/>
  <c r="H531" i="5"/>
  <c r="H532" i="5"/>
  <c r="H533" i="5"/>
  <c r="H534" i="5"/>
  <c r="H535" i="5"/>
  <c r="H536" i="5"/>
  <c r="H537" i="5"/>
  <c r="H538" i="5"/>
  <c r="H539" i="5"/>
  <c r="H540" i="5"/>
  <c r="H541" i="5"/>
  <c r="H542" i="5"/>
  <c r="H543" i="5"/>
  <c r="H544" i="5"/>
  <c r="H545" i="5"/>
  <c r="H546" i="5"/>
  <c r="H547" i="5"/>
  <c r="H548" i="5"/>
  <c r="H549" i="5"/>
  <c r="H550" i="5"/>
  <c r="H551" i="5"/>
  <c r="H552" i="5"/>
  <c r="H553" i="5"/>
  <c r="H554" i="5"/>
  <c r="H555" i="5"/>
  <c r="H556" i="5"/>
  <c r="H557" i="5"/>
  <c r="H558" i="5"/>
  <c r="H559" i="5"/>
  <c r="H560" i="5"/>
  <c r="H561" i="5"/>
  <c r="H562" i="5"/>
  <c r="H563" i="5"/>
  <c r="H564" i="5"/>
  <c r="H565" i="5"/>
  <c r="H566" i="5"/>
  <c r="H567" i="5"/>
  <c r="H568" i="5"/>
  <c r="H569" i="5"/>
  <c r="H570" i="5"/>
  <c r="H571" i="5"/>
  <c r="H572" i="5"/>
  <c r="H573" i="5"/>
  <c r="H574" i="5"/>
  <c r="H575" i="5"/>
  <c r="H576" i="5"/>
  <c r="H577" i="5"/>
  <c r="H578" i="5"/>
  <c r="H579" i="5"/>
  <c r="H580" i="5"/>
  <c r="H581" i="5"/>
  <c r="H582" i="5"/>
  <c r="H583" i="5"/>
  <c r="H584" i="5"/>
  <c r="H585" i="5"/>
  <c r="H586" i="5"/>
  <c r="H587" i="5"/>
  <c r="H588" i="5"/>
  <c r="H589" i="5"/>
  <c r="H590" i="5"/>
  <c r="H591" i="5"/>
  <c r="H592" i="5"/>
  <c r="H593" i="5"/>
  <c r="H594" i="5"/>
  <c r="H595" i="5"/>
  <c r="H596" i="5"/>
  <c r="H597" i="5"/>
  <c r="H598" i="5"/>
  <c r="H599" i="5"/>
  <c r="H600" i="5"/>
  <c r="H601" i="5"/>
  <c r="H602" i="5"/>
  <c r="H603" i="5"/>
  <c r="H604" i="5"/>
  <c r="H605" i="5"/>
  <c r="H606" i="5"/>
  <c r="H607" i="5"/>
  <c r="H608" i="5"/>
  <c r="H609" i="5"/>
  <c r="H610" i="5"/>
  <c r="H611" i="5"/>
  <c r="H612" i="5"/>
  <c r="H613" i="5"/>
  <c r="H614" i="5"/>
  <c r="H615" i="5"/>
  <c r="H616" i="5"/>
  <c r="H617" i="5"/>
  <c r="H618" i="5"/>
  <c r="H619" i="5"/>
  <c r="H620" i="5"/>
  <c r="H621" i="5"/>
  <c r="H622" i="5"/>
  <c r="H623" i="5"/>
  <c r="H624" i="5"/>
  <c r="H625" i="5"/>
  <c r="H626" i="5"/>
  <c r="H627" i="5"/>
  <c r="H628" i="5"/>
  <c r="H629" i="5"/>
  <c r="H630" i="5"/>
  <c r="H631" i="5"/>
  <c r="H632" i="5"/>
  <c r="H633" i="5"/>
  <c r="H634" i="5"/>
  <c r="H635" i="5"/>
  <c r="H636" i="5"/>
  <c r="H637" i="5"/>
  <c r="H638" i="5"/>
  <c r="H639" i="5"/>
  <c r="H640" i="5"/>
  <c r="H641" i="5"/>
  <c r="H642" i="5"/>
  <c r="H643" i="5"/>
  <c r="H644" i="5"/>
  <c r="H645" i="5"/>
  <c r="H646" i="5"/>
  <c r="H647" i="5"/>
  <c r="H648" i="5"/>
  <c r="H649" i="5"/>
  <c r="H650" i="5"/>
  <c r="H651" i="5"/>
  <c r="H652" i="5"/>
  <c r="H653" i="5"/>
  <c r="H654" i="5"/>
  <c r="H655" i="5"/>
  <c r="H656" i="5"/>
  <c r="H657" i="5"/>
  <c r="H658" i="5"/>
  <c r="H659" i="5"/>
  <c r="H660" i="5"/>
  <c r="H661" i="5"/>
  <c r="H662" i="5"/>
  <c r="H663" i="5"/>
  <c r="H664" i="5"/>
  <c r="H665" i="5"/>
  <c r="H666" i="5"/>
  <c r="H667" i="5"/>
  <c r="H668" i="5"/>
  <c r="H669" i="5"/>
  <c r="H670" i="5"/>
  <c r="H671" i="5"/>
  <c r="H672" i="5"/>
  <c r="H673" i="5"/>
  <c r="H674" i="5"/>
  <c r="H675" i="5"/>
  <c r="H676" i="5"/>
  <c r="H677" i="5"/>
  <c r="H678" i="5"/>
  <c r="H679" i="5"/>
  <c r="H680" i="5"/>
  <c r="H681" i="5"/>
  <c r="H682" i="5"/>
  <c r="H683" i="5"/>
  <c r="H684" i="5"/>
  <c r="H685" i="5"/>
  <c r="H686" i="5"/>
  <c r="H687" i="5"/>
  <c r="H688" i="5"/>
  <c r="H689" i="5"/>
  <c r="H690" i="5"/>
  <c r="H691" i="5"/>
  <c r="H692" i="5"/>
  <c r="H693" i="5"/>
  <c r="H694" i="5"/>
  <c r="H695" i="5"/>
  <c r="H696" i="5"/>
  <c r="H697" i="5"/>
  <c r="H698" i="5"/>
  <c r="H699" i="5"/>
  <c r="H700" i="5"/>
  <c r="H701" i="5"/>
  <c r="H702" i="5"/>
  <c r="H703" i="5"/>
  <c r="H704" i="5"/>
  <c r="H705" i="5"/>
  <c r="H706" i="5"/>
  <c r="H707" i="5"/>
  <c r="H708" i="5"/>
  <c r="H709" i="5"/>
  <c r="H710" i="5"/>
  <c r="H711" i="5"/>
  <c r="H712" i="5"/>
  <c r="H713" i="5"/>
  <c r="H714" i="5"/>
  <c r="H715" i="5"/>
  <c r="H716" i="5"/>
  <c r="H717" i="5"/>
  <c r="H718" i="5"/>
  <c r="H719" i="5"/>
  <c r="H720" i="5"/>
  <c r="H721" i="5"/>
  <c r="H722" i="5"/>
  <c r="H723" i="5"/>
  <c r="H724" i="5"/>
  <c r="H725" i="5"/>
  <c r="H726" i="5"/>
  <c r="H727" i="5"/>
  <c r="H728" i="5"/>
  <c r="H729" i="5"/>
  <c r="H730" i="5"/>
  <c r="H731" i="5"/>
  <c r="I2" i="5"/>
  <c r="J2" i="5"/>
  <c r="K2" i="5"/>
  <c r="L2" i="5"/>
  <c r="M2" i="5"/>
  <c r="N2" i="5"/>
  <c r="G731" i="5"/>
  <c r="F731" i="5"/>
  <c r="E731" i="5"/>
  <c r="D731" i="5"/>
  <c r="C731" i="5"/>
  <c r="B731" i="5"/>
  <c r="G730" i="5"/>
  <c r="F730" i="5"/>
  <c r="E730" i="5"/>
  <c r="D730" i="5"/>
  <c r="C730" i="5"/>
  <c r="B730" i="5"/>
  <c r="G729" i="5"/>
  <c r="F729" i="5"/>
  <c r="E729" i="5"/>
  <c r="D729" i="5"/>
  <c r="C729" i="5"/>
  <c r="B729" i="5"/>
  <c r="G728" i="5"/>
  <c r="F728" i="5"/>
  <c r="E728" i="5"/>
  <c r="D728" i="5"/>
  <c r="C728" i="5"/>
  <c r="B728" i="5"/>
  <c r="G727" i="5"/>
  <c r="F727" i="5"/>
  <c r="E727" i="5"/>
  <c r="D727" i="5"/>
  <c r="C727" i="5"/>
  <c r="B727" i="5"/>
  <c r="G726" i="5"/>
  <c r="F726" i="5"/>
  <c r="E726" i="5"/>
  <c r="D726" i="5"/>
  <c r="C726" i="5"/>
  <c r="B726" i="5"/>
  <c r="G725" i="5"/>
  <c r="F725" i="5"/>
  <c r="E725" i="5"/>
  <c r="D725" i="5"/>
  <c r="C725" i="5"/>
  <c r="B725" i="5"/>
  <c r="G724" i="5"/>
  <c r="F724" i="5"/>
  <c r="E724" i="5"/>
  <c r="D724" i="5"/>
  <c r="C724" i="5"/>
  <c r="B724" i="5"/>
  <c r="G723" i="5"/>
  <c r="F723" i="5"/>
  <c r="E723" i="5"/>
  <c r="D723" i="5"/>
  <c r="C723" i="5"/>
  <c r="B723" i="5"/>
  <c r="G722" i="5"/>
  <c r="F722" i="5"/>
  <c r="E722" i="5"/>
  <c r="D722" i="5"/>
  <c r="C722" i="5"/>
  <c r="B722" i="5"/>
  <c r="G721" i="5"/>
  <c r="F721" i="5"/>
  <c r="E721" i="5"/>
  <c r="D721" i="5"/>
  <c r="C721" i="5"/>
  <c r="B721" i="5"/>
  <c r="G720" i="5"/>
  <c r="F720" i="5"/>
  <c r="E720" i="5"/>
  <c r="D720" i="5"/>
  <c r="C720" i="5"/>
  <c r="B720" i="5"/>
  <c r="G719" i="5"/>
  <c r="F719" i="5"/>
  <c r="E719" i="5"/>
  <c r="D719" i="5"/>
  <c r="C719" i="5"/>
  <c r="B719" i="5"/>
  <c r="G718" i="5"/>
  <c r="F718" i="5"/>
  <c r="E718" i="5"/>
  <c r="D718" i="5"/>
  <c r="C718" i="5"/>
  <c r="B718" i="5"/>
  <c r="G717" i="5"/>
  <c r="F717" i="5"/>
  <c r="E717" i="5"/>
  <c r="D717" i="5"/>
  <c r="C717" i="5"/>
  <c r="B717" i="5"/>
  <c r="G716" i="5"/>
  <c r="F716" i="5"/>
  <c r="E716" i="5"/>
  <c r="D716" i="5"/>
  <c r="C716" i="5"/>
  <c r="B716" i="5"/>
  <c r="G715" i="5"/>
  <c r="F715" i="5"/>
  <c r="E715" i="5"/>
  <c r="D715" i="5"/>
  <c r="C715" i="5"/>
  <c r="B715" i="5"/>
  <c r="G714" i="5"/>
  <c r="F714" i="5"/>
  <c r="E714" i="5"/>
  <c r="D714" i="5"/>
  <c r="C714" i="5"/>
  <c r="B714" i="5"/>
  <c r="G713" i="5"/>
  <c r="F713" i="5"/>
  <c r="E713" i="5"/>
  <c r="D713" i="5"/>
  <c r="C713" i="5"/>
  <c r="B713" i="5"/>
  <c r="G712" i="5"/>
  <c r="F712" i="5"/>
  <c r="E712" i="5"/>
  <c r="D712" i="5"/>
  <c r="C712" i="5"/>
  <c r="B712" i="5"/>
  <c r="G711" i="5"/>
  <c r="F711" i="5"/>
  <c r="E711" i="5"/>
  <c r="D711" i="5"/>
  <c r="C711" i="5"/>
  <c r="B711" i="5"/>
  <c r="G710" i="5"/>
  <c r="F710" i="5"/>
  <c r="E710" i="5"/>
  <c r="D710" i="5"/>
  <c r="C710" i="5"/>
  <c r="B710" i="5"/>
  <c r="G709" i="5"/>
  <c r="F709" i="5"/>
  <c r="E709" i="5"/>
  <c r="D709" i="5"/>
  <c r="C709" i="5"/>
  <c r="B709" i="5"/>
  <c r="G708" i="5"/>
  <c r="F708" i="5"/>
  <c r="E708" i="5"/>
  <c r="D708" i="5"/>
  <c r="C708" i="5"/>
  <c r="B708" i="5"/>
  <c r="G707" i="5"/>
  <c r="F707" i="5"/>
  <c r="E707" i="5"/>
  <c r="D707" i="5"/>
  <c r="C707" i="5"/>
  <c r="B707" i="5"/>
  <c r="G706" i="5"/>
  <c r="F706" i="5"/>
  <c r="E706" i="5"/>
  <c r="D706" i="5"/>
  <c r="C706" i="5"/>
  <c r="B706" i="5"/>
  <c r="G705" i="5"/>
  <c r="F705" i="5"/>
  <c r="E705" i="5"/>
  <c r="D705" i="5"/>
  <c r="C705" i="5"/>
  <c r="B705" i="5"/>
  <c r="G704" i="5"/>
  <c r="F704" i="5"/>
  <c r="E704" i="5"/>
  <c r="D704" i="5"/>
  <c r="C704" i="5"/>
  <c r="B704" i="5"/>
  <c r="G703" i="5"/>
  <c r="F703" i="5"/>
  <c r="E703" i="5"/>
  <c r="D703" i="5"/>
  <c r="C703" i="5"/>
  <c r="B703" i="5"/>
  <c r="G702" i="5"/>
  <c r="F702" i="5"/>
  <c r="E702" i="5"/>
  <c r="D702" i="5"/>
  <c r="C702" i="5"/>
  <c r="B702" i="5"/>
  <c r="G701" i="5"/>
  <c r="F701" i="5"/>
  <c r="E701" i="5"/>
  <c r="D701" i="5"/>
  <c r="C701" i="5"/>
  <c r="B701" i="5"/>
  <c r="G700" i="5"/>
  <c r="F700" i="5"/>
  <c r="E700" i="5"/>
  <c r="D700" i="5"/>
  <c r="C700" i="5"/>
  <c r="B700" i="5"/>
  <c r="G699" i="5"/>
  <c r="F699" i="5"/>
  <c r="E699" i="5"/>
  <c r="D699" i="5"/>
  <c r="C699" i="5"/>
  <c r="B699" i="5"/>
  <c r="G698" i="5"/>
  <c r="F698" i="5"/>
  <c r="E698" i="5"/>
  <c r="D698" i="5"/>
  <c r="C698" i="5"/>
  <c r="B698" i="5"/>
  <c r="G697" i="5"/>
  <c r="F697" i="5"/>
  <c r="E697" i="5"/>
  <c r="D697" i="5"/>
  <c r="C697" i="5"/>
  <c r="B697" i="5"/>
  <c r="G696" i="5"/>
  <c r="F696" i="5"/>
  <c r="E696" i="5"/>
  <c r="D696" i="5"/>
  <c r="C696" i="5"/>
  <c r="B696" i="5"/>
  <c r="G695" i="5"/>
  <c r="F695" i="5"/>
  <c r="E695" i="5"/>
  <c r="D695" i="5"/>
  <c r="C695" i="5"/>
  <c r="B695" i="5"/>
  <c r="G694" i="5"/>
  <c r="F694" i="5"/>
  <c r="E694" i="5"/>
  <c r="D694" i="5"/>
  <c r="C694" i="5"/>
  <c r="B694" i="5"/>
  <c r="G693" i="5"/>
  <c r="F693" i="5"/>
  <c r="E693" i="5"/>
  <c r="D693" i="5"/>
  <c r="C693" i="5"/>
  <c r="B693" i="5"/>
  <c r="G692" i="5"/>
  <c r="F692" i="5"/>
  <c r="E692" i="5"/>
  <c r="D692" i="5"/>
  <c r="C692" i="5"/>
  <c r="B692" i="5"/>
  <c r="G691" i="5"/>
  <c r="F691" i="5"/>
  <c r="E691" i="5"/>
  <c r="D691" i="5"/>
  <c r="C691" i="5"/>
  <c r="B691" i="5"/>
  <c r="G690" i="5"/>
  <c r="F690" i="5"/>
  <c r="E690" i="5"/>
  <c r="D690" i="5"/>
  <c r="C690" i="5"/>
  <c r="B690" i="5"/>
  <c r="G689" i="5"/>
  <c r="F689" i="5"/>
  <c r="E689" i="5"/>
  <c r="D689" i="5"/>
  <c r="C689" i="5"/>
  <c r="B689" i="5"/>
  <c r="G688" i="5"/>
  <c r="F688" i="5"/>
  <c r="E688" i="5"/>
  <c r="D688" i="5"/>
  <c r="C688" i="5"/>
  <c r="B688" i="5"/>
  <c r="G687" i="5"/>
  <c r="F687" i="5"/>
  <c r="E687" i="5"/>
  <c r="D687" i="5"/>
  <c r="C687" i="5"/>
  <c r="B687" i="5"/>
  <c r="G686" i="5"/>
  <c r="F686" i="5"/>
  <c r="E686" i="5"/>
  <c r="D686" i="5"/>
  <c r="C686" i="5"/>
  <c r="B686" i="5"/>
  <c r="G685" i="5"/>
  <c r="F685" i="5"/>
  <c r="E685" i="5"/>
  <c r="D685" i="5"/>
  <c r="C685" i="5"/>
  <c r="B685" i="5"/>
  <c r="G684" i="5"/>
  <c r="F684" i="5"/>
  <c r="E684" i="5"/>
  <c r="D684" i="5"/>
  <c r="C684" i="5"/>
  <c r="B684" i="5"/>
  <c r="G683" i="5"/>
  <c r="F683" i="5"/>
  <c r="E683" i="5"/>
  <c r="D683" i="5"/>
  <c r="C683" i="5"/>
  <c r="B683" i="5"/>
  <c r="G682" i="5"/>
  <c r="F682" i="5"/>
  <c r="E682" i="5"/>
  <c r="D682" i="5"/>
  <c r="C682" i="5"/>
  <c r="B682" i="5"/>
  <c r="G681" i="5"/>
  <c r="F681" i="5"/>
  <c r="E681" i="5"/>
  <c r="D681" i="5"/>
  <c r="C681" i="5"/>
  <c r="B681" i="5"/>
  <c r="G680" i="5"/>
  <c r="F680" i="5"/>
  <c r="E680" i="5"/>
  <c r="D680" i="5"/>
  <c r="C680" i="5"/>
  <c r="B680" i="5"/>
  <c r="G679" i="5"/>
  <c r="F679" i="5"/>
  <c r="E679" i="5"/>
  <c r="D679" i="5"/>
  <c r="C679" i="5"/>
  <c r="B679" i="5"/>
  <c r="G678" i="5"/>
  <c r="F678" i="5"/>
  <c r="E678" i="5"/>
  <c r="D678" i="5"/>
  <c r="C678" i="5"/>
  <c r="B678" i="5"/>
  <c r="G677" i="5"/>
  <c r="F677" i="5"/>
  <c r="E677" i="5"/>
  <c r="D677" i="5"/>
  <c r="C677" i="5"/>
  <c r="B677" i="5"/>
  <c r="G676" i="5"/>
  <c r="F676" i="5"/>
  <c r="E676" i="5"/>
  <c r="D676" i="5"/>
  <c r="C676" i="5"/>
  <c r="B676" i="5"/>
  <c r="G675" i="5"/>
  <c r="F675" i="5"/>
  <c r="E675" i="5"/>
  <c r="D675" i="5"/>
  <c r="C675" i="5"/>
  <c r="B675" i="5"/>
  <c r="G674" i="5"/>
  <c r="F674" i="5"/>
  <c r="E674" i="5"/>
  <c r="D674" i="5"/>
  <c r="C674" i="5"/>
  <c r="B674" i="5"/>
  <c r="G673" i="5"/>
  <c r="F673" i="5"/>
  <c r="E673" i="5"/>
  <c r="D673" i="5"/>
  <c r="C673" i="5"/>
  <c r="B673" i="5"/>
  <c r="G672" i="5"/>
  <c r="F672" i="5"/>
  <c r="E672" i="5"/>
  <c r="D672" i="5"/>
  <c r="C672" i="5"/>
  <c r="B672" i="5"/>
  <c r="G671" i="5"/>
  <c r="F671" i="5"/>
  <c r="E671" i="5"/>
  <c r="D671" i="5"/>
  <c r="C671" i="5"/>
  <c r="B671" i="5"/>
  <c r="G670" i="5"/>
  <c r="F670" i="5"/>
  <c r="E670" i="5"/>
  <c r="D670" i="5"/>
  <c r="C670" i="5"/>
  <c r="B670" i="5"/>
  <c r="G669" i="5"/>
  <c r="F669" i="5"/>
  <c r="E669" i="5"/>
  <c r="D669" i="5"/>
  <c r="C669" i="5"/>
  <c r="B669" i="5"/>
  <c r="G668" i="5"/>
  <c r="F668" i="5"/>
  <c r="E668" i="5"/>
  <c r="D668" i="5"/>
  <c r="C668" i="5"/>
  <c r="B668" i="5"/>
  <c r="G667" i="5"/>
  <c r="F667" i="5"/>
  <c r="E667" i="5"/>
  <c r="D667" i="5"/>
  <c r="C667" i="5"/>
  <c r="B667" i="5"/>
  <c r="G666" i="5"/>
  <c r="F666" i="5"/>
  <c r="E666" i="5"/>
  <c r="D666" i="5"/>
  <c r="C666" i="5"/>
  <c r="B666" i="5"/>
  <c r="G665" i="5"/>
  <c r="F665" i="5"/>
  <c r="E665" i="5"/>
  <c r="D665" i="5"/>
  <c r="C665" i="5"/>
  <c r="B665" i="5"/>
  <c r="G664" i="5"/>
  <c r="F664" i="5"/>
  <c r="E664" i="5"/>
  <c r="D664" i="5"/>
  <c r="C664" i="5"/>
  <c r="B664" i="5"/>
  <c r="G663" i="5"/>
  <c r="F663" i="5"/>
  <c r="E663" i="5"/>
  <c r="D663" i="5"/>
  <c r="C663" i="5"/>
  <c r="B663" i="5"/>
  <c r="G662" i="5"/>
  <c r="F662" i="5"/>
  <c r="E662" i="5"/>
  <c r="D662" i="5"/>
  <c r="C662" i="5"/>
  <c r="B662" i="5"/>
  <c r="G661" i="5"/>
  <c r="F661" i="5"/>
  <c r="E661" i="5"/>
  <c r="D661" i="5"/>
  <c r="C661" i="5"/>
  <c r="B661" i="5"/>
  <c r="G660" i="5"/>
  <c r="F660" i="5"/>
  <c r="E660" i="5"/>
  <c r="D660" i="5"/>
  <c r="C660" i="5"/>
  <c r="B660" i="5"/>
  <c r="G659" i="5"/>
  <c r="F659" i="5"/>
  <c r="E659" i="5"/>
  <c r="D659" i="5"/>
  <c r="C659" i="5"/>
  <c r="B659" i="5"/>
  <c r="G658" i="5"/>
  <c r="F658" i="5"/>
  <c r="E658" i="5"/>
  <c r="D658" i="5"/>
  <c r="C658" i="5"/>
  <c r="B658" i="5"/>
  <c r="G657" i="5"/>
  <c r="F657" i="5"/>
  <c r="E657" i="5"/>
  <c r="D657" i="5"/>
  <c r="C657" i="5"/>
  <c r="B657" i="5"/>
  <c r="G656" i="5"/>
  <c r="F656" i="5"/>
  <c r="E656" i="5"/>
  <c r="D656" i="5"/>
  <c r="C656" i="5"/>
  <c r="B656" i="5"/>
  <c r="G655" i="5"/>
  <c r="F655" i="5"/>
  <c r="E655" i="5"/>
  <c r="D655" i="5"/>
  <c r="C655" i="5"/>
  <c r="B655" i="5"/>
  <c r="G654" i="5"/>
  <c r="F654" i="5"/>
  <c r="E654" i="5"/>
  <c r="D654" i="5"/>
  <c r="C654" i="5"/>
  <c r="B654" i="5"/>
  <c r="G653" i="5"/>
  <c r="F653" i="5"/>
  <c r="E653" i="5"/>
  <c r="D653" i="5"/>
  <c r="C653" i="5"/>
  <c r="B653" i="5"/>
  <c r="G652" i="5"/>
  <c r="F652" i="5"/>
  <c r="E652" i="5"/>
  <c r="D652" i="5"/>
  <c r="C652" i="5"/>
  <c r="B652" i="5"/>
  <c r="G651" i="5"/>
  <c r="F651" i="5"/>
  <c r="E651" i="5"/>
  <c r="D651" i="5"/>
  <c r="C651" i="5"/>
  <c r="B651" i="5"/>
  <c r="G650" i="5"/>
  <c r="F650" i="5"/>
  <c r="E650" i="5"/>
  <c r="D650" i="5"/>
  <c r="C650" i="5"/>
  <c r="B650" i="5"/>
  <c r="G649" i="5"/>
  <c r="F649" i="5"/>
  <c r="E649" i="5"/>
  <c r="D649" i="5"/>
  <c r="C649" i="5"/>
  <c r="B649" i="5"/>
  <c r="G648" i="5"/>
  <c r="F648" i="5"/>
  <c r="E648" i="5"/>
  <c r="D648" i="5"/>
  <c r="C648" i="5"/>
  <c r="B648" i="5"/>
  <c r="G647" i="5"/>
  <c r="F647" i="5"/>
  <c r="E647" i="5"/>
  <c r="D647" i="5"/>
  <c r="C647" i="5"/>
  <c r="B647" i="5"/>
  <c r="G646" i="5"/>
  <c r="F646" i="5"/>
  <c r="E646" i="5"/>
  <c r="D646" i="5"/>
  <c r="C646" i="5"/>
  <c r="B646" i="5"/>
  <c r="G645" i="5"/>
  <c r="F645" i="5"/>
  <c r="E645" i="5"/>
  <c r="D645" i="5"/>
  <c r="C645" i="5"/>
  <c r="B645" i="5"/>
  <c r="G644" i="5"/>
  <c r="F644" i="5"/>
  <c r="E644" i="5"/>
  <c r="D644" i="5"/>
  <c r="C644" i="5"/>
  <c r="B644" i="5"/>
  <c r="G643" i="5"/>
  <c r="F643" i="5"/>
  <c r="E643" i="5"/>
  <c r="D643" i="5"/>
  <c r="C643" i="5"/>
  <c r="B643" i="5"/>
  <c r="G642" i="5"/>
  <c r="F642" i="5"/>
  <c r="E642" i="5"/>
  <c r="D642" i="5"/>
  <c r="C642" i="5"/>
  <c r="B642" i="5"/>
  <c r="G641" i="5"/>
  <c r="F641" i="5"/>
  <c r="E641" i="5"/>
  <c r="D641" i="5"/>
  <c r="C641" i="5"/>
  <c r="B641" i="5"/>
  <c r="G640" i="5"/>
  <c r="F640" i="5"/>
  <c r="E640" i="5"/>
  <c r="D640" i="5"/>
  <c r="C640" i="5"/>
  <c r="B640" i="5"/>
  <c r="G639" i="5"/>
  <c r="F639" i="5"/>
  <c r="E639" i="5"/>
  <c r="D639" i="5"/>
  <c r="C639" i="5"/>
  <c r="B639" i="5"/>
  <c r="G638" i="5"/>
  <c r="F638" i="5"/>
  <c r="E638" i="5"/>
  <c r="D638" i="5"/>
  <c r="C638" i="5"/>
  <c r="B638" i="5"/>
  <c r="G637" i="5"/>
  <c r="F637" i="5"/>
  <c r="E637" i="5"/>
  <c r="D637" i="5"/>
  <c r="C637" i="5"/>
  <c r="B637" i="5"/>
  <c r="G636" i="5"/>
  <c r="F636" i="5"/>
  <c r="E636" i="5"/>
  <c r="D636" i="5"/>
  <c r="C636" i="5"/>
  <c r="B636" i="5"/>
  <c r="G635" i="5"/>
  <c r="F635" i="5"/>
  <c r="E635" i="5"/>
  <c r="D635" i="5"/>
  <c r="C635" i="5"/>
  <c r="B635" i="5"/>
  <c r="G634" i="5"/>
  <c r="F634" i="5"/>
  <c r="E634" i="5"/>
  <c r="D634" i="5"/>
  <c r="C634" i="5"/>
  <c r="B634" i="5"/>
  <c r="G633" i="5"/>
  <c r="F633" i="5"/>
  <c r="E633" i="5"/>
  <c r="D633" i="5"/>
  <c r="C633" i="5"/>
  <c r="B633" i="5"/>
  <c r="G632" i="5"/>
  <c r="F632" i="5"/>
  <c r="E632" i="5"/>
  <c r="D632" i="5"/>
  <c r="C632" i="5"/>
  <c r="B632" i="5"/>
  <c r="G631" i="5"/>
  <c r="F631" i="5"/>
  <c r="E631" i="5"/>
  <c r="D631" i="5"/>
  <c r="C631" i="5"/>
  <c r="B631" i="5"/>
  <c r="G630" i="5"/>
  <c r="F630" i="5"/>
  <c r="E630" i="5"/>
  <c r="D630" i="5"/>
  <c r="C630" i="5"/>
  <c r="B630" i="5"/>
  <c r="G629" i="5"/>
  <c r="F629" i="5"/>
  <c r="E629" i="5"/>
  <c r="D629" i="5"/>
  <c r="C629" i="5"/>
  <c r="B629" i="5"/>
  <c r="G628" i="5"/>
  <c r="F628" i="5"/>
  <c r="E628" i="5"/>
  <c r="D628" i="5"/>
  <c r="C628" i="5"/>
  <c r="B628" i="5"/>
  <c r="G627" i="5"/>
  <c r="F627" i="5"/>
  <c r="E627" i="5"/>
  <c r="D627" i="5"/>
  <c r="C627" i="5"/>
  <c r="B627" i="5"/>
  <c r="G626" i="5"/>
  <c r="F626" i="5"/>
  <c r="E626" i="5"/>
  <c r="D626" i="5"/>
  <c r="C626" i="5"/>
  <c r="B626" i="5"/>
  <c r="G625" i="5"/>
  <c r="F625" i="5"/>
  <c r="E625" i="5"/>
  <c r="D625" i="5"/>
  <c r="C625" i="5"/>
  <c r="B625" i="5"/>
  <c r="G624" i="5"/>
  <c r="F624" i="5"/>
  <c r="E624" i="5"/>
  <c r="D624" i="5"/>
  <c r="C624" i="5"/>
  <c r="B624" i="5"/>
  <c r="G623" i="5"/>
  <c r="F623" i="5"/>
  <c r="E623" i="5"/>
  <c r="D623" i="5"/>
  <c r="C623" i="5"/>
  <c r="B623" i="5"/>
  <c r="G622" i="5"/>
  <c r="F622" i="5"/>
  <c r="E622" i="5"/>
  <c r="D622" i="5"/>
  <c r="C622" i="5"/>
  <c r="B622" i="5"/>
  <c r="G621" i="5"/>
  <c r="F621" i="5"/>
  <c r="E621" i="5"/>
  <c r="D621" i="5"/>
  <c r="C621" i="5"/>
  <c r="B621" i="5"/>
  <c r="G620" i="5"/>
  <c r="F620" i="5"/>
  <c r="E620" i="5"/>
  <c r="D620" i="5"/>
  <c r="C620" i="5"/>
  <c r="B620" i="5"/>
  <c r="G619" i="5"/>
  <c r="F619" i="5"/>
  <c r="E619" i="5"/>
  <c r="D619" i="5"/>
  <c r="C619" i="5"/>
  <c r="B619" i="5"/>
  <c r="G618" i="5"/>
  <c r="F618" i="5"/>
  <c r="E618" i="5"/>
  <c r="D618" i="5"/>
  <c r="C618" i="5"/>
  <c r="B618" i="5"/>
  <c r="G617" i="5"/>
  <c r="F617" i="5"/>
  <c r="E617" i="5"/>
  <c r="D617" i="5"/>
  <c r="C617" i="5"/>
  <c r="B617" i="5"/>
  <c r="G616" i="5"/>
  <c r="F616" i="5"/>
  <c r="E616" i="5"/>
  <c r="D616" i="5"/>
  <c r="C616" i="5"/>
  <c r="B616" i="5"/>
  <c r="G615" i="5"/>
  <c r="F615" i="5"/>
  <c r="E615" i="5"/>
  <c r="D615" i="5"/>
  <c r="C615" i="5"/>
  <c r="B615" i="5"/>
  <c r="G614" i="5"/>
  <c r="F614" i="5"/>
  <c r="E614" i="5"/>
  <c r="D614" i="5"/>
  <c r="C614" i="5"/>
  <c r="B614" i="5"/>
  <c r="G613" i="5"/>
  <c r="F613" i="5"/>
  <c r="E613" i="5"/>
  <c r="D613" i="5"/>
  <c r="C613" i="5"/>
  <c r="B613" i="5"/>
  <c r="G612" i="5"/>
  <c r="F612" i="5"/>
  <c r="E612" i="5"/>
  <c r="D612" i="5"/>
  <c r="C612" i="5"/>
  <c r="B612" i="5"/>
  <c r="G611" i="5"/>
  <c r="F611" i="5"/>
  <c r="E611" i="5"/>
  <c r="D611" i="5"/>
  <c r="C611" i="5"/>
  <c r="B611" i="5"/>
  <c r="G610" i="5"/>
  <c r="F610" i="5"/>
  <c r="E610" i="5"/>
  <c r="D610" i="5"/>
  <c r="C610" i="5"/>
  <c r="B610" i="5"/>
  <c r="G609" i="5"/>
  <c r="F609" i="5"/>
  <c r="E609" i="5"/>
  <c r="D609" i="5"/>
  <c r="C609" i="5"/>
  <c r="B609" i="5"/>
  <c r="G608" i="5"/>
  <c r="F608" i="5"/>
  <c r="E608" i="5"/>
  <c r="D608" i="5"/>
  <c r="C608" i="5"/>
  <c r="B608" i="5"/>
  <c r="G607" i="5"/>
  <c r="F607" i="5"/>
  <c r="E607" i="5"/>
  <c r="D607" i="5"/>
  <c r="C607" i="5"/>
  <c r="B607" i="5"/>
  <c r="G606" i="5"/>
  <c r="F606" i="5"/>
  <c r="E606" i="5"/>
  <c r="D606" i="5"/>
  <c r="C606" i="5"/>
  <c r="B606" i="5"/>
  <c r="G605" i="5"/>
  <c r="F605" i="5"/>
  <c r="E605" i="5"/>
  <c r="D605" i="5"/>
  <c r="C605" i="5"/>
  <c r="B605" i="5"/>
  <c r="G604" i="5"/>
  <c r="F604" i="5"/>
  <c r="E604" i="5"/>
  <c r="D604" i="5"/>
  <c r="C604" i="5"/>
  <c r="B604" i="5"/>
  <c r="G603" i="5"/>
  <c r="F603" i="5"/>
  <c r="E603" i="5"/>
  <c r="D603" i="5"/>
  <c r="C603" i="5"/>
  <c r="B603" i="5"/>
  <c r="G602" i="5"/>
  <c r="F602" i="5"/>
  <c r="E602" i="5"/>
  <c r="D602" i="5"/>
  <c r="C602" i="5"/>
  <c r="B602" i="5"/>
  <c r="G601" i="5"/>
  <c r="F601" i="5"/>
  <c r="E601" i="5"/>
  <c r="D601" i="5"/>
  <c r="C601" i="5"/>
  <c r="B601" i="5"/>
  <c r="G600" i="5"/>
  <c r="F600" i="5"/>
  <c r="E600" i="5"/>
  <c r="D600" i="5"/>
  <c r="C600" i="5"/>
  <c r="B600" i="5"/>
  <c r="G599" i="5"/>
  <c r="F599" i="5"/>
  <c r="E599" i="5"/>
  <c r="D599" i="5"/>
  <c r="C599" i="5"/>
  <c r="B599" i="5"/>
  <c r="G598" i="5"/>
  <c r="F598" i="5"/>
  <c r="E598" i="5"/>
  <c r="D598" i="5"/>
  <c r="C598" i="5"/>
  <c r="B598" i="5"/>
  <c r="G597" i="5"/>
  <c r="F597" i="5"/>
  <c r="E597" i="5"/>
  <c r="D597" i="5"/>
  <c r="C597" i="5"/>
  <c r="B597" i="5"/>
  <c r="G596" i="5"/>
  <c r="F596" i="5"/>
  <c r="E596" i="5"/>
  <c r="D596" i="5"/>
  <c r="C596" i="5"/>
  <c r="B596" i="5"/>
  <c r="G595" i="5"/>
  <c r="F595" i="5"/>
  <c r="E595" i="5"/>
  <c r="D595" i="5"/>
  <c r="C595" i="5"/>
  <c r="B595" i="5"/>
  <c r="G594" i="5"/>
  <c r="F594" i="5"/>
  <c r="E594" i="5"/>
  <c r="D594" i="5"/>
  <c r="C594" i="5"/>
  <c r="B594" i="5"/>
  <c r="G593" i="5"/>
  <c r="F593" i="5"/>
  <c r="E593" i="5"/>
  <c r="D593" i="5"/>
  <c r="C593" i="5"/>
  <c r="B593" i="5"/>
  <c r="G592" i="5"/>
  <c r="F592" i="5"/>
  <c r="E592" i="5"/>
  <c r="D592" i="5"/>
  <c r="C592" i="5"/>
  <c r="B592" i="5"/>
  <c r="G591" i="5"/>
  <c r="F591" i="5"/>
  <c r="E591" i="5"/>
  <c r="D591" i="5"/>
  <c r="C591" i="5"/>
  <c r="B591" i="5"/>
  <c r="G590" i="5"/>
  <c r="F590" i="5"/>
  <c r="E590" i="5"/>
  <c r="D590" i="5"/>
  <c r="C590" i="5"/>
  <c r="B590" i="5"/>
  <c r="G589" i="5"/>
  <c r="F589" i="5"/>
  <c r="E589" i="5"/>
  <c r="D589" i="5"/>
  <c r="C589" i="5"/>
  <c r="B589" i="5"/>
  <c r="G588" i="5"/>
  <c r="F588" i="5"/>
  <c r="E588" i="5"/>
  <c r="D588" i="5"/>
  <c r="C588" i="5"/>
  <c r="B588" i="5"/>
  <c r="G587" i="5"/>
  <c r="F587" i="5"/>
  <c r="E587" i="5"/>
  <c r="D587" i="5"/>
  <c r="C587" i="5"/>
  <c r="B587" i="5"/>
  <c r="G586" i="5"/>
  <c r="F586" i="5"/>
  <c r="E586" i="5"/>
  <c r="D586" i="5"/>
  <c r="C586" i="5"/>
  <c r="B586" i="5"/>
  <c r="G585" i="5"/>
  <c r="F585" i="5"/>
  <c r="E585" i="5"/>
  <c r="D585" i="5"/>
  <c r="C585" i="5"/>
  <c r="B585" i="5"/>
  <c r="G584" i="5"/>
  <c r="F584" i="5"/>
  <c r="E584" i="5"/>
  <c r="D584" i="5"/>
  <c r="C584" i="5"/>
  <c r="B584" i="5"/>
  <c r="G583" i="5"/>
  <c r="F583" i="5"/>
  <c r="E583" i="5"/>
  <c r="D583" i="5"/>
  <c r="C583" i="5"/>
  <c r="B583" i="5"/>
  <c r="G582" i="5"/>
  <c r="F582" i="5"/>
  <c r="E582" i="5"/>
  <c r="D582" i="5"/>
  <c r="C582" i="5"/>
  <c r="B582" i="5"/>
  <c r="G581" i="5"/>
  <c r="F581" i="5"/>
  <c r="E581" i="5"/>
  <c r="D581" i="5"/>
  <c r="C581" i="5"/>
  <c r="B581" i="5"/>
  <c r="G580" i="5"/>
  <c r="F580" i="5"/>
  <c r="E580" i="5"/>
  <c r="D580" i="5"/>
  <c r="C580" i="5"/>
  <c r="B580" i="5"/>
  <c r="G579" i="5"/>
  <c r="F579" i="5"/>
  <c r="E579" i="5"/>
  <c r="D579" i="5"/>
  <c r="C579" i="5"/>
  <c r="B579" i="5"/>
  <c r="G578" i="5"/>
  <c r="F578" i="5"/>
  <c r="E578" i="5"/>
  <c r="D578" i="5"/>
  <c r="C578" i="5"/>
  <c r="B578" i="5"/>
  <c r="G577" i="5"/>
  <c r="F577" i="5"/>
  <c r="E577" i="5"/>
  <c r="D577" i="5"/>
  <c r="C577" i="5"/>
  <c r="B577" i="5"/>
  <c r="G576" i="5"/>
  <c r="F576" i="5"/>
  <c r="E576" i="5"/>
  <c r="D576" i="5"/>
  <c r="C576" i="5"/>
  <c r="B576" i="5"/>
  <c r="G575" i="5"/>
  <c r="F575" i="5"/>
  <c r="E575" i="5"/>
  <c r="D575" i="5"/>
  <c r="C575" i="5"/>
  <c r="B575" i="5"/>
  <c r="G574" i="5"/>
  <c r="F574" i="5"/>
  <c r="E574" i="5"/>
  <c r="D574" i="5"/>
  <c r="C574" i="5"/>
  <c r="B574" i="5"/>
  <c r="G573" i="5"/>
  <c r="F573" i="5"/>
  <c r="E573" i="5"/>
  <c r="D573" i="5"/>
  <c r="C573" i="5"/>
  <c r="B573" i="5"/>
  <c r="G572" i="5"/>
  <c r="F572" i="5"/>
  <c r="E572" i="5"/>
  <c r="D572" i="5"/>
  <c r="C572" i="5"/>
  <c r="B572" i="5"/>
  <c r="G571" i="5"/>
  <c r="F571" i="5"/>
  <c r="E571" i="5"/>
  <c r="D571" i="5"/>
  <c r="C571" i="5"/>
  <c r="B571" i="5"/>
  <c r="G570" i="5"/>
  <c r="F570" i="5"/>
  <c r="E570" i="5"/>
  <c r="D570" i="5"/>
  <c r="C570" i="5"/>
  <c r="B570" i="5"/>
  <c r="G569" i="5"/>
  <c r="F569" i="5"/>
  <c r="E569" i="5"/>
  <c r="D569" i="5"/>
  <c r="C569" i="5"/>
  <c r="B569" i="5"/>
  <c r="G568" i="5"/>
  <c r="F568" i="5"/>
  <c r="E568" i="5"/>
  <c r="D568" i="5"/>
  <c r="C568" i="5"/>
  <c r="B568" i="5"/>
  <c r="G567" i="5"/>
  <c r="F567" i="5"/>
  <c r="E567" i="5"/>
  <c r="D567" i="5"/>
  <c r="C567" i="5"/>
  <c r="B567" i="5"/>
  <c r="G566" i="5"/>
  <c r="F566" i="5"/>
  <c r="E566" i="5"/>
  <c r="D566" i="5"/>
  <c r="C566" i="5"/>
  <c r="B566" i="5"/>
  <c r="G565" i="5"/>
  <c r="F565" i="5"/>
  <c r="E565" i="5"/>
  <c r="D565" i="5"/>
  <c r="C565" i="5"/>
  <c r="B565" i="5"/>
  <c r="G564" i="5"/>
  <c r="F564" i="5"/>
  <c r="E564" i="5"/>
  <c r="D564" i="5"/>
  <c r="C564" i="5"/>
  <c r="B564" i="5"/>
  <c r="G563" i="5"/>
  <c r="F563" i="5"/>
  <c r="E563" i="5"/>
  <c r="D563" i="5"/>
  <c r="C563" i="5"/>
  <c r="B563" i="5"/>
  <c r="G562" i="5"/>
  <c r="F562" i="5"/>
  <c r="E562" i="5"/>
  <c r="D562" i="5"/>
  <c r="C562" i="5"/>
  <c r="B562" i="5"/>
  <c r="G561" i="5"/>
  <c r="F561" i="5"/>
  <c r="E561" i="5"/>
  <c r="D561" i="5"/>
  <c r="C561" i="5"/>
  <c r="B561" i="5"/>
  <c r="G560" i="5"/>
  <c r="F560" i="5"/>
  <c r="E560" i="5"/>
  <c r="D560" i="5"/>
  <c r="C560" i="5"/>
  <c r="B560" i="5"/>
  <c r="G559" i="5"/>
  <c r="F559" i="5"/>
  <c r="E559" i="5"/>
  <c r="D559" i="5"/>
  <c r="C559" i="5"/>
  <c r="B559" i="5"/>
  <c r="G558" i="5"/>
  <c r="F558" i="5"/>
  <c r="E558" i="5"/>
  <c r="D558" i="5"/>
  <c r="C558" i="5"/>
  <c r="B558" i="5"/>
  <c r="G557" i="5"/>
  <c r="F557" i="5"/>
  <c r="E557" i="5"/>
  <c r="D557" i="5"/>
  <c r="C557" i="5"/>
  <c r="B557" i="5"/>
  <c r="G556" i="5"/>
  <c r="F556" i="5"/>
  <c r="E556" i="5"/>
  <c r="D556" i="5"/>
  <c r="C556" i="5"/>
  <c r="B556" i="5"/>
  <c r="G555" i="5"/>
  <c r="F555" i="5"/>
  <c r="E555" i="5"/>
  <c r="D555" i="5"/>
  <c r="C555" i="5"/>
  <c r="B555" i="5"/>
  <c r="G554" i="5"/>
  <c r="F554" i="5"/>
  <c r="E554" i="5"/>
  <c r="D554" i="5"/>
  <c r="C554" i="5"/>
  <c r="B554" i="5"/>
  <c r="G553" i="5"/>
  <c r="F553" i="5"/>
  <c r="E553" i="5"/>
  <c r="D553" i="5"/>
  <c r="C553" i="5"/>
  <c r="B553" i="5"/>
  <c r="G552" i="5"/>
  <c r="F552" i="5"/>
  <c r="E552" i="5"/>
  <c r="D552" i="5"/>
  <c r="C552" i="5"/>
  <c r="B552" i="5"/>
  <c r="G551" i="5"/>
  <c r="F551" i="5"/>
  <c r="E551" i="5"/>
  <c r="D551" i="5"/>
  <c r="C551" i="5"/>
  <c r="B551" i="5"/>
  <c r="G550" i="5"/>
  <c r="F550" i="5"/>
  <c r="E550" i="5"/>
  <c r="D550" i="5"/>
  <c r="C550" i="5"/>
  <c r="B550" i="5"/>
  <c r="G549" i="5"/>
  <c r="F549" i="5"/>
  <c r="E549" i="5"/>
  <c r="D549" i="5"/>
  <c r="C549" i="5"/>
  <c r="B549" i="5"/>
  <c r="G548" i="5"/>
  <c r="F548" i="5"/>
  <c r="E548" i="5"/>
  <c r="D548" i="5"/>
  <c r="C548" i="5"/>
  <c r="B548" i="5"/>
  <c r="G547" i="5"/>
  <c r="F547" i="5"/>
  <c r="E547" i="5"/>
  <c r="D547" i="5"/>
  <c r="C547" i="5"/>
  <c r="B547" i="5"/>
  <c r="G546" i="5"/>
  <c r="F546" i="5"/>
  <c r="E546" i="5"/>
  <c r="D546" i="5"/>
  <c r="C546" i="5"/>
  <c r="B546" i="5"/>
  <c r="G545" i="5"/>
  <c r="F545" i="5"/>
  <c r="E545" i="5"/>
  <c r="D545" i="5"/>
  <c r="C545" i="5"/>
  <c r="B545" i="5"/>
  <c r="G544" i="5"/>
  <c r="F544" i="5"/>
  <c r="E544" i="5"/>
  <c r="D544" i="5"/>
  <c r="C544" i="5"/>
  <c r="B544" i="5"/>
  <c r="G543" i="5"/>
  <c r="F543" i="5"/>
  <c r="E543" i="5"/>
  <c r="D543" i="5"/>
  <c r="C543" i="5"/>
  <c r="B543" i="5"/>
  <c r="G542" i="5"/>
  <c r="F542" i="5"/>
  <c r="E542" i="5"/>
  <c r="D542" i="5"/>
  <c r="C542" i="5"/>
  <c r="B542" i="5"/>
  <c r="G541" i="5"/>
  <c r="F541" i="5"/>
  <c r="E541" i="5"/>
  <c r="D541" i="5"/>
  <c r="C541" i="5"/>
  <c r="B541" i="5"/>
  <c r="G540" i="5"/>
  <c r="F540" i="5"/>
  <c r="E540" i="5"/>
  <c r="D540" i="5"/>
  <c r="C540" i="5"/>
  <c r="B540" i="5"/>
  <c r="G539" i="5"/>
  <c r="F539" i="5"/>
  <c r="E539" i="5"/>
  <c r="D539" i="5"/>
  <c r="C539" i="5"/>
  <c r="B539" i="5"/>
  <c r="G538" i="5"/>
  <c r="F538" i="5"/>
  <c r="E538" i="5"/>
  <c r="D538" i="5"/>
  <c r="C538" i="5"/>
  <c r="B538" i="5"/>
  <c r="G537" i="5"/>
  <c r="F537" i="5"/>
  <c r="E537" i="5"/>
  <c r="D537" i="5"/>
  <c r="C537" i="5"/>
  <c r="B537" i="5"/>
  <c r="G536" i="5"/>
  <c r="F536" i="5"/>
  <c r="E536" i="5"/>
  <c r="D536" i="5"/>
  <c r="C536" i="5"/>
  <c r="B536" i="5"/>
  <c r="G535" i="5"/>
  <c r="F535" i="5"/>
  <c r="E535" i="5"/>
  <c r="D535" i="5"/>
  <c r="C535" i="5"/>
  <c r="B535" i="5"/>
  <c r="G534" i="5"/>
  <c r="F534" i="5"/>
  <c r="E534" i="5"/>
  <c r="D534" i="5"/>
  <c r="C534" i="5"/>
  <c r="B534" i="5"/>
  <c r="G533" i="5"/>
  <c r="F533" i="5"/>
  <c r="E533" i="5"/>
  <c r="D533" i="5"/>
  <c r="C533" i="5"/>
  <c r="B533" i="5"/>
  <c r="G532" i="5"/>
  <c r="F532" i="5"/>
  <c r="E532" i="5"/>
  <c r="D532" i="5"/>
  <c r="C532" i="5"/>
  <c r="B532" i="5"/>
  <c r="G531" i="5"/>
  <c r="F531" i="5"/>
  <c r="E531" i="5"/>
  <c r="D531" i="5"/>
  <c r="C531" i="5"/>
  <c r="B531" i="5"/>
  <c r="G530" i="5"/>
  <c r="F530" i="5"/>
  <c r="E530" i="5"/>
  <c r="D530" i="5"/>
  <c r="C530" i="5"/>
  <c r="B530" i="5"/>
  <c r="G529" i="5"/>
  <c r="F529" i="5"/>
  <c r="E529" i="5"/>
  <c r="D529" i="5"/>
  <c r="C529" i="5"/>
  <c r="B529" i="5"/>
  <c r="G528" i="5"/>
  <c r="F528" i="5"/>
  <c r="E528" i="5"/>
  <c r="D528" i="5"/>
  <c r="C528" i="5"/>
  <c r="B528" i="5"/>
  <c r="G527" i="5"/>
  <c r="F527" i="5"/>
  <c r="E527" i="5"/>
  <c r="D527" i="5"/>
  <c r="C527" i="5"/>
  <c r="B527" i="5"/>
  <c r="G526" i="5"/>
  <c r="F526" i="5"/>
  <c r="E526" i="5"/>
  <c r="D526" i="5"/>
  <c r="C526" i="5"/>
  <c r="B526" i="5"/>
  <c r="G525" i="5"/>
  <c r="F525" i="5"/>
  <c r="E525" i="5"/>
  <c r="D525" i="5"/>
  <c r="C525" i="5"/>
  <c r="B525" i="5"/>
  <c r="G524" i="5"/>
  <c r="F524" i="5"/>
  <c r="E524" i="5"/>
  <c r="D524" i="5"/>
  <c r="C524" i="5"/>
  <c r="B524" i="5"/>
  <c r="G523" i="5"/>
  <c r="F523" i="5"/>
  <c r="E523" i="5"/>
  <c r="D523" i="5"/>
  <c r="C523" i="5"/>
  <c r="B523" i="5"/>
  <c r="G522" i="5"/>
  <c r="F522" i="5"/>
  <c r="E522" i="5"/>
  <c r="D522" i="5"/>
  <c r="C522" i="5"/>
  <c r="B522" i="5"/>
  <c r="G521" i="5"/>
  <c r="F521" i="5"/>
  <c r="E521" i="5"/>
  <c r="D521" i="5"/>
  <c r="C521" i="5"/>
  <c r="B521" i="5"/>
  <c r="G520" i="5"/>
  <c r="F520" i="5"/>
  <c r="E520" i="5"/>
  <c r="D520" i="5"/>
  <c r="C520" i="5"/>
  <c r="B520" i="5"/>
  <c r="G519" i="5"/>
  <c r="F519" i="5"/>
  <c r="E519" i="5"/>
  <c r="D519" i="5"/>
  <c r="C519" i="5"/>
  <c r="B519" i="5"/>
  <c r="G518" i="5"/>
  <c r="F518" i="5"/>
  <c r="E518" i="5"/>
  <c r="D518" i="5"/>
  <c r="C518" i="5"/>
  <c r="B518" i="5"/>
  <c r="G517" i="5"/>
  <c r="F517" i="5"/>
  <c r="E517" i="5"/>
  <c r="D517" i="5"/>
  <c r="C517" i="5"/>
  <c r="B517" i="5"/>
  <c r="G516" i="5"/>
  <c r="F516" i="5"/>
  <c r="E516" i="5"/>
  <c r="D516" i="5"/>
  <c r="C516" i="5"/>
  <c r="B516" i="5"/>
  <c r="G515" i="5"/>
  <c r="F515" i="5"/>
  <c r="E515" i="5"/>
  <c r="D515" i="5"/>
  <c r="C515" i="5"/>
  <c r="B515" i="5"/>
  <c r="G514" i="5"/>
  <c r="F514" i="5"/>
  <c r="E514" i="5"/>
  <c r="D514" i="5"/>
  <c r="C514" i="5"/>
  <c r="B514" i="5"/>
  <c r="G513" i="5"/>
  <c r="F513" i="5"/>
  <c r="E513" i="5"/>
  <c r="D513" i="5"/>
  <c r="C513" i="5"/>
  <c r="B513" i="5"/>
  <c r="G512" i="5"/>
  <c r="F512" i="5"/>
  <c r="E512" i="5"/>
  <c r="D512" i="5"/>
  <c r="C512" i="5"/>
  <c r="B512" i="5"/>
  <c r="G511" i="5"/>
  <c r="F511" i="5"/>
  <c r="E511" i="5"/>
  <c r="D511" i="5"/>
  <c r="C511" i="5"/>
  <c r="B511" i="5"/>
  <c r="G510" i="5"/>
  <c r="F510" i="5"/>
  <c r="E510" i="5"/>
  <c r="D510" i="5"/>
  <c r="C510" i="5"/>
  <c r="B510" i="5"/>
  <c r="G509" i="5"/>
  <c r="F509" i="5"/>
  <c r="E509" i="5"/>
  <c r="D509" i="5"/>
  <c r="C509" i="5"/>
  <c r="B509" i="5"/>
  <c r="G508" i="5"/>
  <c r="F508" i="5"/>
  <c r="E508" i="5"/>
  <c r="D508" i="5"/>
  <c r="C508" i="5"/>
  <c r="B508" i="5"/>
  <c r="G507" i="5"/>
  <c r="F507" i="5"/>
  <c r="E507" i="5"/>
  <c r="D507" i="5"/>
  <c r="C507" i="5"/>
  <c r="B507" i="5"/>
  <c r="G506" i="5"/>
  <c r="F506" i="5"/>
  <c r="E506" i="5"/>
  <c r="D506" i="5"/>
  <c r="C506" i="5"/>
  <c r="B506" i="5"/>
  <c r="G505" i="5"/>
  <c r="F505" i="5"/>
  <c r="E505" i="5"/>
  <c r="D505" i="5"/>
  <c r="C505" i="5"/>
  <c r="B505" i="5"/>
  <c r="G504" i="5"/>
  <c r="F504" i="5"/>
  <c r="E504" i="5"/>
  <c r="D504" i="5"/>
  <c r="C504" i="5"/>
  <c r="B504" i="5"/>
  <c r="G503" i="5"/>
  <c r="F503" i="5"/>
  <c r="E503" i="5"/>
  <c r="D503" i="5"/>
  <c r="C503" i="5"/>
  <c r="B503" i="5"/>
  <c r="G502" i="5"/>
  <c r="F502" i="5"/>
  <c r="E502" i="5"/>
  <c r="D502" i="5"/>
  <c r="C502" i="5"/>
  <c r="B502" i="5"/>
  <c r="G501" i="5"/>
  <c r="F501" i="5"/>
  <c r="E501" i="5"/>
  <c r="D501" i="5"/>
  <c r="C501" i="5"/>
  <c r="B501" i="5"/>
  <c r="G500" i="5"/>
  <c r="F500" i="5"/>
  <c r="E500" i="5"/>
  <c r="D500" i="5"/>
  <c r="C500" i="5"/>
  <c r="B500" i="5"/>
  <c r="G499" i="5"/>
  <c r="F499" i="5"/>
  <c r="E499" i="5"/>
  <c r="D499" i="5"/>
  <c r="C499" i="5"/>
  <c r="B499" i="5"/>
  <c r="G498" i="5"/>
  <c r="F498" i="5"/>
  <c r="E498" i="5"/>
  <c r="D498" i="5"/>
  <c r="C498" i="5"/>
  <c r="B498" i="5"/>
  <c r="G497" i="5"/>
  <c r="F497" i="5"/>
  <c r="E497" i="5"/>
  <c r="D497" i="5"/>
  <c r="C497" i="5"/>
  <c r="B497" i="5"/>
  <c r="G496" i="5"/>
  <c r="F496" i="5"/>
  <c r="E496" i="5"/>
  <c r="D496" i="5"/>
  <c r="C496" i="5"/>
  <c r="B496" i="5"/>
  <c r="G495" i="5"/>
  <c r="F495" i="5"/>
  <c r="E495" i="5"/>
  <c r="D495" i="5"/>
  <c r="C495" i="5"/>
  <c r="B495" i="5"/>
  <c r="G494" i="5"/>
  <c r="F494" i="5"/>
  <c r="E494" i="5"/>
  <c r="D494" i="5"/>
  <c r="C494" i="5"/>
  <c r="B494" i="5"/>
  <c r="G493" i="5"/>
  <c r="F493" i="5"/>
  <c r="E493" i="5"/>
  <c r="D493" i="5"/>
  <c r="C493" i="5"/>
  <c r="B493" i="5"/>
  <c r="G492" i="5"/>
  <c r="F492" i="5"/>
  <c r="E492" i="5"/>
  <c r="D492" i="5"/>
  <c r="C492" i="5"/>
  <c r="B492" i="5"/>
  <c r="G491" i="5"/>
  <c r="F491" i="5"/>
  <c r="E491" i="5"/>
  <c r="D491" i="5"/>
  <c r="C491" i="5"/>
  <c r="B491" i="5"/>
  <c r="G490" i="5"/>
  <c r="F490" i="5"/>
  <c r="E490" i="5"/>
  <c r="D490" i="5"/>
  <c r="C490" i="5"/>
  <c r="B490" i="5"/>
  <c r="G489" i="5"/>
  <c r="F489" i="5"/>
  <c r="E489" i="5"/>
  <c r="D489" i="5"/>
  <c r="C489" i="5"/>
  <c r="B489" i="5"/>
  <c r="G488" i="5"/>
  <c r="F488" i="5"/>
  <c r="E488" i="5"/>
  <c r="D488" i="5"/>
  <c r="C488" i="5"/>
  <c r="B488" i="5"/>
  <c r="G487" i="5"/>
  <c r="F487" i="5"/>
  <c r="E487" i="5"/>
  <c r="D487" i="5"/>
  <c r="C487" i="5"/>
  <c r="B487" i="5"/>
  <c r="G486" i="5"/>
  <c r="F486" i="5"/>
  <c r="E486" i="5"/>
  <c r="D486" i="5"/>
  <c r="C486" i="5"/>
  <c r="B486" i="5"/>
  <c r="G485" i="5"/>
  <c r="F485" i="5"/>
  <c r="E485" i="5"/>
  <c r="D485" i="5"/>
  <c r="C485" i="5"/>
  <c r="B485" i="5"/>
  <c r="G484" i="5"/>
  <c r="F484" i="5"/>
  <c r="E484" i="5"/>
  <c r="D484" i="5"/>
  <c r="C484" i="5"/>
  <c r="B484" i="5"/>
  <c r="G483" i="5"/>
  <c r="F483" i="5"/>
  <c r="E483" i="5"/>
  <c r="D483" i="5"/>
  <c r="C483" i="5"/>
  <c r="B483" i="5"/>
  <c r="G482" i="5"/>
  <c r="F482" i="5"/>
  <c r="E482" i="5"/>
  <c r="D482" i="5"/>
  <c r="C482" i="5"/>
  <c r="B482" i="5"/>
  <c r="G481" i="5"/>
  <c r="F481" i="5"/>
  <c r="E481" i="5"/>
  <c r="D481" i="5"/>
  <c r="C481" i="5"/>
  <c r="B481" i="5"/>
  <c r="G480" i="5"/>
  <c r="F480" i="5"/>
  <c r="E480" i="5"/>
  <c r="D480" i="5"/>
  <c r="C480" i="5"/>
  <c r="B480" i="5"/>
  <c r="G479" i="5"/>
  <c r="F479" i="5"/>
  <c r="E479" i="5"/>
  <c r="D479" i="5"/>
  <c r="C479" i="5"/>
  <c r="B479" i="5"/>
  <c r="G478" i="5"/>
  <c r="F478" i="5"/>
  <c r="E478" i="5"/>
  <c r="D478" i="5"/>
  <c r="C478" i="5"/>
  <c r="B478" i="5"/>
  <c r="G477" i="5"/>
  <c r="F477" i="5"/>
  <c r="E477" i="5"/>
  <c r="D477" i="5"/>
  <c r="C477" i="5"/>
  <c r="B477" i="5"/>
  <c r="G476" i="5"/>
  <c r="F476" i="5"/>
  <c r="E476" i="5"/>
  <c r="D476" i="5"/>
  <c r="C476" i="5"/>
  <c r="B476" i="5"/>
  <c r="G475" i="5"/>
  <c r="F475" i="5"/>
  <c r="E475" i="5"/>
  <c r="D475" i="5"/>
  <c r="C475" i="5"/>
  <c r="B475" i="5"/>
  <c r="G474" i="5"/>
  <c r="F474" i="5"/>
  <c r="E474" i="5"/>
  <c r="D474" i="5"/>
  <c r="C474" i="5"/>
  <c r="B474" i="5"/>
  <c r="G473" i="5"/>
  <c r="F473" i="5"/>
  <c r="E473" i="5"/>
  <c r="D473" i="5"/>
  <c r="C473" i="5"/>
  <c r="B473" i="5"/>
  <c r="G472" i="5"/>
  <c r="F472" i="5"/>
  <c r="E472" i="5"/>
  <c r="D472" i="5"/>
  <c r="C472" i="5"/>
  <c r="B472" i="5"/>
  <c r="G471" i="5"/>
  <c r="F471" i="5"/>
  <c r="E471" i="5"/>
  <c r="D471" i="5"/>
  <c r="C471" i="5"/>
  <c r="B471" i="5"/>
  <c r="G470" i="5"/>
  <c r="F470" i="5"/>
  <c r="E470" i="5"/>
  <c r="D470" i="5"/>
  <c r="C470" i="5"/>
  <c r="B470" i="5"/>
  <c r="G469" i="5"/>
  <c r="F469" i="5"/>
  <c r="E469" i="5"/>
  <c r="D469" i="5"/>
  <c r="C469" i="5"/>
  <c r="B469" i="5"/>
  <c r="G468" i="5"/>
  <c r="F468" i="5"/>
  <c r="E468" i="5"/>
  <c r="D468" i="5"/>
  <c r="C468" i="5"/>
  <c r="B468" i="5"/>
  <c r="G467" i="5"/>
  <c r="F467" i="5"/>
  <c r="E467" i="5"/>
  <c r="D467" i="5"/>
  <c r="C467" i="5"/>
  <c r="B467" i="5"/>
  <c r="G466" i="5"/>
  <c r="F466" i="5"/>
  <c r="E466" i="5"/>
  <c r="D466" i="5"/>
  <c r="C466" i="5"/>
  <c r="B466" i="5"/>
  <c r="G465" i="5"/>
  <c r="F465" i="5"/>
  <c r="E465" i="5"/>
  <c r="D465" i="5"/>
  <c r="C465" i="5"/>
  <c r="B465" i="5"/>
  <c r="G464" i="5"/>
  <c r="F464" i="5"/>
  <c r="E464" i="5"/>
  <c r="D464" i="5"/>
  <c r="C464" i="5"/>
  <c r="B464" i="5"/>
  <c r="G463" i="5"/>
  <c r="F463" i="5"/>
  <c r="E463" i="5"/>
  <c r="D463" i="5"/>
  <c r="C463" i="5"/>
  <c r="B463" i="5"/>
  <c r="G462" i="5"/>
  <c r="F462" i="5"/>
  <c r="E462" i="5"/>
  <c r="D462" i="5"/>
  <c r="C462" i="5"/>
  <c r="B462" i="5"/>
  <c r="G461" i="5"/>
  <c r="F461" i="5"/>
  <c r="E461" i="5"/>
  <c r="D461" i="5"/>
  <c r="C461" i="5"/>
  <c r="B461" i="5"/>
  <c r="G460" i="5"/>
  <c r="F460" i="5"/>
  <c r="E460" i="5"/>
  <c r="D460" i="5"/>
  <c r="C460" i="5"/>
  <c r="B460" i="5"/>
  <c r="G459" i="5"/>
  <c r="F459" i="5"/>
  <c r="E459" i="5"/>
  <c r="D459" i="5"/>
  <c r="C459" i="5"/>
  <c r="B459" i="5"/>
  <c r="G458" i="5"/>
  <c r="F458" i="5"/>
  <c r="E458" i="5"/>
  <c r="D458" i="5"/>
  <c r="C458" i="5"/>
  <c r="B458" i="5"/>
  <c r="G457" i="5"/>
  <c r="F457" i="5"/>
  <c r="E457" i="5"/>
  <c r="D457" i="5"/>
  <c r="C457" i="5"/>
  <c r="B457" i="5"/>
  <c r="G456" i="5"/>
  <c r="F456" i="5"/>
  <c r="E456" i="5"/>
  <c r="D456" i="5"/>
  <c r="C456" i="5"/>
  <c r="B456" i="5"/>
  <c r="G455" i="5"/>
  <c r="F455" i="5"/>
  <c r="E455" i="5"/>
  <c r="D455" i="5"/>
  <c r="C455" i="5"/>
  <c r="B455" i="5"/>
  <c r="G454" i="5"/>
  <c r="F454" i="5"/>
  <c r="E454" i="5"/>
  <c r="D454" i="5"/>
  <c r="C454" i="5"/>
  <c r="B454" i="5"/>
  <c r="G453" i="5"/>
  <c r="F453" i="5"/>
  <c r="E453" i="5"/>
  <c r="D453" i="5"/>
  <c r="C453" i="5"/>
  <c r="B453" i="5"/>
  <c r="G452" i="5"/>
  <c r="F452" i="5"/>
  <c r="E452" i="5"/>
  <c r="D452" i="5"/>
  <c r="C452" i="5"/>
  <c r="B452" i="5"/>
  <c r="G451" i="5"/>
  <c r="F451" i="5"/>
  <c r="E451" i="5"/>
  <c r="D451" i="5"/>
  <c r="C451" i="5"/>
  <c r="B451" i="5"/>
  <c r="G450" i="5"/>
  <c r="F450" i="5"/>
  <c r="E450" i="5"/>
  <c r="D450" i="5"/>
  <c r="C450" i="5"/>
  <c r="B450" i="5"/>
  <c r="G449" i="5"/>
  <c r="F449" i="5"/>
  <c r="E449" i="5"/>
  <c r="D449" i="5"/>
  <c r="C449" i="5"/>
  <c r="B449" i="5"/>
  <c r="G448" i="5"/>
  <c r="F448" i="5"/>
  <c r="E448" i="5"/>
  <c r="D448" i="5"/>
  <c r="C448" i="5"/>
  <c r="B448" i="5"/>
  <c r="G447" i="5"/>
  <c r="F447" i="5"/>
  <c r="E447" i="5"/>
  <c r="D447" i="5"/>
  <c r="C447" i="5"/>
  <c r="B447" i="5"/>
  <c r="G446" i="5"/>
  <c r="F446" i="5"/>
  <c r="E446" i="5"/>
  <c r="D446" i="5"/>
  <c r="C446" i="5"/>
  <c r="B446" i="5"/>
  <c r="G445" i="5"/>
  <c r="F445" i="5"/>
  <c r="E445" i="5"/>
  <c r="D445" i="5"/>
  <c r="C445" i="5"/>
  <c r="B445" i="5"/>
  <c r="G444" i="5"/>
  <c r="F444" i="5"/>
  <c r="E444" i="5"/>
  <c r="D444" i="5"/>
  <c r="C444" i="5"/>
  <c r="B444" i="5"/>
  <c r="G443" i="5"/>
  <c r="F443" i="5"/>
  <c r="E443" i="5"/>
  <c r="D443" i="5"/>
  <c r="C443" i="5"/>
  <c r="B443" i="5"/>
  <c r="G442" i="5"/>
  <c r="F442" i="5"/>
  <c r="E442" i="5"/>
  <c r="D442" i="5"/>
  <c r="C442" i="5"/>
  <c r="B442" i="5"/>
  <c r="G441" i="5"/>
  <c r="F441" i="5"/>
  <c r="E441" i="5"/>
  <c r="D441" i="5"/>
  <c r="C441" i="5"/>
  <c r="B441" i="5"/>
  <c r="G440" i="5"/>
  <c r="F440" i="5"/>
  <c r="E440" i="5"/>
  <c r="D440" i="5"/>
  <c r="C440" i="5"/>
  <c r="B440" i="5"/>
  <c r="G439" i="5"/>
  <c r="F439" i="5"/>
  <c r="E439" i="5"/>
  <c r="D439" i="5"/>
  <c r="C439" i="5"/>
  <c r="B439" i="5"/>
  <c r="G438" i="5"/>
  <c r="F438" i="5"/>
  <c r="E438" i="5"/>
  <c r="D438" i="5"/>
  <c r="C438" i="5"/>
  <c r="B438" i="5"/>
  <c r="G437" i="5"/>
  <c r="F437" i="5"/>
  <c r="E437" i="5"/>
  <c r="D437" i="5"/>
  <c r="C437" i="5"/>
  <c r="B437" i="5"/>
  <c r="G436" i="5"/>
  <c r="F436" i="5"/>
  <c r="E436" i="5"/>
  <c r="D436" i="5"/>
  <c r="C436" i="5"/>
  <c r="B436" i="5"/>
  <c r="G435" i="5"/>
  <c r="F435" i="5"/>
  <c r="E435" i="5"/>
  <c r="D435" i="5"/>
  <c r="C435" i="5"/>
  <c r="B435" i="5"/>
  <c r="G434" i="5"/>
  <c r="F434" i="5"/>
  <c r="E434" i="5"/>
  <c r="D434" i="5"/>
  <c r="C434" i="5"/>
  <c r="B434" i="5"/>
  <c r="G433" i="5"/>
  <c r="F433" i="5"/>
  <c r="E433" i="5"/>
  <c r="D433" i="5"/>
  <c r="C433" i="5"/>
  <c r="B433" i="5"/>
  <c r="G432" i="5"/>
  <c r="F432" i="5"/>
  <c r="E432" i="5"/>
  <c r="D432" i="5"/>
  <c r="C432" i="5"/>
  <c r="B432" i="5"/>
  <c r="G431" i="5"/>
  <c r="F431" i="5"/>
  <c r="E431" i="5"/>
  <c r="D431" i="5"/>
  <c r="C431" i="5"/>
  <c r="B431" i="5"/>
  <c r="G430" i="5"/>
  <c r="F430" i="5"/>
  <c r="E430" i="5"/>
  <c r="D430" i="5"/>
  <c r="C430" i="5"/>
  <c r="B430" i="5"/>
  <c r="G429" i="5"/>
  <c r="F429" i="5"/>
  <c r="E429" i="5"/>
  <c r="D429" i="5"/>
  <c r="C429" i="5"/>
  <c r="B429" i="5"/>
  <c r="G428" i="5"/>
  <c r="F428" i="5"/>
  <c r="E428" i="5"/>
  <c r="D428" i="5"/>
  <c r="C428" i="5"/>
  <c r="B428" i="5"/>
  <c r="G427" i="5"/>
  <c r="F427" i="5"/>
  <c r="E427" i="5"/>
  <c r="D427" i="5"/>
  <c r="C427" i="5"/>
  <c r="B427" i="5"/>
  <c r="G426" i="5"/>
  <c r="F426" i="5"/>
  <c r="E426" i="5"/>
  <c r="D426" i="5"/>
  <c r="C426" i="5"/>
  <c r="B426" i="5"/>
  <c r="G425" i="5"/>
  <c r="F425" i="5"/>
  <c r="E425" i="5"/>
  <c r="D425" i="5"/>
  <c r="C425" i="5"/>
  <c r="B425" i="5"/>
  <c r="G424" i="5"/>
  <c r="F424" i="5"/>
  <c r="E424" i="5"/>
  <c r="D424" i="5"/>
  <c r="C424" i="5"/>
  <c r="B424" i="5"/>
  <c r="G423" i="5"/>
  <c r="F423" i="5"/>
  <c r="E423" i="5"/>
  <c r="D423" i="5"/>
  <c r="C423" i="5"/>
  <c r="B423" i="5"/>
  <c r="G422" i="5"/>
  <c r="F422" i="5"/>
  <c r="E422" i="5"/>
  <c r="D422" i="5"/>
  <c r="C422" i="5"/>
  <c r="B422" i="5"/>
  <c r="G421" i="5"/>
  <c r="F421" i="5"/>
  <c r="E421" i="5"/>
  <c r="D421" i="5"/>
  <c r="C421" i="5"/>
  <c r="B421" i="5"/>
  <c r="G420" i="5"/>
  <c r="F420" i="5"/>
  <c r="E420" i="5"/>
  <c r="D420" i="5"/>
  <c r="C420" i="5"/>
  <c r="B420" i="5"/>
  <c r="G419" i="5"/>
  <c r="F419" i="5"/>
  <c r="E419" i="5"/>
  <c r="D419" i="5"/>
  <c r="C419" i="5"/>
  <c r="B419" i="5"/>
  <c r="G418" i="5"/>
  <c r="F418" i="5"/>
  <c r="E418" i="5"/>
  <c r="D418" i="5"/>
  <c r="C418" i="5"/>
  <c r="B418" i="5"/>
  <c r="G417" i="5"/>
  <c r="F417" i="5"/>
  <c r="E417" i="5"/>
  <c r="D417" i="5"/>
  <c r="C417" i="5"/>
  <c r="B417" i="5"/>
  <c r="G416" i="5"/>
  <c r="F416" i="5"/>
  <c r="E416" i="5"/>
  <c r="D416" i="5"/>
  <c r="C416" i="5"/>
  <c r="B416" i="5"/>
  <c r="G415" i="5"/>
  <c r="F415" i="5"/>
  <c r="E415" i="5"/>
  <c r="D415" i="5"/>
  <c r="C415" i="5"/>
  <c r="B415" i="5"/>
  <c r="G414" i="5"/>
  <c r="F414" i="5"/>
  <c r="E414" i="5"/>
  <c r="D414" i="5"/>
  <c r="C414" i="5"/>
  <c r="B414" i="5"/>
  <c r="G413" i="5"/>
  <c r="F413" i="5"/>
  <c r="E413" i="5"/>
  <c r="D413" i="5"/>
  <c r="C413" i="5"/>
  <c r="B413" i="5"/>
  <c r="G412" i="5"/>
  <c r="F412" i="5"/>
  <c r="E412" i="5"/>
  <c r="D412" i="5"/>
  <c r="C412" i="5"/>
  <c r="B412" i="5"/>
  <c r="G411" i="5"/>
  <c r="F411" i="5"/>
  <c r="E411" i="5"/>
  <c r="D411" i="5"/>
  <c r="C411" i="5"/>
  <c r="B411" i="5"/>
  <c r="G410" i="5"/>
  <c r="F410" i="5"/>
  <c r="E410" i="5"/>
  <c r="D410" i="5"/>
  <c r="C410" i="5"/>
  <c r="B410" i="5"/>
  <c r="G409" i="5"/>
  <c r="F409" i="5"/>
  <c r="E409" i="5"/>
  <c r="D409" i="5"/>
  <c r="C409" i="5"/>
  <c r="B409" i="5"/>
  <c r="G408" i="5"/>
  <c r="F408" i="5"/>
  <c r="E408" i="5"/>
  <c r="D408" i="5"/>
  <c r="C408" i="5"/>
  <c r="B408" i="5"/>
  <c r="G407" i="5"/>
  <c r="F407" i="5"/>
  <c r="E407" i="5"/>
  <c r="D407" i="5"/>
  <c r="C407" i="5"/>
  <c r="B407" i="5"/>
  <c r="G406" i="5"/>
  <c r="F406" i="5"/>
  <c r="E406" i="5"/>
  <c r="D406" i="5"/>
  <c r="C406" i="5"/>
  <c r="B406" i="5"/>
  <c r="G405" i="5"/>
  <c r="F405" i="5"/>
  <c r="E405" i="5"/>
  <c r="D405" i="5"/>
  <c r="C405" i="5"/>
  <c r="B405" i="5"/>
  <c r="G404" i="5"/>
  <c r="F404" i="5"/>
  <c r="E404" i="5"/>
  <c r="D404" i="5"/>
  <c r="C404" i="5"/>
  <c r="B404" i="5"/>
  <c r="G403" i="5"/>
  <c r="F403" i="5"/>
  <c r="E403" i="5"/>
  <c r="D403" i="5"/>
  <c r="C403" i="5"/>
  <c r="B403" i="5"/>
  <c r="G402" i="5"/>
  <c r="F402" i="5"/>
  <c r="E402" i="5"/>
  <c r="D402" i="5"/>
  <c r="C402" i="5"/>
  <c r="B402" i="5"/>
  <c r="G401" i="5"/>
  <c r="F401" i="5"/>
  <c r="E401" i="5"/>
  <c r="D401" i="5"/>
  <c r="C401" i="5"/>
  <c r="B401" i="5"/>
  <c r="G400" i="5"/>
  <c r="F400" i="5"/>
  <c r="E400" i="5"/>
  <c r="D400" i="5"/>
  <c r="C400" i="5"/>
  <c r="B400" i="5"/>
  <c r="G399" i="5"/>
  <c r="F399" i="5"/>
  <c r="E399" i="5"/>
  <c r="D399" i="5"/>
  <c r="C399" i="5"/>
  <c r="B399" i="5"/>
  <c r="G398" i="5"/>
  <c r="F398" i="5"/>
  <c r="E398" i="5"/>
  <c r="D398" i="5"/>
  <c r="C398" i="5"/>
  <c r="B398" i="5"/>
  <c r="G397" i="5"/>
  <c r="F397" i="5"/>
  <c r="E397" i="5"/>
  <c r="D397" i="5"/>
  <c r="C397" i="5"/>
  <c r="B397" i="5"/>
  <c r="G396" i="5"/>
  <c r="F396" i="5"/>
  <c r="E396" i="5"/>
  <c r="D396" i="5"/>
  <c r="C396" i="5"/>
  <c r="B396" i="5"/>
  <c r="G395" i="5"/>
  <c r="F395" i="5"/>
  <c r="E395" i="5"/>
  <c r="D395" i="5"/>
  <c r="C395" i="5"/>
  <c r="B395" i="5"/>
  <c r="G394" i="5"/>
  <c r="F394" i="5"/>
  <c r="E394" i="5"/>
  <c r="D394" i="5"/>
  <c r="C394" i="5"/>
  <c r="B394" i="5"/>
  <c r="G393" i="5"/>
  <c r="F393" i="5"/>
  <c r="E393" i="5"/>
  <c r="D393" i="5"/>
  <c r="C393" i="5"/>
  <c r="B393" i="5"/>
  <c r="G392" i="5"/>
  <c r="F392" i="5"/>
  <c r="E392" i="5"/>
  <c r="D392" i="5"/>
  <c r="C392" i="5"/>
  <c r="B392" i="5"/>
  <c r="G391" i="5"/>
  <c r="F391" i="5"/>
  <c r="E391" i="5"/>
  <c r="D391" i="5"/>
  <c r="C391" i="5"/>
  <c r="B391" i="5"/>
  <c r="G390" i="5"/>
  <c r="F390" i="5"/>
  <c r="E390" i="5"/>
  <c r="D390" i="5"/>
  <c r="C390" i="5"/>
  <c r="B390" i="5"/>
  <c r="G389" i="5"/>
  <c r="F389" i="5"/>
  <c r="E389" i="5"/>
  <c r="D389" i="5"/>
  <c r="C389" i="5"/>
  <c r="B389" i="5"/>
  <c r="G388" i="5"/>
  <c r="F388" i="5"/>
  <c r="E388" i="5"/>
  <c r="D388" i="5"/>
  <c r="C388" i="5"/>
  <c r="B388" i="5"/>
  <c r="G387" i="5"/>
  <c r="F387" i="5"/>
  <c r="E387" i="5"/>
  <c r="D387" i="5"/>
  <c r="C387" i="5"/>
  <c r="B387" i="5"/>
  <c r="G386" i="5"/>
  <c r="F386" i="5"/>
  <c r="E386" i="5"/>
  <c r="D386" i="5"/>
  <c r="C386" i="5"/>
  <c r="B386" i="5"/>
  <c r="G385" i="5"/>
  <c r="F385" i="5"/>
  <c r="E385" i="5"/>
  <c r="D385" i="5"/>
  <c r="C385" i="5"/>
  <c r="B385" i="5"/>
  <c r="G384" i="5"/>
  <c r="F384" i="5"/>
  <c r="E384" i="5"/>
  <c r="D384" i="5"/>
  <c r="C384" i="5"/>
  <c r="B384" i="5"/>
  <c r="G383" i="5"/>
  <c r="F383" i="5"/>
  <c r="E383" i="5"/>
  <c r="D383" i="5"/>
  <c r="C383" i="5"/>
  <c r="B383" i="5"/>
  <c r="G382" i="5"/>
  <c r="F382" i="5"/>
  <c r="E382" i="5"/>
  <c r="D382" i="5"/>
  <c r="C382" i="5"/>
  <c r="B382" i="5"/>
  <c r="G381" i="5"/>
  <c r="F381" i="5"/>
  <c r="E381" i="5"/>
  <c r="D381" i="5"/>
  <c r="C381" i="5"/>
  <c r="B381" i="5"/>
  <c r="G380" i="5"/>
  <c r="F380" i="5"/>
  <c r="E380" i="5"/>
  <c r="D380" i="5"/>
  <c r="C380" i="5"/>
  <c r="B380" i="5"/>
  <c r="G379" i="5"/>
  <c r="F379" i="5"/>
  <c r="E379" i="5"/>
  <c r="D379" i="5"/>
  <c r="C379" i="5"/>
  <c r="B379" i="5"/>
  <c r="G378" i="5"/>
  <c r="F378" i="5"/>
  <c r="E378" i="5"/>
  <c r="D378" i="5"/>
  <c r="C378" i="5"/>
  <c r="B378" i="5"/>
  <c r="G377" i="5"/>
  <c r="F377" i="5"/>
  <c r="E377" i="5"/>
  <c r="D377" i="5"/>
  <c r="C377" i="5"/>
  <c r="B377" i="5"/>
  <c r="G376" i="5"/>
  <c r="F376" i="5"/>
  <c r="E376" i="5"/>
  <c r="D376" i="5"/>
  <c r="C376" i="5"/>
  <c r="B376" i="5"/>
  <c r="G375" i="5"/>
  <c r="F375" i="5"/>
  <c r="E375" i="5"/>
  <c r="D375" i="5"/>
  <c r="C375" i="5"/>
  <c r="B375" i="5"/>
  <c r="G374" i="5"/>
  <c r="F374" i="5"/>
  <c r="E374" i="5"/>
  <c r="D374" i="5"/>
  <c r="C374" i="5"/>
  <c r="B374" i="5"/>
  <c r="G373" i="5"/>
  <c r="F373" i="5"/>
  <c r="E373" i="5"/>
  <c r="D373" i="5"/>
  <c r="C373" i="5"/>
  <c r="B373" i="5"/>
  <c r="G372" i="5"/>
  <c r="F372" i="5"/>
  <c r="E372" i="5"/>
  <c r="D372" i="5"/>
  <c r="C372" i="5"/>
  <c r="B372" i="5"/>
  <c r="G371" i="5"/>
  <c r="F371" i="5"/>
  <c r="E371" i="5"/>
  <c r="D371" i="5"/>
  <c r="C371" i="5"/>
  <c r="B371" i="5"/>
  <c r="G370" i="5"/>
  <c r="F370" i="5"/>
  <c r="E370" i="5"/>
  <c r="D370" i="5"/>
  <c r="C370" i="5"/>
  <c r="B370" i="5"/>
  <c r="G369" i="5"/>
  <c r="F369" i="5"/>
  <c r="E369" i="5"/>
  <c r="D369" i="5"/>
  <c r="C369" i="5"/>
  <c r="B369" i="5"/>
  <c r="G368" i="5"/>
  <c r="F368" i="5"/>
  <c r="E368" i="5"/>
  <c r="D368" i="5"/>
  <c r="C368" i="5"/>
  <c r="B368" i="5"/>
  <c r="G367" i="5"/>
  <c r="F367" i="5"/>
  <c r="E367" i="5"/>
  <c r="D367" i="5"/>
  <c r="C367" i="5"/>
  <c r="B367" i="5"/>
  <c r="G366" i="5"/>
  <c r="F366" i="5"/>
  <c r="E366" i="5"/>
  <c r="D366" i="5"/>
  <c r="C366" i="5"/>
  <c r="B366" i="5"/>
  <c r="G365" i="5"/>
  <c r="F365" i="5"/>
  <c r="E365" i="5"/>
  <c r="D365" i="5"/>
  <c r="C365" i="5"/>
  <c r="B365" i="5"/>
  <c r="G364" i="5"/>
  <c r="F364" i="5"/>
  <c r="E364" i="5"/>
  <c r="D364" i="5"/>
  <c r="C364" i="5"/>
  <c r="B364" i="5"/>
  <c r="G363" i="5"/>
  <c r="F363" i="5"/>
  <c r="E363" i="5"/>
  <c r="D363" i="5"/>
  <c r="C363" i="5"/>
  <c r="B363" i="5"/>
  <c r="G362" i="5"/>
  <c r="F362" i="5"/>
  <c r="E362" i="5"/>
  <c r="D362" i="5"/>
  <c r="C362" i="5"/>
  <c r="B362" i="5"/>
  <c r="G361" i="5"/>
  <c r="F361" i="5"/>
  <c r="E361" i="5"/>
  <c r="D361" i="5"/>
  <c r="C361" i="5"/>
  <c r="B361" i="5"/>
  <c r="G360" i="5"/>
  <c r="F360" i="5"/>
  <c r="E360" i="5"/>
  <c r="D360" i="5"/>
  <c r="C360" i="5"/>
  <c r="B360" i="5"/>
  <c r="G359" i="5"/>
  <c r="F359" i="5"/>
  <c r="E359" i="5"/>
  <c r="D359" i="5"/>
  <c r="C359" i="5"/>
  <c r="B359" i="5"/>
  <c r="G358" i="5"/>
  <c r="F358" i="5"/>
  <c r="E358" i="5"/>
  <c r="D358" i="5"/>
  <c r="C358" i="5"/>
  <c r="B358" i="5"/>
  <c r="G357" i="5"/>
  <c r="F357" i="5"/>
  <c r="E357" i="5"/>
  <c r="D357" i="5"/>
  <c r="C357" i="5"/>
  <c r="B357" i="5"/>
  <c r="G356" i="5"/>
  <c r="F356" i="5"/>
  <c r="E356" i="5"/>
  <c r="D356" i="5"/>
  <c r="C356" i="5"/>
  <c r="B356" i="5"/>
  <c r="G355" i="5"/>
  <c r="F355" i="5"/>
  <c r="E355" i="5"/>
  <c r="D355" i="5"/>
  <c r="C355" i="5"/>
  <c r="B355" i="5"/>
  <c r="G354" i="5"/>
  <c r="F354" i="5"/>
  <c r="E354" i="5"/>
  <c r="D354" i="5"/>
  <c r="C354" i="5"/>
  <c r="B354" i="5"/>
  <c r="G353" i="5"/>
  <c r="F353" i="5"/>
  <c r="E353" i="5"/>
  <c r="D353" i="5"/>
  <c r="C353" i="5"/>
  <c r="B353" i="5"/>
  <c r="G352" i="5"/>
  <c r="F352" i="5"/>
  <c r="E352" i="5"/>
  <c r="D352" i="5"/>
  <c r="C352" i="5"/>
  <c r="B352" i="5"/>
  <c r="G351" i="5"/>
  <c r="F351" i="5"/>
  <c r="E351" i="5"/>
  <c r="D351" i="5"/>
  <c r="C351" i="5"/>
  <c r="B351" i="5"/>
  <c r="G350" i="5"/>
  <c r="F350" i="5"/>
  <c r="E350" i="5"/>
  <c r="D350" i="5"/>
  <c r="C350" i="5"/>
  <c r="B350" i="5"/>
  <c r="G349" i="5"/>
  <c r="F349" i="5"/>
  <c r="E349" i="5"/>
  <c r="D349" i="5"/>
  <c r="C349" i="5"/>
  <c r="B349" i="5"/>
  <c r="G348" i="5"/>
  <c r="F348" i="5"/>
  <c r="E348" i="5"/>
  <c r="D348" i="5"/>
  <c r="C348" i="5"/>
  <c r="B348" i="5"/>
  <c r="G347" i="5"/>
  <c r="F347" i="5"/>
  <c r="E347" i="5"/>
  <c r="D347" i="5"/>
  <c r="C347" i="5"/>
  <c r="B347" i="5"/>
  <c r="G346" i="5"/>
  <c r="F346" i="5"/>
  <c r="E346" i="5"/>
  <c r="D346" i="5"/>
  <c r="C346" i="5"/>
  <c r="B346" i="5"/>
  <c r="G345" i="5"/>
  <c r="F345" i="5"/>
  <c r="E345" i="5"/>
  <c r="D345" i="5"/>
  <c r="C345" i="5"/>
  <c r="B345" i="5"/>
  <c r="G344" i="5"/>
  <c r="F344" i="5"/>
  <c r="E344" i="5"/>
  <c r="D344" i="5"/>
  <c r="C344" i="5"/>
  <c r="B344" i="5"/>
  <c r="G343" i="5"/>
  <c r="F343" i="5"/>
  <c r="E343" i="5"/>
  <c r="D343" i="5"/>
  <c r="C343" i="5"/>
  <c r="B343" i="5"/>
  <c r="G342" i="5"/>
  <c r="F342" i="5"/>
  <c r="E342" i="5"/>
  <c r="D342" i="5"/>
  <c r="C342" i="5"/>
  <c r="B342" i="5"/>
  <c r="G341" i="5"/>
  <c r="F341" i="5"/>
  <c r="E341" i="5"/>
  <c r="D341" i="5"/>
  <c r="C341" i="5"/>
  <c r="B341" i="5"/>
  <c r="G340" i="5"/>
  <c r="F340" i="5"/>
  <c r="E340" i="5"/>
  <c r="D340" i="5"/>
  <c r="C340" i="5"/>
  <c r="B340" i="5"/>
  <c r="G339" i="5"/>
  <c r="F339" i="5"/>
  <c r="E339" i="5"/>
  <c r="D339" i="5"/>
  <c r="C339" i="5"/>
  <c r="B339" i="5"/>
  <c r="G338" i="5"/>
  <c r="F338" i="5"/>
  <c r="E338" i="5"/>
  <c r="D338" i="5"/>
  <c r="C338" i="5"/>
  <c r="B338" i="5"/>
  <c r="G337" i="5"/>
  <c r="F337" i="5"/>
  <c r="E337" i="5"/>
  <c r="D337" i="5"/>
  <c r="C337" i="5"/>
  <c r="B337" i="5"/>
  <c r="G336" i="5"/>
  <c r="F336" i="5"/>
  <c r="E336" i="5"/>
  <c r="D336" i="5"/>
  <c r="C336" i="5"/>
  <c r="B336" i="5"/>
  <c r="G335" i="5"/>
  <c r="F335" i="5"/>
  <c r="E335" i="5"/>
  <c r="D335" i="5"/>
  <c r="C335" i="5"/>
  <c r="B335" i="5"/>
  <c r="G334" i="5"/>
  <c r="F334" i="5"/>
  <c r="E334" i="5"/>
  <c r="D334" i="5"/>
  <c r="C334" i="5"/>
  <c r="B334" i="5"/>
  <c r="G333" i="5"/>
  <c r="F333" i="5"/>
  <c r="E333" i="5"/>
  <c r="D333" i="5"/>
  <c r="C333" i="5"/>
  <c r="B333" i="5"/>
  <c r="G332" i="5"/>
  <c r="F332" i="5"/>
  <c r="E332" i="5"/>
  <c r="D332" i="5"/>
  <c r="C332" i="5"/>
  <c r="B332" i="5"/>
  <c r="G331" i="5"/>
  <c r="F331" i="5"/>
  <c r="E331" i="5"/>
  <c r="D331" i="5"/>
  <c r="C331" i="5"/>
  <c r="B331" i="5"/>
  <c r="G330" i="5"/>
  <c r="F330" i="5"/>
  <c r="E330" i="5"/>
  <c r="D330" i="5"/>
  <c r="C330" i="5"/>
  <c r="B330" i="5"/>
  <c r="G329" i="5"/>
  <c r="F329" i="5"/>
  <c r="E329" i="5"/>
  <c r="D329" i="5"/>
  <c r="C329" i="5"/>
  <c r="B329" i="5"/>
  <c r="G328" i="5"/>
  <c r="F328" i="5"/>
  <c r="E328" i="5"/>
  <c r="D328" i="5"/>
  <c r="C328" i="5"/>
  <c r="B328" i="5"/>
  <c r="G327" i="5"/>
  <c r="F327" i="5"/>
  <c r="E327" i="5"/>
  <c r="D327" i="5"/>
  <c r="C327" i="5"/>
  <c r="B327" i="5"/>
  <c r="G326" i="5"/>
  <c r="F326" i="5"/>
  <c r="E326" i="5"/>
  <c r="D326" i="5"/>
  <c r="C326" i="5"/>
  <c r="B326" i="5"/>
  <c r="G325" i="5"/>
  <c r="F325" i="5"/>
  <c r="E325" i="5"/>
  <c r="D325" i="5"/>
  <c r="C325" i="5"/>
  <c r="B325" i="5"/>
  <c r="G324" i="5"/>
  <c r="F324" i="5"/>
  <c r="E324" i="5"/>
  <c r="D324" i="5"/>
  <c r="C324" i="5"/>
  <c r="B324" i="5"/>
  <c r="G323" i="5"/>
  <c r="F323" i="5"/>
  <c r="E323" i="5"/>
  <c r="D323" i="5"/>
  <c r="C323" i="5"/>
  <c r="B323" i="5"/>
  <c r="G322" i="5"/>
  <c r="F322" i="5"/>
  <c r="E322" i="5"/>
  <c r="D322" i="5"/>
  <c r="C322" i="5"/>
  <c r="B322" i="5"/>
  <c r="G321" i="5"/>
  <c r="F321" i="5"/>
  <c r="E321" i="5"/>
  <c r="D321" i="5"/>
  <c r="C321" i="5"/>
  <c r="B321" i="5"/>
  <c r="G320" i="5"/>
  <c r="F320" i="5"/>
  <c r="E320" i="5"/>
  <c r="D320" i="5"/>
  <c r="C320" i="5"/>
  <c r="B320" i="5"/>
  <c r="G319" i="5"/>
  <c r="F319" i="5"/>
  <c r="E319" i="5"/>
  <c r="D319" i="5"/>
  <c r="C319" i="5"/>
  <c r="B319" i="5"/>
  <c r="G318" i="5"/>
  <c r="F318" i="5"/>
  <c r="E318" i="5"/>
  <c r="D318" i="5"/>
  <c r="C318" i="5"/>
  <c r="B318" i="5"/>
  <c r="G317" i="5"/>
  <c r="F317" i="5"/>
  <c r="E317" i="5"/>
  <c r="D317" i="5"/>
  <c r="C317" i="5"/>
  <c r="B317" i="5"/>
  <c r="G316" i="5"/>
  <c r="F316" i="5"/>
  <c r="E316" i="5"/>
  <c r="D316" i="5"/>
  <c r="C316" i="5"/>
  <c r="B316" i="5"/>
  <c r="G315" i="5"/>
  <c r="F315" i="5"/>
  <c r="E315" i="5"/>
  <c r="D315" i="5"/>
  <c r="C315" i="5"/>
  <c r="B315" i="5"/>
  <c r="G314" i="5"/>
  <c r="F314" i="5"/>
  <c r="E314" i="5"/>
  <c r="D314" i="5"/>
  <c r="C314" i="5"/>
  <c r="B314" i="5"/>
  <c r="G313" i="5"/>
  <c r="F313" i="5"/>
  <c r="E313" i="5"/>
  <c r="D313" i="5"/>
  <c r="C313" i="5"/>
  <c r="B313" i="5"/>
  <c r="G312" i="5"/>
  <c r="F312" i="5"/>
  <c r="E312" i="5"/>
  <c r="D312" i="5"/>
  <c r="C312" i="5"/>
  <c r="B312" i="5"/>
  <c r="G311" i="5"/>
  <c r="F311" i="5"/>
  <c r="E311" i="5"/>
  <c r="D311" i="5"/>
  <c r="C311" i="5"/>
  <c r="B311" i="5"/>
  <c r="G310" i="5"/>
  <c r="F310" i="5"/>
  <c r="E310" i="5"/>
  <c r="D310" i="5"/>
  <c r="C310" i="5"/>
  <c r="B310" i="5"/>
  <c r="G309" i="5"/>
  <c r="F309" i="5"/>
  <c r="E309" i="5"/>
  <c r="D309" i="5"/>
  <c r="C309" i="5"/>
  <c r="B309" i="5"/>
  <c r="G308" i="5"/>
  <c r="F308" i="5"/>
  <c r="E308" i="5"/>
  <c r="D308" i="5"/>
  <c r="C308" i="5"/>
  <c r="B308" i="5"/>
  <c r="G307" i="5"/>
  <c r="F307" i="5"/>
  <c r="E307" i="5"/>
  <c r="D307" i="5"/>
  <c r="C307" i="5"/>
  <c r="B307" i="5"/>
  <c r="G306" i="5"/>
  <c r="F306" i="5"/>
  <c r="E306" i="5"/>
  <c r="D306" i="5"/>
  <c r="C306" i="5"/>
  <c r="B306" i="5"/>
  <c r="G305" i="5"/>
  <c r="F305" i="5"/>
  <c r="E305" i="5"/>
  <c r="D305" i="5"/>
  <c r="C305" i="5"/>
  <c r="B305" i="5"/>
  <c r="G304" i="5"/>
  <c r="F304" i="5"/>
  <c r="E304" i="5"/>
  <c r="D304" i="5"/>
  <c r="C304" i="5"/>
  <c r="B304" i="5"/>
  <c r="G303" i="5"/>
  <c r="F303" i="5"/>
  <c r="E303" i="5"/>
  <c r="D303" i="5"/>
  <c r="C303" i="5"/>
  <c r="B303" i="5"/>
  <c r="G302" i="5"/>
  <c r="F302" i="5"/>
  <c r="E302" i="5"/>
  <c r="D302" i="5"/>
  <c r="C302" i="5"/>
  <c r="B302" i="5"/>
  <c r="G301" i="5"/>
  <c r="F301" i="5"/>
  <c r="E301" i="5"/>
  <c r="D301" i="5"/>
  <c r="C301" i="5"/>
  <c r="B301" i="5"/>
  <c r="G300" i="5"/>
  <c r="F300" i="5"/>
  <c r="E300" i="5"/>
  <c r="D300" i="5"/>
  <c r="C300" i="5"/>
  <c r="B300" i="5"/>
  <c r="G299" i="5"/>
  <c r="F299" i="5"/>
  <c r="E299" i="5"/>
  <c r="D299" i="5"/>
  <c r="C299" i="5"/>
  <c r="B299" i="5"/>
  <c r="G298" i="5"/>
  <c r="F298" i="5"/>
  <c r="E298" i="5"/>
  <c r="D298" i="5"/>
  <c r="C298" i="5"/>
  <c r="B298" i="5"/>
  <c r="G297" i="5"/>
  <c r="F297" i="5"/>
  <c r="E297" i="5"/>
  <c r="D297" i="5"/>
  <c r="C297" i="5"/>
  <c r="B297" i="5"/>
  <c r="G296" i="5"/>
  <c r="F296" i="5"/>
  <c r="E296" i="5"/>
  <c r="D296" i="5"/>
  <c r="C296" i="5"/>
  <c r="B296" i="5"/>
  <c r="G295" i="5"/>
  <c r="F295" i="5"/>
  <c r="E295" i="5"/>
  <c r="D295" i="5"/>
  <c r="C295" i="5"/>
  <c r="B295" i="5"/>
  <c r="G294" i="5"/>
  <c r="F294" i="5"/>
  <c r="E294" i="5"/>
  <c r="D294" i="5"/>
  <c r="C294" i="5"/>
  <c r="B294" i="5"/>
  <c r="G293" i="5"/>
  <c r="F293" i="5"/>
  <c r="E293" i="5"/>
  <c r="D293" i="5"/>
  <c r="C293" i="5"/>
  <c r="B293" i="5"/>
  <c r="G292" i="5"/>
  <c r="F292" i="5"/>
  <c r="E292" i="5"/>
  <c r="D292" i="5"/>
  <c r="C292" i="5"/>
  <c r="B292" i="5"/>
  <c r="G291" i="5"/>
  <c r="F291" i="5"/>
  <c r="E291" i="5"/>
  <c r="D291" i="5"/>
  <c r="C291" i="5"/>
  <c r="B291" i="5"/>
  <c r="G290" i="5"/>
  <c r="F290" i="5"/>
  <c r="E290" i="5"/>
  <c r="D290" i="5"/>
  <c r="C290" i="5"/>
  <c r="B290" i="5"/>
  <c r="G289" i="5"/>
  <c r="F289" i="5"/>
  <c r="E289" i="5"/>
  <c r="D289" i="5"/>
  <c r="C289" i="5"/>
  <c r="B289" i="5"/>
  <c r="G288" i="5"/>
  <c r="F288" i="5"/>
  <c r="E288" i="5"/>
  <c r="D288" i="5"/>
  <c r="C288" i="5"/>
  <c r="B288" i="5"/>
  <c r="G287" i="5"/>
  <c r="F287" i="5"/>
  <c r="E287" i="5"/>
  <c r="D287" i="5"/>
  <c r="C287" i="5"/>
  <c r="B287" i="5"/>
  <c r="G286" i="5"/>
  <c r="F286" i="5"/>
  <c r="E286" i="5"/>
  <c r="D286" i="5"/>
  <c r="C286" i="5"/>
  <c r="B286" i="5"/>
  <c r="G285" i="5"/>
  <c r="F285" i="5"/>
  <c r="E285" i="5"/>
  <c r="D285" i="5"/>
  <c r="C285" i="5"/>
  <c r="B285" i="5"/>
  <c r="G284" i="5"/>
  <c r="F284" i="5"/>
  <c r="E284" i="5"/>
  <c r="D284" i="5"/>
  <c r="C284" i="5"/>
  <c r="B284" i="5"/>
  <c r="G283" i="5"/>
  <c r="F283" i="5"/>
  <c r="E283" i="5"/>
  <c r="D283" i="5"/>
  <c r="C283" i="5"/>
  <c r="B283" i="5"/>
  <c r="G282" i="5"/>
  <c r="F282" i="5"/>
  <c r="E282" i="5"/>
  <c r="D282" i="5"/>
  <c r="C282" i="5"/>
  <c r="B282" i="5"/>
  <c r="G281" i="5"/>
  <c r="F281" i="5"/>
  <c r="E281" i="5"/>
  <c r="D281" i="5"/>
  <c r="C281" i="5"/>
  <c r="B281" i="5"/>
  <c r="G280" i="5"/>
  <c r="F280" i="5"/>
  <c r="E280" i="5"/>
  <c r="D280" i="5"/>
  <c r="C280" i="5"/>
  <c r="B280" i="5"/>
  <c r="G279" i="5"/>
  <c r="F279" i="5"/>
  <c r="E279" i="5"/>
  <c r="D279" i="5"/>
  <c r="C279" i="5"/>
  <c r="B279" i="5"/>
  <c r="G278" i="5"/>
  <c r="F278" i="5"/>
  <c r="E278" i="5"/>
  <c r="D278" i="5"/>
  <c r="C278" i="5"/>
  <c r="B278" i="5"/>
  <c r="G277" i="5"/>
  <c r="F277" i="5"/>
  <c r="E277" i="5"/>
  <c r="D277" i="5"/>
  <c r="C277" i="5"/>
  <c r="B277" i="5"/>
  <c r="G276" i="5"/>
  <c r="F276" i="5"/>
  <c r="E276" i="5"/>
  <c r="D276" i="5"/>
  <c r="C276" i="5"/>
  <c r="B276" i="5"/>
  <c r="G275" i="5"/>
  <c r="F275" i="5"/>
  <c r="E275" i="5"/>
  <c r="D275" i="5"/>
  <c r="C275" i="5"/>
  <c r="B275" i="5"/>
  <c r="G274" i="5"/>
  <c r="F274" i="5"/>
  <c r="E274" i="5"/>
  <c r="D274" i="5"/>
  <c r="C274" i="5"/>
  <c r="B274" i="5"/>
  <c r="G273" i="5"/>
  <c r="F273" i="5"/>
  <c r="E273" i="5"/>
  <c r="D273" i="5"/>
  <c r="C273" i="5"/>
  <c r="B273" i="5"/>
  <c r="G272" i="5"/>
  <c r="F272" i="5"/>
  <c r="E272" i="5"/>
  <c r="D272" i="5"/>
  <c r="C272" i="5"/>
  <c r="B272" i="5"/>
  <c r="G271" i="5"/>
  <c r="F271" i="5"/>
  <c r="E271" i="5"/>
  <c r="D271" i="5"/>
  <c r="C271" i="5"/>
  <c r="B271" i="5"/>
  <c r="G270" i="5"/>
  <c r="F270" i="5"/>
  <c r="E270" i="5"/>
  <c r="D270" i="5"/>
  <c r="C270" i="5"/>
  <c r="B270" i="5"/>
  <c r="G269" i="5"/>
  <c r="F269" i="5"/>
  <c r="E269" i="5"/>
  <c r="D269" i="5"/>
  <c r="C269" i="5"/>
  <c r="B269" i="5"/>
  <c r="G268" i="5"/>
  <c r="F268" i="5"/>
  <c r="E268" i="5"/>
  <c r="D268" i="5"/>
  <c r="C268" i="5"/>
  <c r="B268" i="5"/>
  <c r="G267" i="5"/>
  <c r="F267" i="5"/>
  <c r="E267" i="5"/>
  <c r="D267" i="5"/>
  <c r="C267" i="5"/>
  <c r="B267" i="5"/>
  <c r="G266" i="5"/>
  <c r="F266" i="5"/>
  <c r="E266" i="5"/>
  <c r="D266" i="5"/>
  <c r="C266" i="5"/>
  <c r="B266" i="5"/>
  <c r="G265" i="5"/>
  <c r="F265" i="5"/>
  <c r="E265" i="5"/>
  <c r="D265" i="5"/>
  <c r="C265" i="5"/>
  <c r="B265" i="5"/>
  <c r="G264" i="5"/>
  <c r="F264" i="5"/>
  <c r="E264" i="5"/>
  <c r="D264" i="5"/>
  <c r="C264" i="5"/>
  <c r="B264" i="5"/>
  <c r="G263" i="5"/>
  <c r="F263" i="5"/>
  <c r="E263" i="5"/>
  <c r="D263" i="5"/>
  <c r="C263" i="5"/>
  <c r="B263" i="5"/>
  <c r="G262" i="5"/>
  <c r="F262" i="5"/>
  <c r="E262" i="5"/>
  <c r="D262" i="5"/>
  <c r="C262" i="5"/>
  <c r="B262" i="5"/>
  <c r="G261" i="5"/>
  <c r="F261" i="5"/>
  <c r="E261" i="5"/>
  <c r="D261" i="5"/>
  <c r="C261" i="5"/>
  <c r="B261" i="5"/>
  <c r="G260" i="5"/>
  <c r="F260" i="5"/>
  <c r="E260" i="5"/>
  <c r="D260" i="5"/>
  <c r="C260" i="5"/>
  <c r="B260" i="5"/>
  <c r="G259" i="5"/>
  <c r="F259" i="5"/>
  <c r="E259" i="5"/>
  <c r="D259" i="5"/>
  <c r="C259" i="5"/>
  <c r="B259" i="5"/>
  <c r="G258" i="5"/>
  <c r="F258" i="5"/>
  <c r="E258" i="5"/>
  <c r="D258" i="5"/>
  <c r="C258" i="5"/>
  <c r="B258" i="5"/>
  <c r="G257" i="5"/>
  <c r="F257" i="5"/>
  <c r="E257" i="5"/>
  <c r="D257" i="5"/>
  <c r="C257" i="5"/>
  <c r="B257" i="5"/>
  <c r="G256" i="5"/>
  <c r="F256" i="5"/>
  <c r="E256" i="5"/>
  <c r="D256" i="5"/>
  <c r="C256" i="5"/>
  <c r="B256" i="5"/>
  <c r="G255" i="5"/>
  <c r="F255" i="5"/>
  <c r="E255" i="5"/>
  <c r="D255" i="5"/>
  <c r="C255" i="5"/>
  <c r="B255" i="5"/>
  <c r="G254" i="5"/>
  <c r="F254" i="5"/>
  <c r="E254" i="5"/>
  <c r="D254" i="5"/>
  <c r="C254" i="5"/>
  <c r="B254" i="5"/>
  <c r="G253" i="5"/>
  <c r="F253" i="5"/>
  <c r="E253" i="5"/>
  <c r="D253" i="5"/>
  <c r="C253" i="5"/>
  <c r="B253" i="5"/>
  <c r="G252" i="5"/>
  <c r="F252" i="5"/>
  <c r="E252" i="5"/>
  <c r="D252" i="5"/>
  <c r="C252" i="5"/>
  <c r="B252" i="5"/>
  <c r="G251" i="5"/>
  <c r="F251" i="5"/>
  <c r="E251" i="5"/>
  <c r="D251" i="5"/>
  <c r="C251" i="5"/>
  <c r="B251" i="5"/>
  <c r="G250" i="5"/>
  <c r="F250" i="5"/>
  <c r="E250" i="5"/>
  <c r="D250" i="5"/>
  <c r="C250" i="5"/>
  <c r="B250" i="5"/>
  <c r="G249" i="5"/>
  <c r="F249" i="5"/>
  <c r="E249" i="5"/>
  <c r="D249" i="5"/>
  <c r="C249" i="5"/>
  <c r="B249" i="5"/>
  <c r="G248" i="5"/>
  <c r="F248" i="5"/>
  <c r="E248" i="5"/>
  <c r="D248" i="5"/>
  <c r="C248" i="5"/>
  <c r="B248" i="5"/>
  <c r="G247" i="5"/>
  <c r="F247" i="5"/>
  <c r="E247" i="5"/>
  <c r="D247" i="5"/>
  <c r="C247" i="5"/>
  <c r="B247" i="5"/>
  <c r="G246" i="5"/>
  <c r="F246" i="5"/>
  <c r="E246" i="5"/>
  <c r="D246" i="5"/>
  <c r="C246" i="5"/>
  <c r="B246" i="5"/>
  <c r="G245" i="5"/>
  <c r="F245" i="5"/>
  <c r="E245" i="5"/>
  <c r="D245" i="5"/>
  <c r="C245" i="5"/>
  <c r="B245" i="5"/>
  <c r="G244" i="5"/>
  <c r="F244" i="5"/>
  <c r="E244" i="5"/>
  <c r="D244" i="5"/>
  <c r="C244" i="5"/>
  <c r="B244" i="5"/>
  <c r="G243" i="5"/>
  <c r="F243" i="5"/>
  <c r="E243" i="5"/>
  <c r="D243" i="5"/>
  <c r="C243" i="5"/>
  <c r="B243" i="5"/>
  <c r="G242" i="5"/>
  <c r="F242" i="5"/>
  <c r="E242" i="5"/>
  <c r="D242" i="5"/>
  <c r="C242" i="5"/>
  <c r="B242" i="5"/>
  <c r="G241" i="5"/>
  <c r="F241" i="5"/>
  <c r="E241" i="5"/>
  <c r="D241" i="5"/>
  <c r="C241" i="5"/>
  <c r="B241" i="5"/>
  <c r="G240" i="5"/>
  <c r="F240" i="5"/>
  <c r="E240" i="5"/>
  <c r="D240" i="5"/>
  <c r="C240" i="5"/>
  <c r="B240" i="5"/>
  <c r="G239" i="5"/>
  <c r="F239" i="5"/>
  <c r="E239" i="5"/>
  <c r="D239" i="5"/>
  <c r="C239" i="5"/>
  <c r="B239" i="5"/>
  <c r="G238" i="5"/>
  <c r="F238" i="5"/>
  <c r="E238" i="5"/>
  <c r="D238" i="5"/>
  <c r="C238" i="5"/>
  <c r="B238" i="5"/>
  <c r="G237" i="5"/>
  <c r="F237" i="5"/>
  <c r="E237" i="5"/>
  <c r="D237" i="5"/>
  <c r="C237" i="5"/>
  <c r="B237" i="5"/>
  <c r="G236" i="5"/>
  <c r="F236" i="5"/>
  <c r="E236" i="5"/>
  <c r="D236" i="5"/>
  <c r="C236" i="5"/>
  <c r="B236" i="5"/>
  <c r="G235" i="5"/>
  <c r="F235" i="5"/>
  <c r="E235" i="5"/>
  <c r="D235" i="5"/>
  <c r="C235" i="5"/>
  <c r="B235" i="5"/>
  <c r="G234" i="5"/>
  <c r="F234" i="5"/>
  <c r="E234" i="5"/>
  <c r="D234" i="5"/>
  <c r="C234" i="5"/>
  <c r="B234" i="5"/>
  <c r="G233" i="5"/>
  <c r="F233" i="5"/>
  <c r="E233" i="5"/>
  <c r="D233" i="5"/>
  <c r="C233" i="5"/>
  <c r="B233" i="5"/>
  <c r="G232" i="5"/>
  <c r="F232" i="5"/>
  <c r="E232" i="5"/>
  <c r="D232" i="5"/>
  <c r="C232" i="5"/>
  <c r="B232" i="5"/>
  <c r="G231" i="5"/>
  <c r="F231" i="5"/>
  <c r="E231" i="5"/>
  <c r="D231" i="5"/>
  <c r="C231" i="5"/>
  <c r="B231" i="5"/>
  <c r="G230" i="5"/>
  <c r="F230" i="5"/>
  <c r="E230" i="5"/>
  <c r="D230" i="5"/>
  <c r="C230" i="5"/>
  <c r="B230" i="5"/>
  <c r="G229" i="5"/>
  <c r="F229" i="5"/>
  <c r="E229" i="5"/>
  <c r="D229" i="5"/>
  <c r="C229" i="5"/>
  <c r="B229" i="5"/>
  <c r="G228" i="5"/>
  <c r="F228" i="5"/>
  <c r="E228" i="5"/>
  <c r="D228" i="5"/>
  <c r="C228" i="5"/>
  <c r="B228" i="5"/>
  <c r="G227" i="5"/>
  <c r="F227" i="5"/>
  <c r="E227" i="5"/>
  <c r="D227" i="5"/>
  <c r="C227" i="5"/>
  <c r="B227" i="5"/>
  <c r="G226" i="5"/>
  <c r="F226" i="5"/>
  <c r="E226" i="5"/>
  <c r="D226" i="5"/>
  <c r="C226" i="5"/>
  <c r="B226" i="5"/>
  <c r="G225" i="5"/>
  <c r="F225" i="5"/>
  <c r="E225" i="5"/>
  <c r="D225" i="5"/>
  <c r="C225" i="5"/>
  <c r="B225" i="5"/>
  <c r="G224" i="5"/>
  <c r="F224" i="5"/>
  <c r="E224" i="5"/>
  <c r="D224" i="5"/>
  <c r="C224" i="5"/>
  <c r="B224" i="5"/>
  <c r="G223" i="5"/>
  <c r="F223" i="5"/>
  <c r="E223" i="5"/>
  <c r="D223" i="5"/>
  <c r="C223" i="5"/>
  <c r="B223" i="5"/>
  <c r="G222" i="5"/>
  <c r="F222" i="5"/>
  <c r="E222" i="5"/>
  <c r="D222" i="5"/>
  <c r="C222" i="5"/>
  <c r="B222" i="5"/>
  <c r="G221" i="5"/>
  <c r="F221" i="5"/>
  <c r="E221" i="5"/>
  <c r="D221" i="5"/>
  <c r="C221" i="5"/>
  <c r="B221" i="5"/>
  <c r="G220" i="5"/>
  <c r="F220" i="5"/>
  <c r="E220" i="5"/>
  <c r="D220" i="5"/>
  <c r="C220" i="5"/>
  <c r="B220" i="5"/>
  <c r="G219" i="5"/>
  <c r="F219" i="5"/>
  <c r="E219" i="5"/>
  <c r="D219" i="5"/>
  <c r="C219" i="5"/>
  <c r="B219" i="5"/>
  <c r="G218" i="5"/>
  <c r="F218" i="5"/>
  <c r="E218" i="5"/>
  <c r="D218" i="5"/>
  <c r="C218" i="5"/>
  <c r="B218" i="5"/>
  <c r="G217" i="5"/>
  <c r="F217" i="5"/>
  <c r="E217" i="5"/>
  <c r="D217" i="5"/>
  <c r="C217" i="5"/>
  <c r="B217" i="5"/>
  <c r="G216" i="5"/>
  <c r="F216" i="5"/>
  <c r="E216" i="5"/>
  <c r="D216" i="5"/>
  <c r="C216" i="5"/>
  <c r="B216" i="5"/>
  <c r="G215" i="5"/>
  <c r="F215" i="5"/>
  <c r="E215" i="5"/>
  <c r="D215" i="5"/>
  <c r="C215" i="5"/>
  <c r="B215" i="5"/>
  <c r="G214" i="5"/>
  <c r="F214" i="5"/>
  <c r="E214" i="5"/>
  <c r="D214" i="5"/>
  <c r="C214" i="5"/>
  <c r="B214" i="5"/>
  <c r="G213" i="5"/>
  <c r="F213" i="5"/>
  <c r="E213" i="5"/>
  <c r="D213" i="5"/>
  <c r="C213" i="5"/>
  <c r="B213" i="5"/>
  <c r="G212" i="5"/>
  <c r="F212" i="5"/>
  <c r="E212" i="5"/>
  <c r="D212" i="5"/>
  <c r="C212" i="5"/>
  <c r="B212" i="5"/>
  <c r="G211" i="5"/>
  <c r="F211" i="5"/>
  <c r="E211" i="5"/>
  <c r="D211" i="5"/>
  <c r="C211" i="5"/>
  <c r="B211" i="5"/>
  <c r="G210" i="5"/>
  <c r="F210" i="5"/>
  <c r="E210" i="5"/>
  <c r="D210" i="5"/>
  <c r="C210" i="5"/>
  <c r="B210" i="5"/>
  <c r="G209" i="5"/>
  <c r="F209" i="5"/>
  <c r="E209" i="5"/>
  <c r="D209" i="5"/>
  <c r="C209" i="5"/>
  <c r="B209" i="5"/>
  <c r="G208" i="5"/>
  <c r="F208" i="5"/>
  <c r="E208" i="5"/>
  <c r="D208" i="5"/>
  <c r="C208" i="5"/>
  <c r="B208" i="5"/>
  <c r="G207" i="5"/>
  <c r="F207" i="5"/>
  <c r="E207" i="5"/>
  <c r="D207" i="5"/>
  <c r="C207" i="5"/>
  <c r="B207" i="5"/>
  <c r="G206" i="5"/>
  <c r="F206" i="5"/>
  <c r="E206" i="5"/>
  <c r="D206" i="5"/>
  <c r="C206" i="5"/>
  <c r="B206" i="5"/>
  <c r="G205" i="5"/>
  <c r="F205" i="5"/>
  <c r="E205" i="5"/>
  <c r="D205" i="5"/>
  <c r="C205" i="5"/>
  <c r="B205" i="5"/>
  <c r="G204" i="5"/>
  <c r="F204" i="5"/>
  <c r="E204" i="5"/>
  <c r="D204" i="5"/>
  <c r="C204" i="5"/>
  <c r="B204" i="5"/>
  <c r="G203" i="5"/>
  <c r="F203" i="5"/>
  <c r="E203" i="5"/>
  <c r="D203" i="5"/>
  <c r="C203" i="5"/>
  <c r="B203" i="5"/>
  <c r="G202" i="5"/>
  <c r="F202" i="5"/>
  <c r="E202" i="5"/>
  <c r="D202" i="5"/>
  <c r="C202" i="5"/>
  <c r="B202" i="5"/>
  <c r="G201" i="5"/>
  <c r="F201" i="5"/>
  <c r="E201" i="5"/>
  <c r="D201" i="5"/>
  <c r="C201" i="5"/>
  <c r="B201" i="5"/>
  <c r="G200" i="5"/>
  <c r="F200" i="5"/>
  <c r="E200" i="5"/>
  <c r="D200" i="5"/>
  <c r="C200" i="5"/>
  <c r="B200" i="5"/>
  <c r="G199" i="5"/>
  <c r="F199" i="5"/>
  <c r="E199" i="5"/>
  <c r="D199" i="5"/>
  <c r="C199" i="5"/>
  <c r="B199" i="5"/>
  <c r="G198" i="5"/>
  <c r="F198" i="5"/>
  <c r="E198" i="5"/>
  <c r="D198" i="5"/>
  <c r="C198" i="5"/>
  <c r="B198" i="5"/>
  <c r="G197" i="5"/>
  <c r="F197" i="5"/>
  <c r="E197" i="5"/>
  <c r="D197" i="5"/>
  <c r="C197" i="5"/>
  <c r="B197" i="5"/>
  <c r="G196" i="5"/>
  <c r="F196" i="5"/>
  <c r="E196" i="5"/>
  <c r="D196" i="5"/>
  <c r="C196" i="5"/>
  <c r="B196" i="5"/>
  <c r="G195" i="5"/>
  <c r="F195" i="5"/>
  <c r="E195" i="5"/>
  <c r="D195" i="5"/>
  <c r="C195" i="5"/>
  <c r="B195" i="5"/>
  <c r="G194" i="5"/>
  <c r="F194" i="5"/>
  <c r="E194" i="5"/>
  <c r="D194" i="5"/>
  <c r="C194" i="5"/>
  <c r="B194" i="5"/>
  <c r="G193" i="5"/>
  <c r="F193" i="5"/>
  <c r="E193" i="5"/>
  <c r="D193" i="5"/>
  <c r="C193" i="5"/>
  <c r="B193" i="5"/>
  <c r="G192" i="5"/>
  <c r="F192" i="5"/>
  <c r="E192" i="5"/>
  <c r="D192" i="5"/>
  <c r="C192" i="5"/>
  <c r="B192" i="5"/>
  <c r="G191" i="5"/>
  <c r="F191" i="5"/>
  <c r="E191" i="5"/>
  <c r="D191" i="5"/>
  <c r="C191" i="5"/>
  <c r="B191" i="5"/>
  <c r="G190" i="5"/>
  <c r="F190" i="5"/>
  <c r="E190" i="5"/>
  <c r="D190" i="5"/>
  <c r="C190" i="5"/>
  <c r="B190" i="5"/>
  <c r="G189" i="5"/>
  <c r="F189" i="5"/>
  <c r="E189" i="5"/>
  <c r="D189" i="5"/>
  <c r="C189" i="5"/>
  <c r="B189" i="5"/>
  <c r="G188" i="5"/>
  <c r="F188" i="5"/>
  <c r="E188" i="5"/>
  <c r="D188" i="5"/>
  <c r="C188" i="5"/>
  <c r="B188" i="5"/>
  <c r="G187" i="5"/>
  <c r="F187" i="5"/>
  <c r="E187" i="5"/>
  <c r="D187" i="5"/>
  <c r="C187" i="5"/>
  <c r="B187" i="5"/>
  <c r="G186" i="5"/>
  <c r="F186" i="5"/>
  <c r="E186" i="5"/>
  <c r="D186" i="5"/>
  <c r="C186" i="5"/>
  <c r="B186" i="5"/>
  <c r="G185" i="5"/>
  <c r="F185" i="5"/>
  <c r="E185" i="5"/>
  <c r="D185" i="5"/>
  <c r="C185" i="5"/>
  <c r="B185" i="5"/>
  <c r="G184" i="5"/>
  <c r="F184" i="5"/>
  <c r="E184" i="5"/>
  <c r="D184" i="5"/>
  <c r="C184" i="5"/>
  <c r="B184" i="5"/>
  <c r="G183" i="5"/>
  <c r="F183" i="5"/>
  <c r="E183" i="5"/>
  <c r="D183" i="5"/>
  <c r="C183" i="5"/>
  <c r="B183" i="5"/>
  <c r="G182" i="5"/>
  <c r="F182" i="5"/>
  <c r="E182" i="5"/>
  <c r="D182" i="5"/>
  <c r="C182" i="5"/>
  <c r="B182" i="5"/>
  <c r="G181" i="5"/>
  <c r="F181" i="5"/>
  <c r="E181" i="5"/>
  <c r="D181" i="5"/>
  <c r="C181" i="5"/>
  <c r="B181" i="5"/>
  <c r="G180" i="5"/>
  <c r="F180" i="5"/>
  <c r="E180" i="5"/>
  <c r="D180" i="5"/>
  <c r="C180" i="5"/>
  <c r="B180" i="5"/>
  <c r="G179" i="5"/>
  <c r="F179" i="5"/>
  <c r="E179" i="5"/>
  <c r="D179" i="5"/>
  <c r="C179" i="5"/>
  <c r="B179" i="5"/>
  <c r="G178" i="5"/>
  <c r="F178" i="5"/>
  <c r="E178" i="5"/>
  <c r="D178" i="5"/>
  <c r="C178" i="5"/>
  <c r="B178" i="5"/>
  <c r="G177" i="5"/>
  <c r="F177" i="5"/>
  <c r="E177" i="5"/>
  <c r="D177" i="5"/>
  <c r="C177" i="5"/>
  <c r="B177" i="5"/>
  <c r="G176" i="5"/>
  <c r="F176" i="5"/>
  <c r="E176" i="5"/>
  <c r="D176" i="5"/>
  <c r="C176" i="5"/>
  <c r="B176" i="5"/>
  <c r="G175" i="5"/>
  <c r="F175" i="5"/>
  <c r="E175" i="5"/>
  <c r="D175" i="5"/>
  <c r="C175" i="5"/>
  <c r="B175" i="5"/>
  <c r="G174" i="5"/>
  <c r="F174" i="5"/>
  <c r="E174" i="5"/>
  <c r="D174" i="5"/>
  <c r="C174" i="5"/>
  <c r="B174" i="5"/>
  <c r="G173" i="5"/>
  <c r="F173" i="5"/>
  <c r="E173" i="5"/>
  <c r="D173" i="5"/>
  <c r="C173" i="5"/>
  <c r="B173" i="5"/>
  <c r="G172" i="5"/>
  <c r="F172" i="5"/>
  <c r="E172" i="5"/>
  <c r="D172" i="5"/>
  <c r="C172" i="5"/>
  <c r="B172" i="5"/>
  <c r="G171" i="5"/>
  <c r="F171" i="5"/>
  <c r="E171" i="5"/>
  <c r="D171" i="5"/>
  <c r="C171" i="5"/>
  <c r="B171" i="5"/>
  <c r="G170" i="5"/>
  <c r="F170" i="5"/>
  <c r="E170" i="5"/>
  <c r="D170" i="5"/>
  <c r="C170" i="5"/>
  <c r="B170" i="5"/>
  <c r="G169" i="5"/>
  <c r="F169" i="5"/>
  <c r="E169" i="5"/>
  <c r="D169" i="5"/>
  <c r="C169" i="5"/>
  <c r="B169" i="5"/>
  <c r="G168" i="5"/>
  <c r="F168" i="5"/>
  <c r="E168" i="5"/>
  <c r="D168" i="5"/>
  <c r="C168" i="5"/>
  <c r="B168" i="5"/>
  <c r="G167" i="5"/>
  <c r="F167" i="5"/>
  <c r="E167" i="5"/>
  <c r="D167" i="5"/>
  <c r="C167" i="5"/>
  <c r="B167" i="5"/>
  <c r="G166" i="5"/>
  <c r="F166" i="5"/>
  <c r="E166" i="5"/>
  <c r="D166" i="5"/>
  <c r="C166" i="5"/>
  <c r="B166" i="5"/>
  <c r="G165" i="5"/>
  <c r="F165" i="5"/>
  <c r="E165" i="5"/>
  <c r="D165" i="5"/>
  <c r="C165" i="5"/>
  <c r="B165" i="5"/>
  <c r="G164" i="5"/>
  <c r="F164" i="5"/>
  <c r="E164" i="5"/>
  <c r="D164" i="5"/>
  <c r="C164" i="5"/>
  <c r="B164" i="5"/>
  <c r="G163" i="5"/>
  <c r="F163" i="5"/>
  <c r="E163" i="5"/>
  <c r="D163" i="5"/>
  <c r="C163" i="5"/>
  <c r="B163" i="5"/>
  <c r="G162" i="5"/>
  <c r="F162" i="5"/>
  <c r="E162" i="5"/>
  <c r="D162" i="5"/>
  <c r="C162" i="5"/>
  <c r="B162" i="5"/>
  <c r="G161" i="5"/>
  <c r="F161" i="5"/>
  <c r="E161" i="5"/>
  <c r="D161" i="5"/>
  <c r="C161" i="5"/>
  <c r="B161" i="5"/>
  <c r="G160" i="5"/>
  <c r="F160" i="5"/>
  <c r="E160" i="5"/>
  <c r="D160" i="5"/>
  <c r="C160" i="5"/>
  <c r="B160" i="5"/>
  <c r="G159" i="5"/>
  <c r="F159" i="5"/>
  <c r="E159" i="5"/>
  <c r="D159" i="5"/>
  <c r="C159" i="5"/>
  <c r="B159" i="5"/>
  <c r="G158" i="5"/>
  <c r="F158" i="5"/>
  <c r="E158" i="5"/>
  <c r="D158" i="5"/>
  <c r="C158" i="5"/>
  <c r="B158" i="5"/>
  <c r="G157" i="5"/>
  <c r="F157" i="5"/>
  <c r="E157" i="5"/>
  <c r="D157" i="5"/>
  <c r="C157" i="5"/>
  <c r="B157" i="5"/>
  <c r="G156" i="5"/>
  <c r="F156" i="5"/>
  <c r="E156" i="5"/>
  <c r="D156" i="5"/>
  <c r="C156" i="5"/>
  <c r="B156" i="5"/>
  <c r="G155" i="5"/>
  <c r="F155" i="5"/>
  <c r="E155" i="5"/>
  <c r="D155" i="5"/>
  <c r="C155" i="5"/>
  <c r="B155" i="5"/>
  <c r="G154" i="5"/>
  <c r="F154" i="5"/>
  <c r="E154" i="5"/>
  <c r="D154" i="5"/>
  <c r="C154" i="5"/>
  <c r="B154" i="5"/>
  <c r="G153" i="5"/>
  <c r="F153" i="5"/>
  <c r="E153" i="5"/>
  <c r="D153" i="5"/>
  <c r="C153" i="5"/>
  <c r="B153" i="5"/>
  <c r="G152" i="5"/>
  <c r="F152" i="5"/>
  <c r="E152" i="5"/>
  <c r="D152" i="5"/>
  <c r="C152" i="5"/>
  <c r="B152" i="5"/>
  <c r="G151" i="5"/>
  <c r="F151" i="5"/>
  <c r="E151" i="5"/>
  <c r="D151" i="5"/>
  <c r="C151" i="5"/>
  <c r="B151" i="5"/>
  <c r="G150" i="5"/>
  <c r="F150" i="5"/>
  <c r="E150" i="5"/>
  <c r="D150" i="5"/>
  <c r="C150" i="5"/>
  <c r="B150" i="5"/>
  <c r="G149" i="5"/>
  <c r="F149" i="5"/>
  <c r="E149" i="5"/>
  <c r="D149" i="5"/>
  <c r="C149" i="5"/>
  <c r="B149" i="5"/>
  <c r="G148" i="5"/>
  <c r="F148" i="5"/>
  <c r="E148" i="5"/>
  <c r="D148" i="5"/>
  <c r="C148" i="5"/>
  <c r="B148" i="5"/>
  <c r="G147" i="5"/>
  <c r="F147" i="5"/>
  <c r="E147" i="5"/>
  <c r="D147" i="5"/>
  <c r="C147" i="5"/>
  <c r="B147" i="5"/>
  <c r="G146" i="5"/>
  <c r="F146" i="5"/>
  <c r="E146" i="5"/>
  <c r="D146" i="5"/>
  <c r="C146" i="5"/>
  <c r="B146" i="5"/>
  <c r="G145" i="5"/>
  <c r="F145" i="5"/>
  <c r="E145" i="5"/>
  <c r="D145" i="5"/>
  <c r="C145" i="5"/>
  <c r="B145" i="5"/>
  <c r="G144" i="5"/>
  <c r="F144" i="5"/>
  <c r="E144" i="5"/>
  <c r="D144" i="5"/>
  <c r="C144" i="5"/>
  <c r="B144" i="5"/>
  <c r="G143" i="5"/>
  <c r="F143" i="5"/>
  <c r="E143" i="5"/>
  <c r="D143" i="5"/>
  <c r="C143" i="5"/>
  <c r="B143" i="5"/>
  <c r="G142" i="5"/>
  <c r="F142" i="5"/>
  <c r="E142" i="5"/>
  <c r="D142" i="5"/>
  <c r="C142" i="5"/>
  <c r="B142" i="5"/>
  <c r="G141" i="5"/>
  <c r="F141" i="5"/>
  <c r="E141" i="5"/>
  <c r="D141" i="5"/>
  <c r="C141" i="5"/>
  <c r="B141" i="5"/>
  <c r="G140" i="5"/>
  <c r="F140" i="5"/>
  <c r="E140" i="5"/>
  <c r="D140" i="5"/>
  <c r="C140" i="5"/>
  <c r="B140" i="5"/>
  <c r="G139" i="5"/>
  <c r="F139" i="5"/>
  <c r="E139" i="5"/>
  <c r="D139" i="5"/>
  <c r="C139" i="5"/>
  <c r="B139" i="5"/>
  <c r="G138" i="5"/>
  <c r="F138" i="5"/>
  <c r="E138" i="5"/>
  <c r="D138" i="5"/>
  <c r="C138" i="5"/>
  <c r="B138" i="5"/>
  <c r="G137" i="5"/>
  <c r="F137" i="5"/>
  <c r="E137" i="5"/>
  <c r="D137" i="5"/>
  <c r="C137" i="5"/>
  <c r="B137" i="5"/>
  <c r="G136" i="5"/>
  <c r="F136" i="5"/>
  <c r="E136" i="5"/>
  <c r="D136" i="5"/>
  <c r="C136" i="5"/>
  <c r="B136" i="5"/>
  <c r="G135" i="5"/>
  <c r="F135" i="5"/>
  <c r="E135" i="5"/>
  <c r="D135" i="5"/>
  <c r="C135" i="5"/>
  <c r="B135" i="5"/>
  <c r="G134" i="5"/>
  <c r="F134" i="5"/>
  <c r="E134" i="5"/>
  <c r="D134" i="5"/>
  <c r="C134" i="5"/>
  <c r="B134" i="5"/>
  <c r="G133" i="5"/>
  <c r="F133" i="5"/>
  <c r="E133" i="5"/>
  <c r="D133" i="5"/>
  <c r="C133" i="5"/>
  <c r="B133" i="5"/>
  <c r="G132" i="5"/>
  <c r="F132" i="5"/>
  <c r="E132" i="5"/>
  <c r="D132" i="5"/>
  <c r="C132" i="5"/>
  <c r="B132" i="5"/>
  <c r="G131" i="5"/>
  <c r="F131" i="5"/>
  <c r="E131" i="5"/>
  <c r="D131" i="5"/>
  <c r="C131" i="5"/>
  <c r="B131" i="5"/>
  <c r="G130" i="5"/>
  <c r="F130" i="5"/>
  <c r="E130" i="5"/>
  <c r="D130" i="5"/>
  <c r="C130" i="5"/>
  <c r="B130" i="5"/>
  <c r="G129" i="5"/>
  <c r="F129" i="5"/>
  <c r="E129" i="5"/>
  <c r="D129" i="5"/>
  <c r="C129" i="5"/>
  <c r="B129" i="5"/>
  <c r="G128" i="5"/>
  <c r="F128" i="5"/>
  <c r="E128" i="5"/>
  <c r="D128" i="5"/>
  <c r="C128" i="5"/>
  <c r="B128" i="5"/>
  <c r="G127" i="5"/>
  <c r="F127" i="5"/>
  <c r="E127" i="5"/>
  <c r="D127" i="5"/>
  <c r="C127" i="5"/>
  <c r="B127" i="5"/>
  <c r="G126" i="5"/>
  <c r="F126" i="5"/>
  <c r="E126" i="5"/>
  <c r="D126" i="5"/>
  <c r="C126" i="5"/>
  <c r="B126" i="5"/>
  <c r="G125" i="5"/>
  <c r="F125" i="5"/>
  <c r="E125" i="5"/>
  <c r="D125" i="5"/>
  <c r="C125" i="5"/>
  <c r="B125" i="5"/>
  <c r="G124" i="5"/>
  <c r="F124" i="5"/>
  <c r="E124" i="5"/>
  <c r="D124" i="5"/>
  <c r="C124" i="5"/>
  <c r="B124" i="5"/>
  <c r="G123" i="5"/>
  <c r="F123" i="5"/>
  <c r="E123" i="5"/>
  <c r="D123" i="5"/>
  <c r="C123" i="5"/>
  <c r="B123" i="5"/>
  <c r="G122" i="5"/>
  <c r="F122" i="5"/>
  <c r="E122" i="5"/>
  <c r="D122" i="5"/>
  <c r="C122" i="5"/>
  <c r="B122" i="5"/>
  <c r="G121" i="5"/>
  <c r="F121" i="5"/>
  <c r="E121" i="5"/>
  <c r="D121" i="5"/>
  <c r="C121" i="5"/>
  <c r="B121" i="5"/>
  <c r="G120" i="5"/>
  <c r="F120" i="5"/>
  <c r="E120" i="5"/>
  <c r="D120" i="5"/>
  <c r="C120" i="5"/>
  <c r="B120" i="5"/>
  <c r="G119" i="5"/>
  <c r="F119" i="5"/>
  <c r="E119" i="5"/>
  <c r="D119" i="5"/>
  <c r="C119" i="5"/>
  <c r="B119" i="5"/>
  <c r="G118" i="5"/>
  <c r="F118" i="5"/>
  <c r="E118" i="5"/>
  <c r="D118" i="5"/>
  <c r="C118" i="5"/>
  <c r="B118" i="5"/>
  <c r="G117" i="5"/>
  <c r="F117" i="5"/>
  <c r="E117" i="5"/>
  <c r="D117" i="5"/>
  <c r="C117" i="5"/>
  <c r="B117" i="5"/>
  <c r="G116" i="5"/>
  <c r="F116" i="5"/>
  <c r="E116" i="5"/>
  <c r="D116" i="5"/>
  <c r="C116" i="5"/>
  <c r="B116" i="5"/>
  <c r="G115" i="5"/>
  <c r="F115" i="5"/>
  <c r="E115" i="5"/>
  <c r="D115" i="5"/>
  <c r="C115" i="5"/>
  <c r="B115" i="5"/>
  <c r="G114" i="5"/>
  <c r="F114" i="5"/>
  <c r="E114" i="5"/>
  <c r="D114" i="5"/>
  <c r="C114" i="5"/>
  <c r="B114" i="5"/>
  <c r="G113" i="5"/>
  <c r="F113" i="5"/>
  <c r="E113" i="5"/>
  <c r="D113" i="5"/>
  <c r="C113" i="5"/>
  <c r="B113" i="5"/>
  <c r="G112" i="5"/>
  <c r="F112" i="5"/>
  <c r="E112" i="5"/>
  <c r="D112" i="5"/>
  <c r="C112" i="5"/>
  <c r="B112" i="5"/>
  <c r="G111" i="5"/>
  <c r="F111" i="5"/>
  <c r="E111" i="5"/>
  <c r="D111" i="5"/>
  <c r="C111" i="5"/>
  <c r="B111" i="5"/>
  <c r="G110" i="5"/>
  <c r="F110" i="5"/>
  <c r="E110" i="5"/>
  <c r="D110" i="5"/>
  <c r="C110" i="5"/>
  <c r="B110" i="5"/>
  <c r="G109" i="5"/>
  <c r="F109" i="5"/>
  <c r="E109" i="5"/>
  <c r="D109" i="5"/>
  <c r="C109" i="5"/>
  <c r="B109" i="5"/>
  <c r="G108" i="5"/>
  <c r="F108" i="5"/>
  <c r="E108" i="5"/>
  <c r="D108" i="5"/>
  <c r="C108" i="5"/>
  <c r="B108" i="5"/>
  <c r="G107" i="5"/>
  <c r="F107" i="5"/>
  <c r="E107" i="5"/>
  <c r="D107" i="5"/>
  <c r="C107" i="5"/>
  <c r="B107" i="5"/>
  <c r="G106" i="5"/>
  <c r="F106" i="5"/>
  <c r="E106" i="5"/>
  <c r="D106" i="5"/>
  <c r="C106" i="5"/>
  <c r="B106" i="5"/>
  <c r="G105" i="5"/>
  <c r="F105" i="5"/>
  <c r="E105" i="5"/>
  <c r="D105" i="5"/>
  <c r="C105" i="5"/>
  <c r="B105" i="5"/>
  <c r="G104" i="5"/>
  <c r="F104" i="5"/>
  <c r="E104" i="5"/>
  <c r="D104" i="5"/>
  <c r="C104" i="5"/>
  <c r="B104" i="5"/>
  <c r="G103" i="5"/>
  <c r="F103" i="5"/>
  <c r="E103" i="5"/>
  <c r="D103" i="5"/>
  <c r="C103" i="5"/>
  <c r="B103" i="5"/>
  <c r="G102" i="5"/>
  <c r="F102" i="5"/>
  <c r="E102" i="5"/>
  <c r="D102" i="5"/>
  <c r="C102" i="5"/>
  <c r="B102" i="5"/>
  <c r="G101" i="5"/>
  <c r="F101" i="5"/>
  <c r="E101" i="5"/>
  <c r="D101" i="5"/>
  <c r="C101" i="5"/>
  <c r="B101" i="5"/>
  <c r="G100" i="5"/>
  <c r="F100" i="5"/>
  <c r="E100" i="5"/>
  <c r="D100" i="5"/>
  <c r="C100" i="5"/>
  <c r="B100" i="5"/>
  <c r="G99" i="5"/>
  <c r="F99" i="5"/>
  <c r="E99" i="5"/>
  <c r="D99" i="5"/>
  <c r="C99" i="5"/>
  <c r="B99" i="5"/>
  <c r="G98" i="5"/>
  <c r="F98" i="5"/>
  <c r="E98" i="5"/>
  <c r="D98" i="5"/>
  <c r="C98" i="5"/>
  <c r="B98" i="5"/>
  <c r="G97" i="5"/>
  <c r="F97" i="5"/>
  <c r="E97" i="5"/>
  <c r="D97" i="5"/>
  <c r="C97" i="5"/>
  <c r="B97" i="5"/>
  <c r="G96" i="5"/>
  <c r="F96" i="5"/>
  <c r="E96" i="5"/>
  <c r="D96" i="5"/>
  <c r="C96" i="5"/>
  <c r="B96" i="5"/>
  <c r="G95" i="5"/>
  <c r="F95" i="5"/>
  <c r="E95" i="5"/>
  <c r="D95" i="5"/>
  <c r="C95" i="5"/>
  <c r="B95" i="5"/>
  <c r="G94" i="5"/>
  <c r="F94" i="5"/>
  <c r="E94" i="5"/>
  <c r="D94" i="5"/>
  <c r="C94" i="5"/>
  <c r="B94" i="5"/>
  <c r="G93" i="5"/>
  <c r="F93" i="5"/>
  <c r="E93" i="5"/>
  <c r="D93" i="5"/>
  <c r="C93" i="5"/>
  <c r="B93" i="5"/>
  <c r="G92" i="5"/>
  <c r="F92" i="5"/>
  <c r="E92" i="5"/>
  <c r="D92" i="5"/>
  <c r="C92" i="5"/>
  <c r="B92" i="5"/>
  <c r="G91" i="5"/>
  <c r="F91" i="5"/>
  <c r="E91" i="5"/>
  <c r="D91" i="5"/>
  <c r="C91" i="5"/>
  <c r="B91" i="5"/>
  <c r="G90" i="5"/>
  <c r="F90" i="5"/>
  <c r="E90" i="5"/>
  <c r="D90" i="5"/>
  <c r="C90" i="5"/>
  <c r="B90" i="5"/>
  <c r="G89" i="5"/>
  <c r="F89" i="5"/>
  <c r="E89" i="5"/>
  <c r="D89" i="5"/>
  <c r="C89" i="5"/>
  <c r="B89" i="5"/>
  <c r="G88" i="5"/>
  <c r="F88" i="5"/>
  <c r="E88" i="5"/>
  <c r="D88" i="5"/>
  <c r="C88" i="5"/>
  <c r="B88" i="5"/>
  <c r="G87" i="5"/>
  <c r="F87" i="5"/>
  <c r="E87" i="5"/>
  <c r="D87" i="5"/>
  <c r="C87" i="5"/>
  <c r="B87" i="5"/>
  <c r="G86" i="5"/>
  <c r="F86" i="5"/>
  <c r="E86" i="5"/>
  <c r="D86" i="5"/>
  <c r="C86" i="5"/>
  <c r="B86" i="5"/>
  <c r="G85" i="5"/>
  <c r="F85" i="5"/>
  <c r="E85" i="5"/>
  <c r="D85" i="5"/>
  <c r="C85" i="5"/>
  <c r="B85" i="5"/>
  <c r="G84" i="5"/>
  <c r="F84" i="5"/>
  <c r="E84" i="5"/>
  <c r="D84" i="5"/>
  <c r="C84" i="5"/>
  <c r="B84" i="5"/>
  <c r="G83" i="5"/>
  <c r="F83" i="5"/>
  <c r="E83" i="5"/>
  <c r="D83" i="5"/>
  <c r="C83" i="5"/>
  <c r="B83" i="5"/>
  <c r="G82" i="5"/>
  <c r="F82" i="5"/>
  <c r="E82" i="5"/>
  <c r="D82" i="5"/>
  <c r="C82" i="5"/>
  <c r="B82" i="5"/>
  <c r="G81" i="5"/>
  <c r="F81" i="5"/>
  <c r="E81" i="5"/>
  <c r="D81" i="5"/>
  <c r="C81" i="5"/>
  <c r="B81" i="5"/>
  <c r="G80" i="5"/>
  <c r="F80" i="5"/>
  <c r="E80" i="5"/>
  <c r="D80" i="5"/>
  <c r="C80" i="5"/>
  <c r="B80" i="5"/>
  <c r="G79" i="5"/>
  <c r="F79" i="5"/>
  <c r="E79" i="5"/>
  <c r="D79" i="5"/>
  <c r="C79" i="5"/>
  <c r="B79" i="5"/>
  <c r="G78" i="5"/>
  <c r="F78" i="5"/>
  <c r="E78" i="5"/>
  <c r="D78" i="5"/>
  <c r="C78" i="5"/>
  <c r="B78" i="5"/>
  <c r="G77" i="5"/>
  <c r="F77" i="5"/>
  <c r="E77" i="5"/>
  <c r="D77" i="5"/>
  <c r="C77" i="5"/>
  <c r="B77" i="5"/>
  <c r="G76" i="5"/>
  <c r="F76" i="5"/>
  <c r="E76" i="5"/>
  <c r="D76" i="5"/>
  <c r="C76" i="5"/>
  <c r="B76" i="5"/>
  <c r="G75" i="5"/>
  <c r="F75" i="5"/>
  <c r="E75" i="5"/>
  <c r="D75" i="5"/>
  <c r="C75" i="5"/>
  <c r="B75" i="5"/>
  <c r="G74" i="5"/>
  <c r="F74" i="5"/>
  <c r="E74" i="5"/>
  <c r="D74" i="5"/>
  <c r="C74" i="5"/>
  <c r="B74" i="5"/>
  <c r="G73" i="5"/>
  <c r="F73" i="5"/>
  <c r="E73" i="5"/>
  <c r="D73" i="5"/>
  <c r="C73" i="5"/>
  <c r="B73" i="5"/>
  <c r="G72" i="5"/>
  <c r="F72" i="5"/>
  <c r="E72" i="5"/>
  <c r="D72" i="5"/>
  <c r="C72" i="5"/>
  <c r="B72" i="5"/>
  <c r="G71" i="5"/>
  <c r="F71" i="5"/>
  <c r="E71" i="5"/>
  <c r="D71" i="5"/>
  <c r="C71" i="5"/>
  <c r="B71" i="5"/>
  <c r="G70" i="5"/>
  <c r="F70" i="5"/>
  <c r="E70" i="5"/>
  <c r="D70" i="5"/>
  <c r="C70" i="5"/>
  <c r="B70" i="5"/>
  <c r="G69" i="5"/>
  <c r="F69" i="5"/>
  <c r="E69" i="5"/>
  <c r="D69" i="5"/>
  <c r="C69" i="5"/>
  <c r="B69" i="5"/>
  <c r="G68" i="5"/>
  <c r="F68" i="5"/>
  <c r="E68" i="5"/>
  <c r="D68" i="5"/>
  <c r="C68" i="5"/>
  <c r="B68" i="5"/>
  <c r="G67" i="5"/>
  <c r="F67" i="5"/>
  <c r="E67" i="5"/>
  <c r="D67" i="5"/>
  <c r="C67" i="5"/>
  <c r="B67" i="5"/>
  <c r="G66" i="5"/>
  <c r="F66" i="5"/>
  <c r="E66" i="5"/>
  <c r="D66" i="5"/>
  <c r="C66" i="5"/>
  <c r="B66" i="5"/>
  <c r="G65" i="5"/>
  <c r="F65" i="5"/>
  <c r="E65" i="5"/>
  <c r="D65" i="5"/>
  <c r="C65" i="5"/>
  <c r="B65" i="5"/>
  <c r="G64" i="5"/>
  <c r="F64" i="5"/>
  <c r="E64" i="5"/>
  <c r="D64" i="5"/>
  <c r="C64" i="5"/>
  <c r="B64" i="5"/>
  <c r="G63" i="5"/>
  <c r="F63" i="5"/>
  <c r="E63" i="5"/>
  <c r="D63" i="5"/>
  <c r="C63" i="5"/>
  <c r="B63" i="5"/>
  <c r="G62" i="5"/>
  <c r="F62" i="5"/>
  <c r="E62" i="5"/>
  <c r="D62" i="5"/>
  <c r="C62" i="5"/>
  <c r="B62" i="5"/>
  <c r="G61" i="5"/>
  <c r="F61" i="5"/>
  <c r="E61" i="5"/>
  <c r="D61" i="5"/>
  <c r="C61" i="5"/>
  <c r="B61" i="5"/>
  <c r="G60" i="5"/>
  <c r="F60" i="5"/>
  <c r="E60" i="5"/>
  <c r="D60" i="5"/>
  <c r="C60" i="5"/>
  <c r="B60" i="5"/>
  <c r="G59" i="5"/>
  <c r="F59" i="5"/>
  <c r="E59" i="5"/>
  <c r="D59" i="5"/>
  <c r="C59" i="5"/>
  <c r="B59" i="5"/>
  <c r="G58" i="5"/>
  <c r="F58" i="5"/>
  <c r="E58" i="5"/>
  <c r="D58" i="5"/>
  <c r="C58" i="5"/>
  <c r="B58" i="5"/>
  <c r="G57" i="5"/>
  <c r="F57" i="5"/>
  <c r="E57" i="5"/>
  <c r="D57" i="5"/>
  <c r="C57" i="5"/>
  <c r="B57" i="5"/>
  <c r="G56" i="5"/>
  <c r="F56" i="5"/>
  <c r="E56" i="5"/>
  <c r="D56" i="5"/>
  <c r="C56" i="5"/>
  <c r="B56" i="5"/>
  <c r="G55" i="5"/>
  <c r="F55" i="5"/>
  <c r="E55" i="5"/>
  <c r="D55" i="5"/>
  <c r="C55" i="5"/>
  <c r="B55" i="5"/>
  <c r="G54" i="5"/>
  <c r="F54" i="5"/>
  <c r="E54" i="5"/>
  <c r="D54" i="5"/>
  <c r="C54" i="5"/>
  <c r="B54" i="5"/>
  <c r="G53" i="5"/>
  <c r="F53" i="5"/>
  <c r="E53" i="5"/>
  <c r="D53" i="5"/>
  <c r="C53" i="5"/>
  <c r="B53" i="5"/>
  <c r="G52" i="5"/>
  <c r="F52" i="5"/>
  <c r="E52" i="5"/>
  <c r="D52" i="5"/>
  <c r="C52" i="5"/>
  <c r="B52" i="5"/>
  <c r="G51" i="5"/>
  <c r="F51" i="5"/>
  <c r="E51" i="5"/>
  <c r="D51" i="5"/>
  <c r="C51" i="5"/>
  <c r="B51" i="5"/>
  <c r="G50" i="5"/>
  <c r="F50" i="5"/>
  <c r="E50" i="5"/>
  <c r="D50" i="5"/>
  <c r="C50" i="5"/>
  <c r="B50" i="5"/>
  <c r="G49" i="5"/>
  <c r="F49" i="5"/>
  <c r="E49" i="5"/>
  <c r="D49" i="5"/>
  <c r="C49" i="5"/>
  <c r="B49" i="5"/>
  <c r="G48" i="5"/>
  <c r="F48" i="5"/>
  <c r="E48" i="5"/>
  <c r="D48" i="5"/>
  <c r="C48" i="5"/>
  <c r="B48" i="5"/>
  <c r="G47" i="5"/>
  <c r="F47" i="5"/>
  <c r="E47" i="5"/>
  <c r="D47" i="5"/>
  <c r="C47" i="5"/>
  <c r="B47" i="5"/>
  <c r="G46" i="5"/>
  <c r="F46" i="5"/>
  <c r="E46" i="5"/>
  <c r="D46" i="5"/>
  <c r="C46" i="5"/>
  <c r="B46" i="5"/>
  <c r="G45" i="5"/>
  <c r="F45" i="5"/>
  <c r="E45" i="5"/>
  <c r="D45" i="5"/>
  <c r="C45" i="5"/>
  <c r="B45" i="5"/>
  <c r="G44" i="5"/>
  <c r="F44" i="5"/>
  <c r="E44" i="5"/>
  <c r="D44" i="5"/>
  <c r="C44" i="5"/>
  <c r="B44" i="5"/>
  <c r="G43" i="5"/>
  <c r="F43" i="5"/>
  <c r="E43" i="5"/>
  <c r="D43" i="5"/>
  <c r="C43" i="5"/>
  <c r="B43" i="5"/>
  <c r="G42" i="5"/>
  <c r="F42" i="5"/>
  <c r="E42" i="5"/>
  <c r="D42" i="5"/>
  <c r="C42" i="5"/>
  <c r="B42" i="5"/>
  <c r="G41" i="5"/>
  <c r="F41" i="5"/>
  <c r="E41" i="5"/>
  <c r="D41" i="5"/>
  <c r="C41" i="5"/>
  <c r="B41" i="5"/>
  <c r="G40" i="5"/>
  <c r="F40" i="5"/>
  <c r="E40" i="5"/>
  <c r="D40" i="5"/>
  <c r="C40" i="5"/>
  <c r="B40" i="5"/>
  <c r="G39" i="5"/>
  <c r="F39" i="5"/>
  <c r="E39" i="5"/>
  <c r="D39" i="5"/>
  <c r="C39" i="5"/>
  <c r="B39" i="5"/>
  <c r="G38" i="5"/>
  <c r="F38" i="5"/>
  <c r="E38" i="5"/>
  <c r="D38" i="5"/>
  <c r="C38" i="5"/>
  <c r="B38" i="5"/>
  <c r="G37" i="5"/>
  <c r="F37" i="5"/>
  <c r="E37" i="5"/>
  <c r="D37" i="5"/>
  <c r="C37" i="5"/>
  <c r="B37" i="5"/>
  <c r="G36" i="5"/>
  <c r="F36" i="5"/>
  <c r="E36" i="5"/>
  <c r="D36" i="5"/>
  <c r="C36" i="5"/>
  <c r="B36" i="5"/>
  <c r="G35" i="5"/>
  <c r="F35" i="5"/>
  <c r="E35" i="5"/>
  <c r="D35" i="5"/>
  <c r="C35" i="5"/>
  <c r="B35" i="5"/>
  <c r="G34" i="5"/>
  <c r="F34" i="5"/>
  <c r="E34" i="5"/>
  <c r="D34" i="5"/>
  <c r="C34" i="5"/>
  <c r="B34" i="5"/>
  <c r="G33" i="5"/>
  <c r="F33" i="5"/>
  <c r="E33" i="5"/>
  <c r="D33" i="5"/>
  <c r="C33" i="5"/>
  <c r="B33" i="5"/>
  <c r="G32" i="5"/>
  <c r="F32" i="5"/>
  <c r="E32" i="5"/>
  <c r="D32" i="5"/>
  <c r="C32" i="5"/>
  <c r="B32" i="5"/>
  <c r="G31" i="5"/>
  <c r="F31" i="5"/>
  <c r="E31" i="5"/>
  <c r="D31" i="5"/>
  <c r="C31" i="5"/>
  <c r="B31" i="5"/>
  <c r="G30" i="5"/>
  <c r="F30" i="5"/>
  <c r="E30" i="5"/>
  <c r="D30" i="5"/>
  <c r="C30" i="5"/>
  <c r="B30" i="5"/>
  <c r="G29" i="5"/>
  <c r="F29" i="5"/>
  <c r="E29" i="5"/>
  <c r="D29" i="5"/>
  <c r="C29" i="5"/>
  <c r="B29" i="5"/>
  <c r="G28" i="5"/>
  <c r="F28" i="5"/>
  <c r="E28" i="5"/>
  <c r="D28" i="5"/>
  <c r="C28" i="5"/>
  <c r="B28" i="5"/>
  <c r="G27" i="5"/>
  <c r="F27" i="5"/>
  <c r="E27" i="5"/>
  <c r="D27" i="5"/>
  <c r="C27" i="5"/>
  <c r="B27" i="5"/>
  <c r="G26" i="5"/>
  <c r="F26" i="5"/>
  <c r="E26" i="5"/>
  <c r="D26" i="5"/>
  <c r="C26" i="5"/>
  <c r="B26" i="5"/>
  <c r="G25" i="5"/>
  <c r="F25" i="5"/>
  <c r="E25" i="5"/>
  <c r="D25" i="5"/>
  <c r="C25" i="5"/>
  <c r="B25" i="5"/>
  <c r="G24" i="5"/>
  <c r="F24" i="5"/>
  <c r="E24" i="5"/>
  <c r="D24" i="5"/>
  <c r="C24" i="5"/>
  <c r="B24" i="5"/>
  <c r="G23" i="5"/>
  <c r="F23" i="5"/>
  <c r="E23" i="5"/>
  <c r="D23" i="5"/>
  <c r="C23" i="5"/>
  <c r="B23" i="5"/>
  <c r="G22" i="5"/>
  <c r="F22" i="5"/>
  <c r="E22" i="5"/>
  <c r="D22" i="5"/>
  <c r="C22" i="5"/>
  <c r="B22" i="5"/>
  <c r="G21" i="5"/>
  <c r="F21" i="5"/>
  <c r="E21" i="5"/>
  <c r="D21" i="5"/>
  <c r="C21" i="5"/>
  <c r="B21" i="5"/>
  <c r="G20" i="5"/>
  <c r="F20" i="5"/>
  <c r="E20" i="5"/>
  <c r="D20" i="5"/>
  <c r="C20" i="5"/>
  <c r="B20" i="5"/>
  <c r="G19" i="5"/>
  <c r="F19" i="5"/>
  <c r="E19" i="5"/>
  <c r="D19" i="5"/>
  <c r="C19" i="5"/>
  <c r="B19" i="5"/>
  <c r="G18" i="5"/>
  <c r="F18" i="5"/>
  <c r="E18" i="5"/>
  <c r="D18" i="5"/>
  <c r="C18" i="5"/>
  <c r="B18" i="5"/>
  <c r="G17" i="5"/>
  <c r="F17" i="5"/>
  <c r="E17" i="5"/>
  <c r="D17" i="5"/>
  <c r="C17" i="5"/>
  <c r="B17" i="5"/>
  <c r="G16" i="5"/>
  <c r="F16" i="5"/>
  <c r="E16" i="5"/>
  <c r="D16" i="5"/>
  <c r="C16" i="5"/>
  <c r="B16" i="5"/>
  <c r="G15" i="5"/>
  <c r="F15" i="5"/>
  <c r="E15" i="5"/>
  <c r="D15" i="5"/>
  <c r="C15" i="5"/>
  <c r="B15" i="5"/>
  <c r="G14" i="5"/>
  <c r="F14" i="5"/>
  <c r="E14" i="5"/>
  <c r="D14" i="5"/>
  <c r="C14" i="5"/>
  <c r="B14" i="5"/>
  <c r="G13" i="5"/>
  <c r="F13" i="5"/>
  <c r="E13" i="5"/>
  <c r="D13" i="5"/>
  <c r="C13" i="5"/>
  <c r="B13" i="5"/>
  <c r="G12" i="5"/>
  <c r="F12" i="5"/>
  <c r="E12" i="5"/>
  <c r="D12" i="5"/>
  <c r="C12" i="5"/>
  <c r="B12" i="5"/>
  <c r="G11" i="5"/>
  <c r="F11" i="5"/>
  <c r="E11" i="5"/>
  <c r="D11" i="5"/>
  <c r="C11" i="5"/>
  <c r="B11" i="5"/>
  <c r="G10" i="5"/>
  <c r="F10" i="5"/>
  <c r="E10" i="5"/>
  <c r="D10" i="5"/>
  <c r="C10" i="5"/>
  <c r="B10" i="5"/>
  <c r="G9" i="5"/>
  <c r="F9" i="5"/>
  <c r="E9" i="5"/>
  <c r="D9" i="5"/>
  <c r="C9" i="5"/>
  <c r="B9" i="5"/>
  <c r="G8" i="5"/>
  <c r="F8" i="5"/>
  <c r="E8" i="5"/>
  <c r="D8" i="5"/>
  <c r="C8" i="5"/>
  <c r="B8" i="5"/>
  <c r="G7" i="5"/>
  <c r="F7" i="5"/>
  <c r="E7" i="5"/>
  <c r="D7" i="5"/>
  <c r="C7" i="5"/>
  <c r="B7" i="5"/>
  <c r="G6" i="5"/>
  <c r="F6" i="5"/>
  <c r="E6" i="5"/>
  <c r="D6" i="5"/>
  <c r="C6" i="5"/>
  <c r="B6" i="5"/>
  <c r="G5" i="5"/>
  <c r="F5" i="5"/>
  <c r="E5" i="5"/>
  <c r="D5" i="5"/>
  <c r="C5" i="5"/>
  <c r="B5" i="5"/>
  <c r="G4" i="5"/>
  <c r="F4" i="5"/>
  <c r="E4" i="5"/>
  <c r="D4" i="5"/>
  <c r="C4" i="5"/>
  <c r="B4" i="5"/>
  <c r="G3" i="5"/>
  <c r="F3" i="5"/>
  <c r="E3" i="5"/>
  <c r="D3" i="5"/>
  <c r="C3" i="5"/>
  <c r="B3" i="5"/>
  <c r="H2" i="5"/>
  <c r="G2" i="5"/>
  <c r="F2" i="5"/>
  <c r="E2" i="5"/>
  <c r="D2" i="5"/>
  <c r="C2" i="5"/>
  <c r="B2" i="5"/>
  <c r="C58" i="6" l="1"/>
  <c r="C57" i="6"/>
  <c r="C59" i="6"/>
  <c r="M4" i="9"/>
  <c r="M3" i="9"/>
  <c r="M5" i="9"/>
  <c r="D8" i="15"/>
  <c r="G7" i="15"/>
  <c r="H6" i="15"/>
  <c r="G5" i="15"/>
  <c r="G6" i="15"/>
  <c r="D9" i="15" l="1"/>
  <c r="G8" i="15"/>
  <c r="H7" i="15"/>
  <c r="I6" i="15"/>
  <c r="S6" i="15" s="1"/>
  <c r="M7" i="9"/>
  <c r="H8" i="15" l="1"/>
  <c r="I7" i="15"/>
  <c r="S7" i="15" s="1"/>
  <c r="G9" i="15"/>
  <c r="D10" i="15"/>
  <c r="G10" i="15" l="1"/>
  <c r="D11" i="15"/>
  <c r="H9" i="15"/>
  <c r="I8" i="15"/>
  <c r="S8" i="15" s="1"/>
  <c r="H10" i="15" l="1"/>
  <c r="I9" i="15"/>
  <c r="S9" i="15" s="1"/>
  <c r="D12" i="15"/>
  <c r="G11" i="15"/>
  <c r="D13" i="15" l="1"/>
  <c r="G12" i="15"/>
  <c r="H11" i="15"/>
  <c r="I10" i="15"/>
  <c r="S10" i="15" s="1"/>
  <c r="G13" i="15" l="1"/>
  <c r="D14" i="15"/>
  <c r="H12" i="15"/>
  <c r="I11" i="15"/>
  <c r="S11" i="15" s="1"/>
  <c r="H13" i="15" l="1"/>
  <c r="I12" i="15"/>
  <c r="S12" i="15" s="1"/>
  <c r="G14" i="15"/>
  <c r="D15" i="15"/>
  <c r="H14" i="15" l="1"/>
  <c r="I13" i="15"/>
  <c r="S13" i="15" s="1"/>
  <c r="D16" i="15"/>
  <c r="G15" i="15"/>
  <c r="H15" i="15" l="1"/>
  <c r="I14" i="15"/>
  <c r="S14" i="15" s="1"/>
  <c r="D17" i="15"/>
  <c r="G16" i="15"/>
  <c r="H16" i="15" l="1"/>
  <c r="I15" i="15"/>
  <c r="S15" i="15" s="1"/>
  <c r="G17" i="15"/>
  <c r="D18" i="15"/>
  <c r="H17" i="15" l="1"/>
  <c r="I16" i="15"/>
  <c r="S16" i="15" s="1"/>
  <c r="G18" i="15"/>
  <c r="D19" i="15"/>
  <c r="H18" i="15" l="1"/>
  <c r="I17" i="15"/>
  <c r="S17" i="15" s="1"/>
  <c r="D20" i="15"/>
  <c r="G19" i="15"/>
  <c r="H19" i="15" l="1"/>
  <c r="I18" i="15"/>
  <c r="S18" i="15" s="1"/>
  <c r="D21" i="15"/>
  <c r="G20" i="15"/>
  <c r="H20" i="15" l="1"/>
  <c r="I19" i="15"/>
  <c r="S19" i="15" s="1"/>
  <c r="G21" i="15"/>
  <c r="D22" i="15"/>
  <c r="H21" i="15" l="1"/>
  <c r="I20" i="15"/>
  <c r="S20" i="15" s="1"/>
  <c r="G22" i="15"/>
  <c r="D23" i="15"/>
  <c r="H22" i="15" l="1"/>
  <c r="I21" i="15"/>
  <c r="S21" i="15" s="1"/>
  <c r="D24" i="15"/>
  <c r="G23" i="15"/>
  <c r="H23" i="15" l="1"/>
  <c r="I22" i="15"/>
  <c r="S22" i="15" s="1"/>
  <c r="D25" i="15"/>
  <c r="G24" i="15"/>
  <c r="H24" i="15" l="1"/>
  <c r="I23" i="15"/>
  <c r="S23" i="15" s="1"/>
  <c r="G25" i="15"/>
  <c r="D26" i="15"/>
  <c r="H25" i="15" l="1"/>
  <c r="I24" i="15"/>
  <c r="S24" i="15" s="1"/>
  <c r="G26" i="15"/>
  <c r="D27" i="15"/>
  <c r="H26" i="15" l="1"/>
  <c r="I25" i="15"/>
  <c r="S25" i="15" s="1"/>
  <c r="D28" i="15"/>
  <c r="G27" i="15"/>
  <c r="H27" i="15" l="1"/>
  <c r="I26" i="15"/>
  <c r="S26" i="15" s="1"/>
  <c r="D29" i="15"/>
  <c r="G28" i="15"/>
  <c r="G29" i="15" l="1"/>
  <c r="D30" i="15"/>
  <c r="H28" i="15"/>
  <c r="I27" i="15"/>
  <c r="S27" i="15" s="1"/>
  <c r="H29" i="15" l="1"/>
  <c r="I28" i="15"/>
  <c r="S28" i="15" s="1"/>
  <c r="G30" i="15"/>
  <c r="D31" i="15"/>
  <c r="H30" i="15" l="1"/>
  <c r="I29" i="15"/>
  <c r="S29" i="15" s="1"/>
  <c r="D32" i="15"/>
  <c r="G31" i="15"/>
  <c r="H31" i="15" l="1"/>
  <c r="I30" i="15"/>
  <c r="S30" i="15" s="1"/>
  <c r="D33" i="15"/>
  <c r="G32" i="15"/>
  <c r="H32" i="15" l="1"/>
  <c r="I31" i="15"/>
  <c r="S31" i="15" s="1"/>
  <c r="G33" i="15"/>
  <c r="D34" i="15"/>
  <c r="H33" i="15" l="1"/>
  <c r="I32" i="15"/>
  <c r="S32" i="15" s="1"/>
  <c r="G34" i="15"/>
  <c r="D35" i="15"/>
  <c r="H34" i="15" l="1"/>
  <c r="I33" i="15"/>
  <c r="S33" i="15" s="1"/>
  <c r="D36" i="15"/>
  <c r="G35" i="15"/>
  <c r="H35" i="15" l="1"/>
  <c r="I34" i="15"/>
  <c r="S34" i="15" s="1"/>
  <c r="D37" i="15"/>
  <c r="G36" i="15"/>
  <c r="H36" i="15" l="1"/>
  <c r="I35" i="15"/>
  <c r="S35" i="15" s="1"/>
  <c r="G37" i="15"/>
  <c r="D38" i="15"/>
  <c r="H37" i="15" l="1"/>
  <c r="I36" i="15"/>
  <c r="S36" i="15" s="1"/>
  <c r="G38" i="15"/>
  <c r="D39" i="15"/>
  <c r="H38" i="15" l="1"/>
  <c r="I37" i="15"/>
  <c r="S37" i="15" s="1"/>
  <c r="D40" i="15"/>
  <c r="G39" i="15"/>
  <c r="H39" i="15" l="1"/>
  <c r="I38" i="15"/>
  <c r="S38" i="15" s="1"/>
  <c r="D41" i="15"/>
  <c r="G40" i="15"/>
  <c r="H40" i="15" l="1"/>
  <c r="I39" i="15"/>
  <c r="S39" i="15" s="1"/>
  <c r="G41" i="15"/>
  <c r="D42" i="15"/>
  <c r="H41" i="15" l="1"/>
  <c r="I40" i="15"/>
  <c r="S40" i="15" s="1"/>
  <c r="G42" i="15"/>
  <c r="D43" i="15"/>
  <c r="H42" i="15" l="1"/>
  <c r="I41" i="15"/>
  <c r="S41" i="15" s="1"/>
  <c r="D44" i="15"/>
  <c r="G43" i="15"/>
  <c r="H43" i="15" l="1"/>
  <c r="I42" i="15"/>
  <c r="S42" i="15" s="1"/>
  <c r="D45" i="15"/>
  <c r="G44" i="15"/>
  <c r="H44" i="15" l="1"/>
  <c r="I43" i="15"/>
  <c r="S43" i="15" s="1"/>
  <c r="G45" i="15"/>
  <c r="D46" i="15"/>
  <c r="H45" i="15" l="1"/>
  <c r="I44" i="15"/>
  <c r="S44" i="15" s="1"/>
  <c r="G46" i="15"/>
  <c r="D47" i="15"/>
  <c r="H46" i="15" l="1"/>
  <c r="I45" i="15"/>
  <c r="S45" i="15" s="1"/>
  <c r="D48" i="15"/>
  <c r="G47" i="15"/>
  <c r="H47" i="15" l="1"/>
  <c r="I46" i="15"/>
  <c r="S46" i="15" s="1"/>
  <c r="D49" i="15"/>
  <c r="G48" i="15"/>
  <c r="H48" i="15" l="1"/>
  <c r="I47" i="15"/>
  <c r="S47" i="15" s="1"/>
  <c r="G49" i="15"/>
  <c r="D50" i="15"/>
  <c r="H49" i="15" l="1"/>
  <c r="I48" i="15"/>
  <c r="S48" i="15" s="1"/>
  <c r="G50" i="15"/>
  <c r="D51" i="15"/>
  <c r="H50" i="15" l="1"/>
  <c r="I49" i="15"/>
  <c r="S49" i="15" s="1"/>
  <c r="D52" i="15"/>
  <c r="G51" i="15"/>
  <c r="H51" i="15" l="1"/>
  <c r="I50" i="15"/>
  <c r="S50" i="15" s="1"/>
  <c r="D53" i="15"/>
  <c r="G52" i="15"/>
  <c r="G53" i="15" l="1"/>
  <c r="D54" i="15"/>
  <c r="H52" i="15"/>
  <c r="I51" i="15"/>
  <c r="S51" i="15" s="1"/>
  <c r="H53" i="15" l="1"/>
  <c r="I52" i="15"/>
  <c r="S52" i="15" s="1"/>
  <c r="G54" i="15"/>
  <c r="D55" i="15"/>
  <c r="H54" i="15" l="1"/>
  <c r="I53" i="15"/>
  <c r="S53" i="15" s="1"/>
  <c r="D56" i="15"/>
  <c r="G55" i="15"/>
  <c r="H55" i="15" l="1"/>
  <c r="I54" i="15"/>
  <c r="S54" i="15" s="1"/>
  <c r="D57" i="15"/>
  <c r="G56" i="15"/>
  <c r="H56" i="15" l="1"/>
  <c r="I55" i="15"/>
  <c r="S55" i="15" s="1"/>
  <c r="G57" i="15"/>
  <c r="D58" i="15"/>
  <c r="H57" i="15" l="1"/>
  <c r="I56" i="15"/>
  <c r="S56" i="15" s="1"/>
  <c r="G58" i="15"/>
  <c r="D59" i="15"/>
  <c r="H58" i="15" l="1"/>
  <c r="I57" i="15"/>
  <c r="S57" i="15" s="1"/>
  <c r="D60" i="15"/>
  <c r="G59" i="15"/>
  <c r="H59" i="15" l="1"/>
  <c r="I58" i="15"/>
  <c r="S58" i="15" s="1"/>
  <c r="D61" i="15"/>
  <c r="G60" i="15"/>
  <c r="H60" i="15" l="1"/>
  <c r="I59" i="15"/>
  <c r="S59" i="15" s="1"/>
  <c r="G61" i="15"/>
  <c r="D62" i="15"/>
  <c r="H61" i="15" l="1"/>
  <c r="I60" i="15"/>
  <c r="S60" i="15" s="1"/>
  <c r="G62" i="15"/>
  <c r="D63" i="15"/>
  <c r="H62" i="15" l="1"/>
  <c r="I61" i="15"/>
  <c r="S61" i="15" s="1"/>
  <c r="D64" i="15"/>
  <c r="G63" i="15"/>
  <c r="H63" i="15" l="1"/>
  <c r="I62" i="15"/>
  <c r="S62" i="15" s="1"/>
  <c r="D65" i="15"/>
  <c r="G64" i="15"/>
  <c r="H64" i="15" l="1"/>
  <c r="I63" i="15"/>
  <c r="S63" i="15" s="1"/>
  <c r="G65" i="15"/>
  <c r="D66" i="15"/>
  <c r="H65" i="15" l="1"/>
  <c r="I64" i="15"/>
  <c r="S64" i="15" s="1"/>
  <c r="G66" i="15"/>
  <c r="D67" i="15"/>
  <c r="H66" i="15" l="1"/>
  <c r="I65" i="15"/>
  <c r="S65" i="15" s="1"/>
  <c r="D68" i="15"/>
  <c r="G67" i="15"/>
  <c r="H67" i="15" l="1"/>
  <c r="I66" i="15"/>
  <c r="S66" i="15" s="1"/>
  <c r="D69" i="15"/>
  <c r="G68" i="15"/>
  <c r="H68" i="15" l="1"/>
  <c r="I67" i="15"/>
  <c r="S67" i="15" s="1"/>
  <c r="G69" i="15"/>
  <c r="D70" i="15"/>
  <c r="H69" i="15" l="1"/>
  <c r="I68" i="15"/>
  <c r="S68" i="15" s="1"/>
  <c r="G70" i="15"/>
  <c r="D71" i="15"/>
  <c r="H70" i="15" l="1"/>
  <c r="I69" i="15"/>
  <c r="S69" i="15" s="1"/>
  <c r="D72" i="15"/>
  <c r="G71" i="15"/>
  <c r="H71" i="15" l="1"/>
  <c r="I70" i="15"/>
  <c r="S70" i="15" s="1"/>
  <c r="D73" i="15"/>
  <c r="G72" i="15"/>
  <c r="G73" i="15" l="1"/>
  <c r="D74" i="15"/>
  <c r="H72" i="15"/>
  <c r="I71" i="15"/>
  <c r="S71" i="15" s="1"/>
  <c r="H73" i="15" l="1"/>
  <c r="I72" i="15"/>
  <c r="S72" i="15" s="1"/>
  <c r="G74" i="15"/>
  <c r="D75" i="15"/>
  <c r="H74" i="15" l="1"/>
  <c r="I73" i="15"/>
  <c r="S73" i="15" s="1"/>
  <c r="D76" i="15"/>
  <c r="G75" i="15"/>
  <c r="H75" i="15" l="1"/>
  <c r="I74" i="15"/>
  <c r="S74" i="15" s="1"/>
  <c r="D77" i="15"/>
  <c r="G76" i="15"/>
  <c r="H76" i="15" l="1"/>
  <c r="I75" i="15"/>
  <c r="S75" i="15" s="1"/>
  <c r="G77" i="15"/>
  <c r="D78" i="15"/>
  <c r="H77" i="15" l="1"/>
  <c r="I76" i="15"/>
  <c r="S76" i="15" s="1"/>
  <c r="G78" i="15"/>
  <c r="D79" i="15"/>
  <c r="H78" i="15" l="1"/>
  <c r="I77" i="15"/>
  <c r="S77" i="15" s="1"/>
  <c r="D80" i="15"/>
  <c r="G79" i="15"/>
  <c r="H79" i="15" l="1"/>
  <c r="I78" i="15"/>
  <c r="S78" i="15" s="1"/>
  <c r="D81" i="15"/>
  <c r="G80" i="15"/>
  <c r="H80" i="15" l="1"/>
  <c r="I79" i="15"/>
  <c r="S79" i="15" s="1"/>
  <c r="G81" i="15"/>
  <c r="D82" i="15"/>
  <c r="H81" i="15" l="1"/>
  <c r="I80" i="15"/>
  <c r="S80" i="15" s="1"/>
  <c r="G82" i="15"/>
  <c r="D83" i="15"/>
  <c r="H82" i="15" l="1"/>
  <c r="I81" i="15"/>
  <c r="S81" i="15" s="1"/>
  <c r="D84" i="15"/>
  <c r="G83" i="15"/>
  <c r="H83" i="15" l="1"/>
  <c r="I82" i="15"/>
  <c r="S82" i="15" s="1"/>
  <c r="D85" i="15"/>
  <c r="G84" i="15"/>
  <c r="H84" i="15" l="1"/>
  <c r="I83" i="15"/>
  <c r="S83" i="15" s="1"/>
  <c r="G85" i="15"/>
  <c r="D86" i="15"/>
  <c r="H85" i="15" l="1"/>
  <c r="I84" i="15"/>
  <c r="S84" i="15" s="1"/>
  <c r="G86" i="15"/>
  <c r="D87" i="15"/>
  <c r="H86" i="15" l="1"/>
  <c r="I85" i="15"/>
  <c r="S85" i="15" s="1"/>
  <c r="D88" i="15"/>
  <c r="G87" i="15"/>
  <c r="H87" i="15" l="1"/>
  <c r="I86" i="15"/>
  <c r="S86" i="15" s="1"/>
  <c r="D89" i="15"/>
  <c r="G88" i="15"/>
  <c r="H88" i="15" l="1"/>
  <c r="I87" i="15"/>
  <c r="S87" i="15" s="1"/>
  <c r="G89" i="15"/>
  <c r="D90" i="15"/>
  <c r="H89" i="15" l="1"/>
  <c r="I88" i="15"/>
  <c r="S88" i="15" s="1"/>
  <c r="G90" i="15"/>
  <c r="D91" i="15"/>
  <c r="H90" i="15" l="1"/>
  <c r="I89" i="15"/>
  <c r="S89" i="15" s="1"/>
  <c r="D92" i="15"/>
  <c r="G91" i="15"/>
  <c r="H91" i="15" l="1"/>
  <c r="I90" i="15"/>
  <c r="S90" i="15" s="1"/>
  <c r="D93" i="15"/>
  <c r="G92" i="15"/>
  <c r="H92" i="15" l="1"/>
  <c r="I91" i="15"/>
  <c r="S91" i="15" s="1"/>
  <c r="D94" i="15"/>
  <c r="G93" i="15"/>
  <c r="H93" i="15" l="1"/>
  <c r="I92" i="15"/>
  <c r="S92" i="15" s="1"/>
  <c r="G94" i="15"/>
  <c r="D95" i="15"/>
  <c r="H94" i="15" l="1"/>
  <c r="I93" i="15"/>
  <c r="S93" i="15" s="1"/>
  <c r="G95" i="15"/>
  <c r="D96" i="15"/>
  <c r="H95" i="15" l="1"/>
  <c r="I94" i="15"/>
  <c r="S94" i="15" s="1"/>
  <c r="D97" i="15"/>
  <c r="G96" i="15"/>
  <c r="H96" i="15" l="1"/>
  <c r="I95" i="15"/>
  <c r="S95" i="15" s="1"/>
  <c r="D98" i="15"/>
  <c r="G97" i="15"/>
  <c r="H97" i="15" l="1"/>
  <c r="I96" i="15"/>
  <c r="S96" i="15" s="1"/>
  <c r="G98" i="15"/>
  <c r="D99" i="15"/>
  <c r="H98" i="15" l="1"/>
  <c r="I97" i="15"/>
  <c r="S97" i="15" s="1"/>
  <c r="G99" i="15"/>
  <c r="D100" i="15"/>
  <c r="H99" i="15" l="1"/>
  <c r="I98" i="15"/>
  <c r="S98" i="15" s="1"/>
  <c r="D101" i="15"/>
  <c r="G100" i="15"/>
  <c r="H100" i="15" l="1"/>
  <c r="I99" i="15"/>
  <c r="S99" i="15" s="1"/>
  <c r="D102" i="15"/>
  <c r="G101" i="15"/>
  <c r="H101" i="15" l="1"/>
  <c r="I100" i="15"/>
  <c r="S100" i="15" s="1"/>
  <c r="G102" i="15"/>
  <c r="D103" i="15"/>
  <c r="H102" i="15" l="1"/>
  <c r="I101" i="15"/>
  <c r="S101" i="15" s="1"/>
  <c r="G103" i="15"/>
  <c r="D104" i="15"/>
  <c r="H103" i="15" l="1"/>
  <c r="I102" i="15"/>
  <c r="S102" i="15" s="1"/>
  <c r="D105" i="15"/>
  <c r="G104" i="15"/>
  <c r="H104" i="15" l="1"/>
  <c r="I103" i="15"/>
  <c r="S103" i="15" s="1"/>
  <c r="D106" i="15"/>
  <c r="G105" i="15"/>
  <c r="H105" i="15" l="1"/>
  <c r="I104" i="15"/>
  <c r="S104" i="15" s="1"/>
  <c r="G106" i="15"/>
  <c r="D107" i="15"/>
  <c r="H106" i="15" l="1"/>
  <c r="I105" i="15"/>
  <c r="S105" i="15" s="1"/>
  <c r="D108" i="15"/>
  <c r="G107" i="15"/>
  <c r="H107" i="15" l="1"/>
  <c r="I106" i="15"/>
  <c r="S106" i="15" s="1"/>
  <c r="D109" i="15"/>
  <c r="G108" i="15"/>
  <c r="H108" i="15" l="1"/>
  <c r="I107" i="15"/>
  <c r="S107" i="15" s="1"/>
  <c r="G109" i="15"/>
  <c r="D110" i="15"/>
  <c r="G110" i="15" l="1"/>
  <c r="D111" i="15"/>
  <c r="H109" i="15"/>
  <c r="I108" i="15"/>
  <c r="S108" i="15" s="1"/>
  <c r="H110" i="15" l="1"/>
  <c r="I109" i="15"/>
  <c r="S109" i="15" s="1"/>
  <c r="D112" i="15"/>
  <c r="G111" i="15"/>
  <c r="H111" i="15" l="1"/>
  <c r="I110" i="15"/>
  <c r="S110" i="15" s="1"/>
  <c r="D113" i="15"/>
  <c r="G112" i="15"/>
  <c r="G113" i="15" l="1"/>
  <c r="D114" i="15"/>
  <c r="H112" i="15"/>
  <c r="I111" i="15"/>
  <c r="S111" i="15" s="1"/>
  <c r="H113" i="15" l="1"/>
  <c r="I112" i="15"/>
  <c r="S112" i="15" s="1"/>
  <c r="G114" i="15"/>
  <c r="D115" i="15"/>
  <c r="D116" i="15" l="1"/>
  <c r="G115" i="15"/>
  <c r="H114" i="15"/>
  <c r="I113" i="15"/>
  <c r="S113" i="15" s="1"/>
  <c r="D117" i="15" l="1"/>
  <c r="G116" i="15"/>
  <c r="H115" i="15"/>
  <c r="I114" i="15"/>
  <c r="S114" i="15" s="1"/>
  <c r="G117" i="15" l="1"/>
  <c r="D118" i="15"/>
  <c r="H116" i="15"/>
  <c r="I115" i="15"/>
  <c r="S115" i="15" s="1"/>
  <c r="H117" i="15" l="1"/>
  <c r="I116" i="15"/>
  <c r="S116" i="15" s="1"/>
  <c r="G118" i="15"/>
  <c r="D119" i="15"/>
  <c r="H118" i="15" l="1"/>
  <c r="I117" i="15"/>
  <c r="S117" i="15" s="1"/>
  <c r="D120" i="15"/>
  <c r="G119" i="15"/>
  <c r="H119" i="15" l="1"/>
  <c r="I118" i="15"/>
  <c r="S118" i="15" s="1"/>
  <c r="D121" i="15"/>
  <c r="G120" i="15"/>
  <c r="H120" i="15" l="1"/>
  <c r="I119" i="15"/>
  <c r="S119" i="15" s="1"/>
  <c r="G121" i="15"/>
  <c r="D122" i="15"/>
  <c r="H121" i="15" l="1"/>
  <c r="I120" i="15"/>
  <c r="S120" i="15" s="1"/>
  <c r="G122" i="15"/>
  <c r="D123" i="15"/>
  <c r="H122" i="15" l="1"/>
  <c r="I121" i="15"/>
  <c r="S121" i="15" s="1"/>
  <c r="D124" i="15"/>
  <c r="G123" i="15"/>
  <c r="H123" i="15" l="1"/>
  <c r="I122" i="15"/>
  <c r="S122" i="15" s="1"/>
  <c r="D125" i="15"/>
  <c r="G124" i="15"/>
  <c r="H124" i="15" l="1"/>
  <c r="I123" i="15"/>
  <c r="S123" i="15" s="1"/>
  <c r="G125" i="15"/>
  <c r="D126" i="15"/>
  <c r="H125" i="15" l="1"/>
  <c r="I124" i="15"/>
  <c r="S124" i="15" s="1"/>
  <c r="G126" i="15"/>
  <c r="D127" i="15"/>
  <c r="H126" i="15" l="1"/>
  <c r="I125" i="15"/>
  <c r="S125" i="15" s="1"/>
  <c r="D128" i="15"/>
  <c r="G127" i="15"/>
  <c r="H127" i="15" l="1"/>
  <c r="I126" i="15"/>
  <c r="S126" i="15" s="1"/>
  <c r="D129" i="15"/>
  <c r="G128" i="15"/>
  <c r="H128" i="15" l="1"/>
  <c r="I127" i="15"/>
  <c r="S127" i="15" s="1"/>
  <c r="G129" i="15"/>
  <c r="D130" i="15"/>
  <c r="H129" i="15" l="1"/>
  <c r="I128" i="15"/>
  <c r="S128" i="15" s="1"/>
  <c r="G130" i="15"/>
  <c r="D131" i="15"/>
  <c r="H130" i="15" l="1"/>
  <c r="I129" i="15"/>
  <c r="S129" i="15" s="1"/>
  <c r="D132" i="15"/>
  <c r="G131" i="15"/>
  <c r="D133" i="15" l="1"/>
  <c r="G132" i="15"/>
  <c r="H131" i="15"/>
  <c r="I130" i="15"/>
  <c r="S130" i="15" s="1"/>
  <c r="H132" i="15" l="1"/>
  <c r="I131" i="15"/>
  <c r="S131" i="15" s="1"/>
  <c r="G133" i="15"/>
  <c r="D134" i="15"/>
  <c r="H133" i="15" l="1"/>
  <c r="I132" i="15"/>
  <c r="S132" i="15" s="1"/>
  <c r="G134" i="15"/>
  <c r="D135" i="15"/>
  <c r="H134" i="15" l="1"/>
  <c r="I133" i="15"/>
  <c r="S133" i="15" s="1"/>
  <c r="D136" i="15"/>
  <c r="G135" i="15"/>
  <c r="H135" i="15" l="1"/>
  <c r="I134" i="15"/>
  <c r="S134" i="15" s="1"/>
  <c r="D137" i="15"/>
  <c r="G136" i="15"/>
  <c r="H136" i="15" l="1"/>
  <c r="I135" i="15"/>
  <c r="S135" i="15" s="1"/>
  <c r="G137" i="15"/>
  <c r="D138" i="15"/>
  <c r="H137" i="15" l="1"/>
  <c r="I136" i="15"/>
  <c r="S136" i="15" s="1"/>
  <c r="G138" i="15"/>
  <c r="D139" i="15"/>
  <c r="H138" i="15" l="1"/>
  <c r="I137" i="15"/>
  <c r="S137" i="15" s="1"/>
  <c r="D140" i="15"/>
  <c r="G139" i="15"/>
  <c r="H139" i="15" l="1"/>
  <c r="I138" i="15"/>
  <c r="S138" i="15" s="1"/>
  <c r="D141" i="15"/>
  <c r="G140" i="15"/>
  <c r="G141" i="15" l="1"/>
  <c r="D142" i="15"/>
  <c r="H140" i="15"/>
  <c r="I139" i="15"/>
  <c r="S139" i="15" s="1"/>
  <c r="H141" i="15" l="1"/>
  <c r="I140" i="15"/>
  <c r="S140" i="15" s="1"/>
  <c r="G142" i="15"/>
  <c r="D143" i="15"/>
  <c r="H142" i="15" l="1"/>
  <c r="I141" i="15"/>
  <c r="S141" i="15" s="1"/>
  <c r="D144" i="15"/>
  <c r="G143" i="15"/>
  <c r="D145" i="15" l="1"/>
  <c r="G144" i="15"/>
  <c r="H143" i="15"/>
  <c r="I142" i="15"/>
  <c r="S142" i="15" s="1"/>
  <c r="H144" i="15" l="1"/>
  <c r="I143" i="15"/>
  <c r="S143" i="15" s="1"/>
  <c r="G145" i="15"/>
  <c r="D146" i="15"/>
  <c r="G146" i="15" l="1"/>
  <c r="D147" i="15"/>
  <c r="H145" i="15"/>
  <c r="I144" i="15"/>
  <c r="S144" i="15" s="1"/>
  <c r="H146" i="15" l="1"/>
  <c r="I145" i="15"/>
  <c r="S145" i="15" s="1"/>
  <c r="D148" i="15"/>
  <c r="G147" i="15"/>
  <c r="H147" i="15" l="1"/>
  <c r="I146" i="15"/>
  <c r="S146" i="15" s="1"/>
  <c r="D149" i="15"/>
  <c r="G148" i="15"/>
  <c r="H148" i="15" l="1"/>
  <c r="I147" i="15"/>
  <c r="S147" i="15" s="1"/>
  <c r="G149" i="15"/>
  <c r="D150" i="15"/>
  <c r="H149" i="15" l="1"/>
  <c r="I148" i="15"/>
  <c r="S148" i="15" s="1"/>
  <c r="G150" i="15"/>
  <c r="D151" i="15"/>
  <c r="H150" i="15" l="1"/>
  <c r="I149" i="15"/>
  <c r="S149" i="15" s="1"/>
  <c r="D152" i="15"/>
  <c r="G151" i="15"/>
  <c r="H151" i="15" l="1"/>
  <c r="I150" i="15"/>
  <c r="S150" i="15" s="1"/>
  <c r="D153" i="15"/>
  <c r="G152" i="15"/>
  <c r="H152" i="15" l="1"/>
  <c r="I151" i="15"/>
  <c r="S151" i="15" s="1"/>
  <c r="G153" i="15"/>
  <c r="D154" i="15"/>
  <c r="H153" i="15" l="1"/>
  <c r="I152" i="15"/>
  <c r="S152" i="15" s="1"/>
  <c r="G154" i="15"/>
  <c r="D155" i="15"/>
  <c r="H154" i="15" l="1"/>
  <c r="I153" i="15"/>
  <c r="S153" i="15" s="1"/>
  <c r="G155" i="15"/>
  <c r="D156" i="15"/>
  <c r="D157" i="15" l="1"/>
  <c r="G156" i="15"/>
  <c r="H155" i="15"/>
  <c r="I154" i="15"/>
  <c r="S154" i="15" s="1"/>
  <c r="H156" i="15" l="1"/>
  <c r="I155" i="15"/>
  <c r="S155" i="15" s="1"/>
  <c r="D158" i="15"/>
  <c r="G157" i="15"/>
  <c r="H157" i="15" l="1"/>
  <c r="I156" i="15"/>
  <c r="S156" i="15" s="1"/>
  <c r="G158" i="15"/>
  <c r="D159" i="15"/>
  <c r="H158" i="15" l="1"/>
  <c r="I157" i="15"/>
  <c r="S157" i="15" s="1"/>
  <c r="G159" i="15"/>
  <c r="D160" i="15"/>
  <c r="H159" i="15" l="1"/>
  <c r="I158" i="15"/>
  <c r="S158" i="15" s="1"/>
  <c r="D161" i="15"/>
  <c r="G160" i="15"/>
  <c r="H160" i="15" l="1"/>
  <c r="I159" i="15"/>
  <c r="S159" i="15" s="1"/>
  <c r="D162" i="15"/>
  <c r="G161" i="15"/>
  <c r="H161" i="15" l="1"/>
  <c r="I160" i="15"/>
  <c r="S160" i="15" s="1"/>
  <c r="G162" i="15"/>
  <c r="D163" i="15"/>
  <c r="H162" i="15" l="1"/>
  <c r="I161" i="15"/>
  <c r="S161" i="15" s="1"/>
  <c r="G163" i="15"/>
  <c r="D164" i="15"/>
  <c r="H163" i="15" l="1"/>
  <c r="I162" i="15"/>
  <c r="S162" i="15" s="1"/>
  <c r="D165" i="15"/>
  <c r="G164" i="15"/>
  <c r="H164" i="15" l="1"/>
  <c r="I163" i="15"/>
  <c r="S163" i="15" s="1"/>
  <c r="D166" i="15"/>
  <c r="G165" i="15"/>
  <c r="H165" i="15" l="1"/>
  <c r="I164" i="15"/>
  <c r="S164" i="15" s="1"/>
  <c r="G166" i="15"/>
  <c r="D167" i="15"/>
  <c r="H166" i="15" l="1"/>
  <c r="I165" i="15"/>
  <c r="S165" i="15" s="1"/>
  <c r="G167" i="15"/>
  <c r="D168" i="15"/>
  <c r="H167" i="15" l="1"/>
  <c r="I166" i="15"/>
  <c r="S166" i="15" s="1"/>
  <c r="D169" i="15"/>
  <c r="G168" i="15"/>
  <c r="H168" i="15" l="1"/>
  <c r="I167" i="15"/>
  <c r="S167" i="15" s="1"/>
  <c r="D170" i="15"/>
  <c r="G169" i="15"/>
  <c r="H169" i="15" l="1"/>
  <c r="I168" i="15"/>
  <c r="S168" i="15" s="1"/>
  <c r="G170" i="15"/>
  <c r="D171" i="15"/>
  <c r="H170" i="15" l="1"/>
  <c r="I169" i="15"/>
  <c r="S169" i="15" s="1"/>
  <c r="G171" i="15"/>
  <c r="D172" i="15"/>
  <c r="H171" i="15" l="1"/>
  <c r="I170" i="15"/>
  <c r="S170" i="15" s="1"/>
  <c r="D173" i="15"/>
  <c r="G172" i="15"/>
  <c r="H172" i="15" l="1"/>
  <c r="I171" i="15"/>
  <c r="S171" i="15" s="1"/>
  <c r="D174" i="15"/>
  <c r="G173" i="15"/>
  <c r="H173" i="15" l="1"/>
  <c r="I172" i="15"/>
  <c r="S172" i="15" s="1"/>
  <c r="G174" i="15"/>
  <c r="D175" i="15"/>
  <c r="H174" i="15" l="1"/>
  <c r="I173" i="15"/>
  <c r="S173" i="15" s="1"/>
  <c r="G175" i="15"/>
  <c r="D176" i="15"/>
  <c r="H175" i="15" l="1"/>
  <c r="I174" i="15"/>
  <c r="S174" i="15" s="1"/>
  <c r="D177" i="15"/>
  <c r="G176" i="15"/>
  <c r="H176" i="15" l="1"/>
  <c r="I175" i="15"/>
  <c r="S175" i="15" s="1"/>
  <c r="D178" i="15"/>
  <c r="G177" i="15"/>
  <c r="H177" i="15" l="1"/>
  <c r="I176" i="15"/>
  <c r="S176" i="15" s="1"/>
  <c r="G178" i="15"/>
  <c r="D179" i="15"/>
  <c r="H178" i="15" l="1"/>
  <c r="I177" i="15"/>
  <c r="S177" i="15" s="1"/>
  <c r="G179" i="15"/>
  <c r="D180" i="15"/>
  <c r="H179" i="15" l="1"/>
  <c r="I178" i="15"/>
  <c r="S178" i="15" s="1"/>
  <c r="D181" i="15"/>
  <c r="G180" i="15"/>
  <c r="H180" i="15" l="1"/>
  <c r="I179" i="15"/>
  <c r="S179" i="15" s="1"/>
  <c r="D182" i="15"/>
  <c r="G181" i="15"/>
  <c r="H181" i="15" l="1"/>
  <c r="I180" i="15"/>
  <c r="S180" i="15" s="1"/>
  <c r="G182" i="15"/>
  <c r="D183" i="15"/>
  <c r="H182" i="15" l="1"/>
  <c r="I181" i="15"/>
  <c r="S181" i="15" s="1"/>
  <c r="G183" i="15"/>
  <c r="D184" i="15"/>
  <c r="H183" i="15" l="1"/>
  <c r="I182" i="15"/>
  <c r="S182" i="15" s="1"/>
  <c r="D185" i="15"/>
  <c r="G184" i="15"/>
  <c r="H184" i="15" l="1"/>
  <c r="I183" i="15"/>
  <c r="S183" i="15" s="1"/>
  <c r="D186" i="15"/>
  <c r="G185" i="15"/>
  <c r="H185" i="15" l="1"/>
  <c r="I184" i="15"/>
  <c r="S184" i="15" s="1"/>
  <c r="G186" i="15"/>
  <c r="D187" i="15"/>
  <c r="H186" i="15" l="1"/>
  <c r="I185" i="15"/>
  <c r="S185" i="15" s="1"/>
  <c r="G187" i="15"/>
  <c r="D188" i="15"/>
  <c r="H187" i="15" l="1"/>
  <c r="I186" i="15"/>
  <c r="S186" i="15" s="1"/>
  <c r="D189" i="15"/>
  <c r="G188" i="15"/>
  <c r="H188" i="15" l="1"/>
  <c r="I187" i="15"/>
  <c r="S187" i="15" s="1"/>
  <c r="D190" i="15"/>
  <c r="G189" i="15"/>
  <c r="H189" i="15" l="1"/>
  <c r="I188" i="15"/>
  <c r="S188" i="15" s="1"/>
  <c r="D191" i="15"/>
  <c r="G190" i="15"/>
  <c r="H190" i="15" l="1"/>
  <c r="I189" i="15"/>
  <c r="S189" i="15" s="1"/>
  <c r="G191" i="15"/>
  <c r="D192" i="15"/>
  <c r="H191" i="15" l="1"/>
  <c r="I190" i="15"/>
  <c r="S190" i="15" s="1"/>
  <c r="D193" i="15"/>
  <c r="G192" i="15"/>
  <c r="H192" i="15" l="1"/>
  <c r="I191" i="15"/>
  <c r="S191" i="15" s="1"/>
  <c r="D194" i="15"/>
  <c r="G193" i="15"/>
  <c r="H193" i="15" l="1"/>
  <c r="I192" i="15"/>
  <c r="S192" i="15" s="1"/>
  <c r="D195" i="15"/>
  <c r="G194" i="15"/>
  <c r="H194" i="15" l="1"/>
  <c r="I193" i="15"/>
  <c r="S193" i="15" s="1"/>
  <c r="G195" i="15"/>
  <c r="D196" i="15"/>
  <c r="H195" i="15" l="1"/>
  <c r="I194" i="15"/>
  <c r="S194" i="15" s="1"/>
  <c r="G196" i="15"/>
  <c r="D197" i="15"/>
  <c r="H196" i="15" l="1"/>
  <c r="I195" i="15"/>
  <c r="S195" i="15" s="1"/>
  <c r="D198" i="15"/>
  <c r="G197" i="15"/>
  <c r="H197" i="15" l="1"/>
  <c r="I196" i="15"/>
  <c r="S196" i="15" s="1"/>
  <c r="G198" i="15"/>
  <c r="D199" i="15"/>
  <c r="H198" i="15" l="1"/>
  <c r="I197" i="15"/>
  <c r="S197" i="15" s="1"/>
  <c r="G199" i="15"/>
  <c r="D200" i="15"/>
  <c r="H199" i="15" l="1"/>
  <c r="I198" i="15"/>
  <c r="S198" i="15" s="1"/>
  <c r="G200" i="15"/>
  <c r="D201" i="15"/>
  <c r="H200" i="15" l="1"/>
  <c r="I199" i="15"/>
  <c r="S199" i="15" s="1"/>
  <c r="D202" i="15"/>
  <c r="G201" i="15"/>
  <c r="H201" i="15" l="1"/>
  <c r="I200" i="15"/>
  <c r="S200" i="15" s="1"/>
  <c r="G202" i="15"/>
  <c r="D203" i="15"/>
  <c r="H202" i="15" l="1"/>
  <c r="I201" i="15"/>
  <c r="S201" i="15" s="1"/>
  <c r="G203" i="15"/>
  <c r="D204" i="15"/>
  <c r="H203" i="15" l="1"/>
  <c r="I202" i="15"/>
  <c r="S202" i="15" s="1"/>
  <c r="D205" i="15"/>
  <c r="G204" i="15"/>
  <c r="H204" i="15" l="1"/>
  <c r="I203" i="15"/>
  <c r="S203" i="15" s="1"/>
  <c r="D206" i="15"/>
  <c r="G205" i="15"/>
  <c r="H205" i="15" l="1"/>
  <c r="I204" i="15"/>
  <c r="S204" i="15" s="1"/>
  <c r="G206" i="15"/>
  <c r="D207" i="15"/>
  <c r="H206" i="15" l="1"/>
  <c r="I205" i="15"/>
  <c r="S205" i="15" s="1"/>
  <c r="G207" i="15"/>
  <c r="D208" i="15"/>
  <c r="H207" i="15" l="1"/>
  <c r="I206" i="15"/>
  <c r="S206" i="15" s="1"/>
  <c r="D209" i="15"/>
  <c r="G208" i="15"/>
  <c r="H208" i="15" l="1"/>
  <c r="I207" i="15"/>
  <c r="S207" i="15" s="1"/>
  <c r="D210" i="15"/>
  <c r="G209" i="15"/>
  <c r="G210" i="15" l="1"/>
  <c r="D211" i="15"/>
  <c r="H209" i="15"/>
  <c r="I208" i="15"/>
  <c r="S208" i="15" s="1"/>
  <c r="H210" i="15" l="1"/>
  <c r="I209" i="15"/>
  <c r="S209" i="15" s="1"/>
  <c r="G211" i="15"/>
  <c r="D212" i="15"/>
  <c r="H211" i="15" l="1"/>
  <c r="I210" i="15"/>
  <c r="S210" i="15" s="1"/>
  <c r="D213" i="15"/>
  <c r="G212" i="15"/>
  <c r="H212" i="15" l="1"/>
  <c r="I211" i="15"/>
  <c r="S211" i="15" s="1"/>
  <c r="D214" i="15"/>
  <c r="G213" i="15"/>
  <c r="H213" i="15" l="1"/>
  <c r="I212" i="15"/>
  <c r="S212" i="15" s="1"/>
  <c r="G214" i="15"/>
  <c r="D215" i="15"/>
  <c r="H214" i="15" l="1"/>
  <c r="I213" i="15"/>
  <c r="S213" i="15" s="1"/>
  <c r="G215" i="15"/>
  <c r="D216" i="15"/>
  <c r="H215" i="15" l="1"/>
  <c r="I214" i="15"/>
  <c r="S214" i="15" s="1"/>
  <c r="D217" i="15"/>
  <c r="G216" i="15"/>
  <c r="H216" i="15" l="1"/>
  <c r="I215" i="15"/>
  <c r="S215" i="15" s="1"/>
  <c r="D218" i="15"/>
  <c r="G217" i="15"/>
  <c r="H217" i="15" l="1"/>
  <c r="I216" i="15"/>
  <c r="S216" i="15" s="1"/>
  <c r="G218" i="15"/>
  <c r="D219" i="15"/>
  <c r="H218" i="15" l="1"/>
  <c r="I217" i="15"/>
  <c r="S217" i="15" s="1"/>
  <c r="G219" i="15"/>
  <c r="D220" i="15"/>
  <c r="H219" i="15" l="1"/>
  <c r="I218" i="15"/>
  <c r="S218" i="15" s="1"/>
  <c r="D221" i="15"/>
  <c r="G220" i="15"/>
  <c r="H220" i="15" l="1"/>
  <c r="I219" i="15"/>
  <c r="S219" i="15" s="1"/>
  <c r="D222" i="15"/>
  <c r="G221" i="15"/>
  <c r="H221" i="15" l="1"/>
  <c r="I220" i="15"/>
  <c r="S220" i="15" s="1"/>
  <c r="G222" i="15"/>
  <c r="D223" i="15"/>
  <c r="H222" i="15" l="1"/>
  <c r="I221" i="15"/>
  <c r="S221" i="15" s="1"/>
  <c r="G223" i="15"/>
  <c r="D224" i="15"/>
  <c r="H223" i="15" l="1"/>
  <c r="I222" i="15"/>
  <c r="S222" i="15" s="1"/>
  <c r="D225" i="15"/>
  <c r="G224" i="15"/>
  <c r="H224" i="15" l="1"/>
  <c r="I223" i="15"/>
  <c r="S223" i="15" s="1"/>
  <c r="D226" i="15"/>
  <c r="G225" i="15"/>
  <c r="H225" i="15" l="1"/>
  <c r="I224" i="15"/>
  <c r="S224" i="15" s="1"/>
  <c r="G226" i="15"/>
  <c r="D227" i="15"/>
  <c r="H226" i="15" l="1"/>
  <c r="I225" i="15"/>
  <c r="S225" i="15" s="1"/>
  <c r="G227" i="15"/>
  <c r="D228" i="15"/>
  <c r="H227" i="15" l="1"/>
  <c r="I226" i="15"/>
  <c r="S226" i="15" s="1"/>
  <c r="D229" i="15"/>
  <c r="G228" i="15"/>
  <c r="H228" i="15" l="1"/>
  <c r="I227" i="15"/>
  <c r="S227" i="15" s="1"/>
  <c r="D230" i="15"/>
  <c r="G229" i="15"/>
  <c r="H229" i="15" l="1"/>
  <c r="I228" i="15"/>
  <c r="S228" i="15" s="1"/>
  <c r="G230" i="15"/>
  <c r="D231" i="15"/>
  <c r="H230" i="15" l="1"/>
  <c r="I229" i="15"/>
  <c r="S229" i="15" s="1"/>
  <c r="G231" i="15"/>
  <c r="D232" i="15"/>
  <c r="H231" i="15" l="1"/>
  <c r="I230" i="15"/>
  <c r="S230" i="15" s="1"/>
  <c r="D233" i="15"/>
  <c r="G232" i="15"/>
  <c r="H232" i="15" l="1"/>
  <c r="I231" i="15"/>
  <c r="S231" i="15" s="1"/>
  <c r="D234" i="15"/>
  <c r="G233" i="15"/>
  <c r="H233" i="15" l="1"/>
  <c r="I232" i="15"/>
  <c r="S232" i="15" s="1"/>
  <c r="G234" i="15"/>
  <c r="D235" i="15"/>
  <c r="H234" i="15" l="1"/>
  <c r="I233" i="15"/>
  <c r="S233" i="15" s="1"/>
  <c r="G235" i="15"/>
  <c r="D236" i="15"/>
  <c r="H235" i="15" l="1"/>
  <c r="I234" i="15"/>
  <c r="S234" i="15" s="1"/>
  <c r="D237" i="15"/>
  <c r="G236" i="15"/>
  <c r="H236" i="15" l="1"/>
  <c r="I235" i="15"/>
  <c r="S235" i="15" s="1"/>
  <c r="D238" i="15"/>
  <c r="G237" i="15"/>
  <c r="H237" i="15" l="1"/>
  <c r="I236" i="15"/>
  <c r="S236" i="15" s="1"/>
  <c r="G238" i="15"/>
  <c r="D239" i="15"/>
  <c r="H238" i="15" l="1"/>
  <c r="I237" i="15"/>
  <c r="S237" i="15" s="1"/>
  <c r="G239" i="15"/>
  <c r="D240" i="15"/>
  <c r="H239" i="15" l="1"/>
  <c r="I238" i="15"/>
  <c r="S238" i="15" s="1"/>
  <c r="D241" i="15"/>
  <c r="G240" i="15"/>
  <c r="H240" i="15" l="1"/>
  <c r="I239" i="15"/>
  <c r="S239" i="15" s="1"/>
  <c r="D242" i="15"/>
  <c r="G241" i="15"/>
  <c r="H241" i="15" l="1"/>
  <c r="I240" i="15"/>
  <c r="S240" i="15" s="1"/>
  <c r="G242" i="15"/>
  <c r="D243" i="15"/>
  <c r="H242" i="15" l="1"/>
  <c r="I241" i="15"/>
  <c r="S241" i="15" s="1"/>
  <c r="G243" i="15"/>
  <c r="D244" i="15"/>
  <c r="H243" i="15" l="1"/>
  <c r="I242" i="15"/>
  <c r="S242" i="15" s="1"/>
  <c r="D245" i="15"/>
  <c r="G244" i="15"/>
  <c r="H244" i="15" l="1"/>
  <c r="I243" i="15"/>
  <c r="S243" i="15" s="1"/>
  <c r="D246" i="15"/>
  <c r="G245" i="15"/>
  <c r="H245" i="15" l="1"/>
  <c r="I244" i="15"/>
  <c r="S244" i="15" s="1"/>
  <c r="G246" i="15"/>
  <c r="D247" i="15"/>
  <c r="H246" i="15" l="1"/>
  <c r="I245" i="15"/>
  <c r="S245" i="15" s="1"/>
  <c r="G247" i="15"/>
  <c r="D248" i="15"/>
  <c r="H247" i="15" l="1"/>
  <c r="I246" i="15"/>
  <c r="S246" i="15" s="1"/>
  <c r="D249" i="15"/>
  <c r="G248" i="15"/>
  <c r="H248" i="15" l="1"/>
  <c r="I247" i="15"/>
  <c r="S247" i="15" s="1"/>
  <c r="D250" i="15"/>
  <c r="G249" i="15"/>
  <c r="H249" i="15" l="1"/>
  <c r="I248" i="15"/>
  <c r="S248" i="15" s="1"/>
  <c r="G250" i="15"/>
  <c r="D251" i="15"/>
  <c r="H250" i="15" l="1"/>
  <c r="I249" i="15"/>
  <c r="S249" i="15" s="1"/>
  <c r="G251" i="15"/>
  <c r="D252" i="15"/>
  <c r="H251" i="15" l="1"/>
  <c r="I250" i="15"/>
  <c r="S250" i="15" s="1"/>
  <c r="D253" i="15"/>
  <c r="G252" i="15"/>
  <c r="H252" i="15" l="1"/>
  <c r="I251" i="15"/>
  <c r="S251" i="15" s="1"/>
  <c r="D254" i="15"/>
  <c r="G253" i="15"/>
  <c r="H253" i="15" l="1"/>
  <c r="I252" i="15"/>
  <c r="S252" i="15" s="1"/>
  <c r="G254" i="15"/>
  <c r="D255" i="15"/>
  <c r="H254" i="15" l="1"/>
  <c r="I253" i="15"/>
  <c r="S253" i="15" s="1"/>
  <c r="G255" i="15"/>
  <c r="D256" i="15"/>
  <c r="H255" i="15" l="1"/>
  <c r="I254" i="15"/>
  <c r="S254" i="15" s="1"/>
  <c r="D257" i="15"/>
  <c r="G256" i="15"/>
  <c r="H256" i="15" l="1"/>
  <c r="I255" i="15"/>
  <c r="S255" i="15" s="1"/>
  <c r="D258" i="15"/>
  <c r="G257" i="15"/>
  <c r="H257" i="15" l="1"/>
  <c r="I256" i="15"/>
  <c r="S256" i="15" s="1"/>
  <c r="G258" i="15"/>
  <c r="D259" i="15"/>
  <c r="H258" i="15" l="1"/>
  <c r="I257" i="15"/>
  <c r="S257" i="15" s="1"/>
  <c r="G259" i="15"/>
  <c r="D260" i="15"/>
  <c r="H259" i="15" l="1"/>
  <c r="I258" i="15"/>
  <c r="S258" i="15" s="1"/>
  <c r="D261" i="15"/>
  <c r="G260" i="15"/>
  <c r="H260" i="15" l="1"/>
  <c r="I259" i="15"/>
  <c r="S259" i="15" s="1"/>
  <c r="D262" i="15"/>
  <c r="G261" i="15"/>
  <c r="H261" i="15" l="1"/>
  <c r="I260" i="15"/>
  <c r="S260" i="15" s="1"/>
  <c r="G262" i="15"/>
  <c r="D263" i="15"/>
  <c r="H262" i="15" l="1"/>
  <c r="I261" i="15"/>
  <c r="S261" i="15" s="1"/>
  <c r="G263" i="15"/>
  <c r="D264" i="15"/>
  <c r="H263" i="15" l="1"/>
  <c r="I262" i="15"/>
  <c r="S262" i="15" s="1"/>
  <c r="D265" i="15"/>
  <c r="G264" i="15"/>
  <c r="H264" i="15" l="1"/>
  <c r="I263" i="15"/>
  <c r="S263" i="15" s="1"/>
  <c r="D266" i="15"/>
  <c r="G265" i="15"/>
  <c r="H265" i="15" l="1"/>
  <c r="I264" i="15"/>
  <c r="S264" i="15" s="1"/>
  <c r="G266" i="15"/>
  <c r="D267" i="15"/>
  <c r="G267" i="15" l="1"/>
  <c r="D268" i="15"/>
  <c r="H266" i="15"/>
  <c r="I265" i="15"/>
  <c r="S265" i="15" s="1"/>
  <c r="H267" i="15" l="1"/>
  <c r="I266" i="15"/>
  <c r="S266" i="15" s="1"/>
  <c r="D269" i="15"/>
  <c r="G268" i="15"/>
  <c r="H268" i="15" l="1"/>
  <c r="I267" i="15"/>
  <c r="S267" i="15" s="1"/>
  <c r="D270" i="15"/>
  <c r="G269" i="15"/>
  <c r="H269" i="15" l="1"/>
  <c r="I268" i="15"/>
  <c r="S268" i="15" s="1"/>
  <c r="G270" i="15"/>
  <c r="D271" i="15"/>
  <c r="H270" i="15" l="1"/>
  <c r="I269" i="15"/>
  <c r="S269" i="15" s="1"/>
  <c r="G271" i="15"/>
  <c r="D272" i="15"/>
  <c r="H271" i="15" l="1"/>
  <c r="I270" i="15"/>
  <c r="S270" i="15" s="1"/>
  <c r="D273" i="15"/>
  <c r="G272" i="15"/>
  <c r="H272" i="15" l="1"/>
  <c r="I271" i="15"/>
  <c r="S271" i="15" s="1"/>
  <c r="D274" i="15"/>
  <c r="G273" i="15"/>
  <c r="H273" i="15" l="1"/>
  <c r="I272" i="15"/>
  <c r="S272" i="15" s="1"/>
  <c r="G274" i="15"/>
  <c r="D275" i="15"/>
  <c r="H274" i="15" l="1"/>
  <c r="I273" i="15"/>
  <c r="S273" i="15" s="1"/>
  <c r="G275" i="15"/>
  <c r="D276" i="15"/>
  <c r="H275" i="15" l="1"/>
  <c r="I274" i="15"/>
  <c r="S274" i="15" s="1"/>
  <c r="D277" i="15"/>
  <c r="G276" i="15"/>
  <c r="H276" i="15" l="1"/>
  <c r="I275" i="15"/>
  <c r="S275" i="15" s="1"/>
  <c r="D278" i="15"/>
  <c r="G277" i="15"/>
  <c r="H277" i="15" l="1"/>
  <c r="I276" i="15"/>
  <c r="S276" i="15" s="1"/>
  <c r="G278" i="15"/>
  <c r="D279" i="15"/>
  <c r="H278" i="15" l="1"/>
  <c r="I277" i="15"/>
  <c r="S277" i="15" s="1"/>
  <c r="G279" i="15"/>
  <c r="D280" i="15"/>
  <c r="H279" i="15" l="1"/>
  <c r="I278" i="15"/>
  <c r="S278" i="15" s="1"/>
  <c r="D281" i="15"/>
  <c r="G280" i="15"/>
  <c r="H280" i="15" l="1"/>
  <c r="I279" i="15"/>
  <c r="S279" i="15" s="1"/>
  <c r="D282" i="15"/>
  <c r="G281" i="15"/>
  <c r="H281" i="15" l="1"/>
  <c r="I280" i="15"/>
  <c r="S280" i="15" s="1"/>
  <c r="G282" i="15"/>
  <c r="D283" i="15"/>
  <c r="G283" i="15" l="1"/>
  <c r="D284" i="15"/>
  <c r="H282" i="15"/>
  <c r="I281" i="15"/>
  <c r="S281" i="15" s="1"/>
  <c r="H283" i="15" l="1"/>
  <c r="I282" i="15"/>
  <c r="S282" i="15" s="1"/>
  <c r="D285" i="15"/>
  <c r="G284" i="15"/>
  <c r="H284" i="15" l="1"/>
  <c r="I283" i="15"/>
  <c r="S283" i="15" s="1"/>
  <c r="D286" i="15"/>
  <c r="G285" i="15"/>
  <c r="H285" i="15" l="1"/>
  <c r="I284" i="15"/>
  <c r="S284" i="15" s="1"/>
  <c r="G286" i="15"/>
  <c r="D287" i="15"/>
  <c r="H286" i="15" l="1"/>
  <c r="I285" i="15"/>
  <c r="S285" i="15" s="1"/>
  <c r="G287" i="15"/>
  <c r="D288" i="15"/>
  <c r="D289" i="15" l="1"/>
  <c r="G288" i="15"/>
  <c r="H287" i="15"/>
  <c r="I286" i="15"/>
  <c r="S286" i="15" s="1"/>
  <c r="H288" i="15" l="1"/>
  <c r="I287" i="15"/>
  <c r="S287" i="15" s="1"/>
  <c r="D290" i="15"/>
  <c r="G289" i="15"/>
  <c r="H289" i="15" l="1"/>
  <c r="I288" i="15"/>
  <c r="S288" i="15" s="1"/>
  <c r="G290" i="15"/>
  <c r="D291" i="15"/>
  <c r="H290" i="15" l="1"/>
  <c r="I289" i="15"/>
  <c r="S289" i="15" s="1"/>
  <c r="G291" i="15"/>
  <c r="D292" i="15"/>
  <c r="H291" i="15" l="1"/>
  <c r="I290" i="15"/>
  <c r="S290" i="15" s="1"/>
  <c r="D293" i="15"/>
  <c r="G292" i="15"/>
  <c r="H292" i="15" l="1"/>
  <c r="I291" i="15"/>
  <c r="S291" i="15" s="1"/>
  <c r="D294" i="15"/>
  <c r="G293" i="15"/>
  <c r="H293" i="15" l="1"/>
  <c r="I292" i="15"/>
  <c r="S292" i="15" s="1"/>
  <c r="G294" i="15"/>
  <c r="D295" i="15"/>
  <c r="H294" i="15" l="1"/>
  <c r="I293" i="15"/>
  <c r="S293" i="15" s="1"/>
  <c r="G295" i="15"/>
  <c r="D296" i="15"/>
  <c r="H295" i="15" l="1"/>
  <c r="I294" i="15"/>
  <c r="S294" i="15" s="1"/>
  <c r="D297" i="15"/>
  <c r="G296" i="15"/>
  <c r="H296" i="15" l="1"/>
  <c r="I295" i="15"/>
  <c r="S295" i="15" s="1"/>
  <c r="D298" i="15"/>
  <c r="G297" i="15"/>
  <c r="H297" i="15" l="1"/>
  <c r="I296" i="15"/>
  <c r="S296" i="15" s="1"/>
  <c r="G298" i="15"/>
  <c r="D299" i="15"/>
  <c r="H298" i="15" l="1"/>
  <c r="I297" i="15"/>
  <c r="S297" i="15" s="1"/>
  <c r="G299" i="15"/>
  <c r="D300" i="15"/>
  <c r="H299" i="15" l="1"/>
  <c r="I298" i="15"/>
  <c r="S298" i="15" s="1"/>
  <c r="D301" i="15"/>
  <c r="G300" i="15"/>
  <c r="H300" i="15" l="1"/>
  <c r="I299" i="15"/>
  <c r="S299" i="15" s="1"/>
  <c r="D302" i="15"/>
  <c r="G301" i="15"/>
  <c r="H301" i="15" l="1"/>
  <c r="I300" i="15"/>
  <c r="S300" i="15" s="1"/>
  <c r="G302" i="15"/>
  <c r="D303" i="15"/>
  <c r="H302" i="15" l="1"/>
  <c r="I301" i="15"/>
  <c r="S301" i="15" s="1"/>
  <c r="G303" i="15"/>
  <c r="D304" i="15"/>
  <c r="H303" i="15" l="1"/>
  <c r="I302" i="15"/>
  <c r="S302" i="15" s="1"/>
  <c r="D305" i="15"/>
  <c r="G304" i="15"/>
  <c r="H304" i="15" l="1"/>
  <c r="I303" i="15"/>
  <c r="S303" i="15" s="1"/>
  <c r="D306" i="15"/>
  <c r="G305" i="15"/>
  <c r="H305" i="15" l="1"/>
  <c r="I304" i="15"/>
  <c r="S304" i="15" s="1"/>
  <c r="G306" i="15"/>
  <c r="D307" i="15"/>
  <c r="H306" i="15" l="1"/>
  <c r="I305" i="15"/>
  <c r="S305" i="15" s="1"/>
  <c r="G307" i="15"/>
  <c r="D308" i="15"/>
  <c r="H307" i="15" l="1"/>
  <c r="I306" i="15"/>
  <c r="S306" i="15" s="1"/>
  <c r="D309" i="15"/>
  <c r="G308" i="15"/>
  <c r="H308" i="15" l="1"/>
  <c r="I307" i="15"/>
  <c r="S307" i="15" s="1"/>
  <c r="D310" i="15"/>
  <c r="G309" i="15"/>
  <c r="H309" i="15" l="1"/>
  <c r="I308" i="15"/>
  <c r="S308" i="15" s="1"/>
  <c r="G310" i="15"/>
  <c r="D311" i="15"/>
  <c r="G311" i="15" l="1"/>
  <c r="D312" i="15"/>
  <c r="H310" i="15"/>
  <c r="I309" i="15"/>
  <c r="S309" i="15" s="1"/>
  <c r="H311" i="15" l="1"/>
  <c r="I310" i="15"/>
  <c r="S310" i="15" s="1"/>
  <c r="D313" i="15"/>
  <c r="G312" i="15"/>
  <c r="H312" i="15" l="1"/>
  <c r="I311" i="15"/>
  <c r="S311" i="15" s="1"/>
  <c r="D314" i="15"/>
  <c r="G313" i="15"/>
  <c r="H313" i="15" l="1"/>
  <c r="I312" i="15"/>
  <c r="S312" i="15" s="1"/>
  <c r="G314" i="15"/>
  <c r="D315" i="15"/>
  <c r="H314" i="15" l="1"/>
  <c r="I313" i="15"/>
  <c r="S313" i="15" s="1"/>
  <c r="G315" i="15"/>
  <c r="D316" i="15"/>
  <c r="H315" i="15" l="1"/>
  <c r="I314" i="15"/>
  <c r="S314" i="15" s="1"/>
  <c r="D317" i="15"/>
  <c r="G316" i="15"/>
  <c r="H316" i="15" l="1"/>
  <c r="I315" i="15"/>
  <c r="S315" i="15" s="1"/>
  <c r="D318" i="15"/>
  <c r="G317" i="15"/>
  <c r="H317" i="15" l="1"/>
  <c r="I316" i="15"/>
  <c r="S316" i="15" s="1"/>
  <c r="G318" i="15"/>
  <c r="D319" i="15"/>
  <c r="H318" i="15" l="1"/>
  <c r="I317" i="15"/>
  <c r="S317" i="15" s="1"/>
  <c r="G319" i="15"/>
  <c r="D320" i="15"/>
  <c r="H319" i="15" l="1"/>
  <c r="I318" i="15"/>
  <c r="S318" i="15" s="1"/>
  <c r="D321" i="15"/>
  <c r="G320" i="15"/>
  <c r="H320" i="15" l="1"/>
  <c r="I319" i="15"/>
  <c r="S319" i="15" s="1"/>
  <c r="D322" i="15"/>
  <c r="G321" i="15"/>
  <c r="H321" i="15" l="1"/>
  <c r="I320" i="15"/>
  <c r="S320" i="15" s="1"/>
  <c r="G322" i="15"/>
  <c r="D323" i="15"/>
  <c r="H322" i="15" l="1"/>
  <c r="I321" i="15"/>
  <c r="S321" i="15" s="1"/>
  <c r="G323" i="15"/>
  <c r="D324" i="15"/>
  <c r="H323" i="15" l="1"/>
  <c r="I322" i="15"/>
  <c r="S322" i="15" s="1"/>
  <c r="D325" i="15"/>
  <c r="G324" i="15"/>
  <c r="H324" i="15" l="1"/>
  <c r="I323" i="15"/>
  <c r="S323" i="15" s="1"/>
  <c r="D326" i="15"/>
  <c r="G325" i="15"/>
  <c r="H325" i="15" l="1"/>
  <c r="I324" i="15"/>
  <c r="S324" i="15" s="1"/>
  <c r="G326" i="15"/>
  <c r="D327" i="15"/>
  <c r="H326" i="15" l="1"/>
  <c r="I325" i="15"/>
  <c r="S325" i="15" s="1"/>
  <c r="G327" i="15"/>
  <c r="D328" i="15"/>
  <c r="H327" i="15" l="1"/>
  <c r="I326" i="15"/>
  <c r="S326" i="15" s="1"/>
  <c r="D329" i="15"/>
  <c r="G328" i="15"/>
  <c r="H328" i="15" l="1"/>
  <c r="I327" i="15"/>
  <c r="S327" i="15" s="1"/>
  <c r="D330" i="15"/>
  <c r="G329" i="15"/>
  <c r="H329" i="15" l="1"/>
  <c r="I328" i="15"/>
  <c r="S328" i="15" s="1"/>
  <c r="G330" i="15"/>
  <c r="D331" i="15"/>
  <c r="H330" i="15" l="1"/>
  <c r="I329" i="15"/>
  <c r="S329" i="15" s="1"/>
  <c r="G331" i="15"/>
  <c r="D332" i="15"/>
  <c r="H331" i="15" l="1"/>
  <c r="I330" i="15"/>
  <c r="S330" i="15" s="1"/>
  <c r="D333" i="15"/>
  <c r="G332" i="15"/>
  <c r="H332" i="15" l="1"/>
  <c r="I331" i="15"/>
  <c r="S331" i="15" s="1"/>
  <c r="D334" i="15"/>
  <c r="G333" i="15"/>
  <c r="H333" i="15" l="1"/>
  <c r="I332" i="15"/>
  <c r="S332" i="15" s="1"/>
  <c r="G334" i="15"/>
  <c r="D335" i="15"/>
  <c r="H334" i="15" l="1"/>
  <c r="I333" i="15"/>
  <c r="S333" i="15" s="1"/>
  <c r="G335" i="15"/>
  <c r="D336" i="15"/>
  <c r="H335" i="15" l="1"/>
  <c r="I334" i="15"/>
  <c r="S334" i="15" s="1"/>
  <c r="D337" i="15"/>
  <c r="G336" i="15"/>
  <c r="H336" i="15" l="1"/>
  <c r="I335" i="15"/>
  <c r="S335" i="15" s="1"/>
  <c r="D338" i="15"/>
  <c r="G337" i="15"/>
  <c r="G338" i="15" l="1"/>
  <c r="D339" i="15"/>
  <c r="H337" i="15"/>
  <c r="I336" i="15"/>
  <c r="S336" i="15" s="1"/>
  <c r="H338" i="15" l="1"/>
  <c r="I337" i="15"/>
  <c r="S337" i="15" s="1"/>
  <c r="G339" i="15"/>
  <c r="D340" i="15"/>
  <c r="H339" i="15" l="1"/>
  <c r="I338" i="15"/>
  <c r="S338" i="15" s="1"/>
  <c r="D341" i="15"/>
  <c r="G340" i="15"/>
  <c r="D342" i="15" l="1"/>
  <c r="G341" i="15"/>
  <c r="H340" i="15"/>
  <c r="I339" i="15"/>
  <c r="S339" i="15" s="1"/>
  <c r="G342" i="15" l="1"/>
  <c r="D343" i="15"/>
  <c r="H341" i="15"/>
  <c r="I340" i="15"/>
  <c r="S340" i="15" s="1"/>
  <c r="H342" i="15" l="1"/>
  <c r="I341" i="15"/>
  <c r="S341" i="15" s="1"/>
  <c r="G343" i="15"/>
  <c r="D344" i="15"/>
  <c r="H343" i="15" l="1"/>
  <c r="I342" i="15"/>
  <c r="S342" i="15" s="1"/>
  <c r="D345" i="15"/>
  <c r="G344" i="15"/>
  <c r="H344" i="15" l="1"/>
  <c r="I343" i="15"/>
  <c r="S343" i="15" s="1"/>
  <c r="D346" i="15"/>
  <c r="G345" i="15"/>
  <c r="G346" i="15" l="1"/>
  <c r="D347" i="15"/>
  <c r="H345" i="15"/>
  <c r="I344" i="15"/>
  <c r="S344" i="15" s="1"/>
  <c r="H346" i="15" l="1"/>
  <c r="I345" i="15"/>
  <c r="S345" i="15" s="1"/>
  <c r="G347" i="15"/>
  <c r="D348" i="15"/>
  <c r="D349" i="15" l="1"/>
  <c r="G348" i="15"/>
  <c r="H347" i="15"/>
  <c r="I346" i="15"/>
  <c r="S346" i="15" s="1"/>
  <c r="H348" i="15" l="1"/>
  <c r="I347" i="15"/>
  <c r="S347" i="15" s="1"/>
  <c r="D350" i="15"/>
  <c r="G349" i="15"/>
  <c r="H349" i="15" l="1"/>
  <c r="I348" i="15"/>
  <c r="S348" i="15" s="1"/>
  <c r="G350" i="15"/>
  <c r="D351" i="15"/>
  <c r="G351" i="15" l="1"/>
  <c r="D352" i="15"/>
  <c r="H350" i="15"/>
  <c r="I349" i="15"/>
  <c r="S349" i="15" s="1"/>
  <c r="H351" i="15" l="1"/>
  <c r="I350" i="15"/>
  <c r="S350" i="15" s="1"/>
  <c r="D353" i="15"/>
  <c r="G352" i="15"/>
  <c r="H352" i="15" l="1"/>
  <c r="I351" i="15"/>
  <c r="S351" i="15" s="1"/>
  <c r="D354" i="15"/>
  <c r="G353" i="15"/>
  <c r="H353" i="15" l="1"/>
  <c r="I352" i="15"/>
  <c r="S352" i="15" s="1"/>
  <c r="G354" i="15"/>
  <c r="D355" i="15"/>
  <c r="H354" i="15" l="1"/>
  <c r="I353" i="15"/>
  <c r="S353" i="15" s="1"/>
  <c r="G355" i="15"/>
  <c r="D356" i="15"/>
  <c r="H355" i="15" l="1"/>
  <c r="I354" i="15"/>
  <c r="S354" i="15" s="1"/>
  <c r="D357" i="15"/>
  <c r="G356" i="15"/>
  <c r="H356" i="15" l="1"/>
  <c r="I355" i="15"/>
  <c r="S355" i="15" s="1"/>
  <c r="D358" i="15"/>
  <c r="G357" i="15"/>
  <c r="H357" i="15" l="1"/>
  <c r="I356" i="15"/>
  <c r="S356" i="15" s="1"/>
  <c r="G358" i="15"/>
  <c r="D359" i="15"/>
  <c r="H358" i="15" l="1"/>
  <c r="I357" i="15"/>
  <c r="S357" i="15" s="1"/>
  <c r="G359" i="15"/>
  <c r="D360" i="15"/>
  <c r="H359" i="15" l="1"/>
  <c r="I358" i="15"/>
  <c r="S358" i="15" s="1"/>
  <c r="D361" i="15"/>
  <c r="G360" i="15"/>
  <c r="H360" i="15" l="1"/>
  <c r="I359" i="15"/>
  <c r="S359" i="15" s="1"/>
  <c r="D362" i="15"/>
  <c r="G361" i="15"/>
  <c r="H361" i="15" l="1"/>
  <c r="I360" i="15"/>
  <c r="S360" i="15" s="1"/>
  <c r="G362" i="15"/>
  <c r="D363" i="15"/>
  <c r="G363" i="15" l="1"/>
  <c r="D364" i="15"/>
  <c r="H362" i="15"/>
  <c r="I361" i="15"/>
  <c r="S361" i="15" s="1"/>
  <c r="H363" i="15" l="1"/>
  <c r="I362" i="15"/>
  <c r="S362" i="15" s="1"/>
  <c r="D365" i="15"/>
  <c r="G364" i="15"/>
  <c r="H364" i="15" l="1"/>
  <c r="I363" i="15"/>
  <c r="S363" i="15" s="1"/>
  <c r="D366" i="15"/>
  <c r="G365" i="15"/>
  <c r="G366" i="15" l="1"/>
  <c r="D367" i="15"/>
  <c r="H365" i="15"/>
  <c r="I364" i="15"/>
  <c r="S364" i="15" s="1"/>
  <c r="H366" i="15" l="1"/>
  <c r="I365" i="15"/>
  <c r="S365" i="15" s="1"/>
  <c r="G367" i="15"/>
  <c r="D368" i="15"/>
  <c r="D369" i="15" l="1"/>
  <c r="G368" i="15"/>
  <c r="H367" i="15"/>
  <c r="I366" i="15"/>
  <c r="S366" i="15" s="1"/>
  <c r="H368" i="15" l="1"/>
  <c r="I367" i="15"/>
  <c r="S367" i="15" s="1"/>
  <c r="D370" i="15"/>
  <c r="G369" i="15"/>
  <c r="G370" i="15" l="1"/>
  <c r="D371" i="15"/>
  <c r="H369" i="15"/>
  <c r="I368" i="15"/>
  <c r="S368" i="15" s="1"/>
  <c r="H370" i="15" l="1"/>
  <c r="I369" i="15"/>
  <c r="S369" i="15" s="1"/>
  <c r="G371" i="15"/>
  <c r="D372" i="15"/>
  <c r="G372" i="15" l="1"/>
  <c r="D373" i="15"/>
  <c r="H371" i="15"/>
  <c r="I370" i="15"/>
  <c r="S370" i="15" s="1"/>
  <c r="H372" i="15" l="1"/>
  <c r="I371" i="15"/>
  <c r="S371" i="15" s="1"/>
  <c r="D374" i="15"/>
  <c r="G373" i="15"/>
  <c r="H373" i="15" l="1"/>
  <c r="I372" i="15"/>
  <c r="S372" i="15" s="1"/>
  <c r="G374" i="15"/>
  <c r="D375" i="15"/>
  <c r="H374" i="15" l="1"/>
  <c r="I373" i="15"/>
  <c r="S373" i="15" s="1"/>
  <c r="G375" i="15"/>
  <c r="D376" i="15"/>
  <c r="H375" i="15" l="1"/>
  <c r="I374" i="15"/>
  <c r="S374" i="15" s="1"/>
  <c r="G376" i="15"/>
  <c r="D377" i="15"/>
  <c r="H376" i="15" l="1"/>
  <c r="I375" i="15"/>
  <c r="S375" i="15" s="1"/>
  <c r="D378" i="15"/>
  <c r="G377" i="15"/>
  <c r="H377" i="15" l="1"/>
  <c r="I376" i="15"/>
  <c r="S376" i="15" s="1"/>
  <c r="G378" i="15"/>
  <c r="D379" i="15"/>
  <c r="H378" i="15" l="1"/>
  <c r="I377" i="15"/>
  <c r="S377" i="15" s="1"/>
  <c r="G379" i="15"/>
  <c r="D380" i="15"/>
  <c r="H379" i="15" l="1"/>
  <c r="I378" i="15"/>
  <c r="S378" i="15" s="1"/>
  <c r="D381" i="15"/>
  <c r="G380" i="15"/>
  <c r="H380" i="15" l="1"/>
  <c r="I379" i="15"/>
  <c r="S379" i="15" s="1"/>
  <c r="D382" i="15"/>
  <c r="G381" i="15"/>
  <c r="H381" i="15" l="1"/>
  <c r="I380" i="15"/>
  <c r="S380" i="15" s="1"/>
  <c r="D383" i="15"/>
  <c r="G382" i="15"/>
  <c r="H382" i="15" l="1"/>
  <c r="I381" i="15"/>
  <c r="S381" i="15" s="1"/>
  <c r="G383" i="15"/>
  <c r="D384" i="15"/>
  <c r="H383" i="15" l="1"/>
  <c r="I382" i="15"/>
  <c r="S382" i="15" s="1"/>
  <c r="D385" i="15"/>
  <c r="G384" i="15"/>
  <c r="D386" i="15" l="1"/>
  <c r="G385" i="15"/>
  <c r="H384" i="15"/>
  <c r="I383" i="15"/>
  <c r="S383" i="15" s="1"/>
  <c r="H385" i="15" l="1"/>
  <c r="I384" i="15"/>
  <c r="S384" i="15" s="1"/>
  <c r="G386" i="15"/>
  <c r="D387" i="15"/>
  <c r="G387" i="15" l="1"/>
  <c r="D388" i="15"/>
  <c r="H386" i="15"/>
  <c r="I385" i="15"/>
  <c r="S385" i="15" s="1"/>
  <c r="H387" i="15" l="1"/>
  <c r="I386" i="15"/>
  <c r="S386" i="15" s="1"/>
  <c r="G388" i="15"/>
  <c r="D389" i="15"/>
  <c r="D390" i="15" l="1"/>
  <c r="G389" i="15"/>
  <c r="H388" i="15"/>
  <c r="I387" i="15"/>
  <c r="S387" i="15" s="1"/>
  <c r="H389" i="15" l="1"/>
  <c r="I388" i="15"/>
  <c r="S388" i="15" s="1"/>
  <c r="G390" i="15"/>
  <c r="D391" i="15"/>
  <c r="H390" i="15" l="1"/>
  <c r="I389" i="15"/>
  <c r="S389" i="15" s="1"/>
  <c r="G391" i="15"/>
  <c r="D392" i="15"/>
  <c r="D393" i="15" l="1"/>
  <c r="G392" i="15"/>
  <c r="H391" i="15"/>
  <c r="I390" i="15"/>
  <c r="S390" i="15" s="1"/>
  <c r="H392" i="15" l="1"/>
  <c r="I391" i="15"/>
  <c r="S391" i="15" s="1"/>
  <c r="D394" i="15"/>
  <c r="G393" i="15"/>
  <c r="G394" i="15" l="1"/>
  <c r="D395" i="15"/>
  <c r="H393" i="15"/>
  <c r="I392" i="15"/>
  <c r="S392" i="15" s="1"/>
  <c r="H394" i="15" l="1"/>
  <c r="I393" i="15"/>
  <c r="S393" i="15" s="1"/>
  <c r="G395" i="15"/>
  <c r="D396" i="15"/>
  <c r="D397" i="15" l="1"/>
  <c r="G396" i="15"/>
  <c r="H395" i="15"/>
  <c r="I394" i="15"/>
  <c r="S394" i="15" s="1"/>
  <c r="H396" i="15" l="1"/>
  <c r="I395" i="15"/>
  <c r="S395" i="15" s="1"/>
  <c r="D398" i="15"/>
  <c r="G397" i="15"/>
  <c r="H397" i="15" l="1"/>
  <c r="I396" i="15"/>
  <c r="S396" i="15" s="1"/>
  <c r="G398" i="15"/>
  <c r="D399" i="15"/>
  <c r="H398" i="15" l="1"/>
  <c r="I397" i="15"/>
  <c r="S397" i="15" s="1"/>
  <c r="G399" i="15"/>
  <c r="D400" i="15"/>
  <c r="H399" i="15" l="1"/>
  <c r="I398" i="15"/>
  <c r="S398" i="15" s="1"/>
  <c r="D401" i="15"/>
  <c r="G400" i="15"/>
  <c r="H400" i="15" l="1"/>
  <c r="I399" i="15"/>
  <c r="S399" i="15" s="1"/>
  <c r="D402" i="15"/>
  <c r="G401" i="15"/>
  <c r="H401" i="15" l="1"/>
  <c r="I400" i="15"/>
  <c r="S400" i="15" s="1"/>
  <c r="G402" i="15"/>
  <c r="D403" i="15"/>
  <c r="G403" i="15" l="1"/>
  <c r="D404" i="15"/>
  <c r="H402" i="15"/>
  <c r="I401" i="15"/>
  <c r="S401" i="15" s="1"/>
  <c r="H403" i="15" l="1"/>
  <c r="I402" i="15"/>
  <c r="S402" i="15" s="1"/>
  <c r="D405" i="15"/>
  <c r="G404" i="15"/>
  <c r="D406" i="15" l="1"/>
  <c r="G405" i="15"/>
  <c r="H404" i="15"/>
  <c r="I403" i="15"/>
  <c r="S403" i="15" s="1"/>
  <c r="G406" i="15" l="1"/>
  <c r="D407" i="15"/>
  <c r="H405" i="15"/>
  <c r="I404" i="15"/>
  <c r="S404" i="15" s="1"/>
  <c r="H406" i="15" l="1"/>
  <c r="I405" i="15"/>
  <c r="S405" i="15" s="1"/>
  <c r="G407" i="15"/>
  <c r="D408" i="15"/>
  <c r="H407" i="15" l="1"/>
  <c r="I406" i="15"/>
  <c r="S406" i="15" s="1"/>
  <c r="D409" i="15"/>
  <c r="G408" i="15"/>
  <c r="H408" i="15" l="1"/>
  <c r="I407" i="15"/>
  <c r="S407" i="15" s="1"/>
  <c r="D410" i="15"/>
  <c r="G409" i="15"/>
  <c r="H409" i="15" l="1"/>
  <c r="I408" i="15"/>
  <c r="S408" i="15" s="1"/>
  <c r="G410" i="15"/>
  <c r="D411" i="15"/>
  <c r="H410" i="15" l="1"/>
  <c r="I409" i="15"/>
  <c r="S409" i="15" s="1"/>
  <c r="G411" i="15"/>
  <c r="D412" i="15"/>
  <c r="H411" i="15" l="1"/>
  <c r="I410" i="15"/>
  <c r="S410" i="15" s="1"/>
  <c r="D413" i="15"/>
  <c r="G412" i="15"/>
  <c r="H412" i="15" l="1"/>
  <c r="I411" i="15"/>
  <c r="S411" i="15" s="1"/>
  <c r="D414" i="15"/>
  <c r="G413" i="15"/>
  <c r="H413" i="15" l="1"/>
  <c r="I412" i="15"/>
  <c r="S412" i="15" s="1"/>
  <c r="G414" i="15"/>
  <c r="D415" i="15"/>
  <c r="H414" i="15" l="1"/>
  <c r="I413" i="15"/>
  <c r="S413" i="15" s="1"/>
  <c r="G415" i="15"/>
  <c r="D416" i="15"/>
  <c r="H415" i="15" l="1"/>
  <c r="I414" i="15"/>
  <c r="S414" i="15" s="1"/>
  <c r="D417" i="15"/>
  <c r="G416" i="15"/>
  <c r="H416" i="15" l="1"/>
  <c r="I415" i="15"/>
  <c r="S415" i="15" s="1"/>
  <c r="D418" i="15"/>
  <c r="G417" i="15"/>
  <c r="H417" i="15" l="1"/>
  <c r="I416" i="15"/>
  <c r="S416" i="15" s="1"/>
  <c r="G418" i="15"/>
  <c r="D419" i="15"/>
  <c r="H418" i="15" l="1"/>
  <c r="I417" i="15"/>
  <c r="S417" i="15" s="1"/>
  <c r="G419" i="15"/>
  <c r="D420" i="15"/>
  <c r="H419" i="15" l="1"/>
  <c r="I418" i="15"/>
  <c r="S418" i="15" s="1"/>
  <c r="D421" i="15"/>
  <c r="G420" i="15"/>
  <c r="H420" i="15" l="1"/>
  <c r="I419" i="15"/>
  <c r="S419" i="15" s="1"/>
  <c r="D422" i="15"/>
  <c r="G421" i="15"/>
  <c r="H421" i="15" l="1"/>
  <c r="I420" i="15"/>
  <c r="S420" i="15" s="1"/>
  <c r="G422" i="15"/>
  <c r="D423" i="15"/>
  <c r="H422" i="15" l="1"/>
  <c r="I421" i="15"/>
  <c r="S421" i="15" s="1"/>
  <c r="G423" i="15"/>
  <c r="D424" i="15"/>
  <c r="H423" i="15" l="1"/>
  <c r="I422" i="15"/>
  <c r="S422" i="15" s="1"/>
  <c r="D425" i="15"/>
  <c r="G424" i="15"/>
  <c r="H424" i="15" l="1"/>
  <c r="I423" i="15"/>
  <c r="S423" i="15" s="1"/>
  <c r="D426" i="15"/>
  <c r="G425" i="15"/>
  <c r="H425" i="15" l="1"/>
  <c r="I424" i="15"/>
  <c r="S424" i="15" s="1"/>
  <c r="G426" i="15"/>
  <c r="D427" i="15"/>
  <c r="H426" i="15" l="1"/>
  <c r="I425" i="15"/>
  <c r="S425" i="15" s="1"/>
  <c r="G427" i="15"/>
  <c r="D428" i="15"/>
  <c r="H427" i="15" l="1"/>
  <c r="I426" i="15"/>
  <c r="S426" i="15" s="1"/>
  <c r="D429" i="15"/>
  <c r="G428" i="15"/>
  <c r="H428" i="15" l="1"/>
  <c r="I427" i="15"/>
  <c r="S427" i="15" s="1"/>
  <c r="D430" i="15"/>
  <c r="G429" i="15"/>
  <c r="H429" i="15" l="1"/>
  <c r="I428" i="15"/>
  <c r="S428" i="15" s="1"/>
  <c r="G430" i="15"/>
  <c r="D431" i="15"/>
  <c r="H430" i="15" l="1"/>
  <c r="I429" i="15"/>
  <c r="S429" i="15" s="1"/>
  <c r="G431" i="15"/>
  <c r="D432" i="15"/>
  <c r="D433" i="15" l="1"/>
  <c r="G432" i="15"/>
  <c r="H431" i="15"/>
  <c r="I430" i="15"/>
  <c r="S430" i="15" s="1"/>
  <c r="D434" i="15" l="1"/>
  <c r="G433" i="15"/>
  <c r="H432" i="15"/>
  <c r="I431" i="15"/>
  <c r="S431" i="15" s="1"/>
  <c r="G434" i="15" l="1"/>
  <c r="D435" i="15"/>
  <c r="H433" i="15"/>
  <c r="I432" i="15"/>
  <c r="S432" i="15" s="1"/>
  <c r="H434" i="15" l="1"/>
  <c r="I433" i="15"/>
  <c r="S433" i="15" s="1"/>
  <c r="G435" i="15"/>
  <c r="D436" i="15"/>
  <c r="H435" i="15" l="1"/>
  <c r="I434" i="15"/>
  <c r="S434" i="15" s="1"/>
  <c r="D437" i="15"/>
  <c r="G436" i="15"/>
  <c r="H436" i="15" l="1"/>
  <c r="I435" i="15"/>
  <c r="S435" i="15" s="1"/>
  <c r="D438" i="15"/>
  <c r="G437" i="15"/>
  <c r="H437" i="15" l="1"/>
  <c r="I436" i="15"/>
  <c r="S436" i="15" s="1"/>
  <c r="G438" i="15"/>
  <c r="D439" i="15"/>
  <c r="H438" i="15" l="1"/>
  <c r="I437" i="15"/>
  <c r="S437" i="15" s="1"/>
  <c r="G439" i="15"/>
  <c r="D440" i="15"/>
  <c r="H439" i="15" l="1"/>
  <c r="I438" i="15"/>
  <c r="S438" i="15" s="1"/>
  <c r="D441" i="15"/>
  <c r="G440" i="15"/>
  <c r="H440" i="15" l="1"/>
  <c r="I439" i="15"/>
  <c r="S439" i="15" s="1"/>
  <c r="D442" i="15"/>
  <c r="G441" i="15"/>
  <c r="H441" i="15" l="1"/>
  <c r="I440" i="15"/>
  <c r="S440" i="15" s="1"/>
  <c r="G442" i="15"/>
  <c r="D443" i="15"/>
  <c r="H442" i="15" l="1"/>
  <c r="I441" i="15"/>
  <c r="S441" i="15" s="1"/>
  <c r="D444" i="15"/>
  <c r="G443" i="15"/>
  <c r="H443" i="15" l="1"/>
  <c r="I442" i="15"/>
  <c r="S442" i="15" s="1"/>
  <c r="G444" i="15"/>
  <c r="D445" i="15"/>
  <c r="H444" i="15" l="1"/>
  <c r="I443" i="15"/>
  <c r="S443" i="15" s="1"/>
  <c r="G445" i="15"/>
  <c r="D446" i="15"/>
  <c r="H445" i="15" l="1"/>
  <c r="I444" i="15"/>
  <c r="S444" i="15" s="1"/>
  <c r="D447" i="15"/>
  <c r="G446" i="15"/>
  <c r="H446" i="15" l="1"/>
  <c r="I445" i="15"/>
  <c r="S445" i="15" s="1"/>
  <c r="D448" i="15"/>
  <c r="G447" i="15"/>
  <c r="H447" i="15" l="1"/>
  <c r="I446" i="15"/>
  <c r="S446" i="15" s="1"/>
  <c r="G448" i="15"/>
  <c r="D449" i="15"/>
  <c r="H448" i="15" l="1"/>
  <c r="I447" i="15"/>
  <c r="S447" i="15" s="1"/>
  <c r="G449" i="15"/>
  <c r="D450" i="15"/>
  <c r="H449" i="15" l="1"/>
  <c r="I448" i="15"/>
  <c r="S448" i="15" s="1"/>
  <c r="D451" i="15"/>
  <c r="G450" i="15"/>
  <c r="H450" i="15" l="1"/>
  <c r="I449" i="15"/>
  <c r="S449" i="15" s="1"/>
  <c r="D452" i="15"/>
  <c r="G451" i="15"/>
  <c r="G452" i="15" l="1"/>
  <c r="D453" i="15"/>
  <c r="H451" i="15"/>
  <c r="I450" i="15"/>
  <c r="S450" i="15" s="1"/>
  <c r="H452" i="15" l="1"/>
  <c r="I451" i="15"/>
  <c r="S451" i="15" s="1"/>
  <c r="G453" i="15"/>
  <c r="D454" i="15"/>
  <c r="H453" i="15" l="1"/>
  <c r="I452" i="15"/>
  <c r="S452" i="15" s="1"/>
  <c r="D455" i="15"/>
  <c r="G454" i="15"/>
  <c r="H454" i="15" l="1"/>
  <c r="I453" i="15"/>
  <c r="S453" i="15" s="1"/>
  <c r="D456" i="15"/>
  <c r="G455" i="15"/>
  <c r="H455" i="15" l="1"/>
  <c r="I454" i="15"/>
  <c r="S454" i="15" s="1"/>
  <c r="G456" i="15"/>
  <c r="D457" i="15"/>
  <c r="H456" i="15" l="1"/>
  <c r="I455" i="15"/>
  <c r="S455" i="15" s="1"/>
  <c r="G457" i="15"/>
  <c r="D458" i="15"/>
  <c r="H457" i="15" l="1"/>
  <c r="I456" i="15"/>
  <c r="S456" i="15" s="1"/>
  <c r="D459" i="15"/>
  <c r="G458" i="15"/>
  <c r="H458" i="15" l="1"/>
  <c r="I457" i="15"/>
  <c r="S457" i="15" s="1"/>
  <c r="D460" i="15"/>
  <c r="G459" i="15"/>
  <c r="H459" i="15" l="1"/>
  <c r="I458" i="15"/>
  <c r="S458" i="15" s="1"/>
  <c r="G460" i="15"/>
  <c r="D461" i="15"/>
  <c r="H460" i="15" l="1"/>
  <c r="I459" i="15"/>
  <c r="S459" i="15" s="1"/>
  <c r="G461" i="15"/>
  <c r="D462" i="15"/>
  <c r="H461" i="15" l="1"/>
  <c r="I460" i="15"/>
  <c r="S460" i="15" s="1"/>
  <c r="D463" i="15"/>
  <c r="G462" i="15"/>
  <c r="H462" i="15" l="1"/>
  <c r="I461" i="15"/>
  <c r="S461" i="15" s="1"/>
  <c r="D464" i="15"/>
  <c r="G463" i="15"/>
  <c r="H463" i="15" l="1"/>
  <c r="I462" i="15"/>
  <c r="S462" i="15" s="1"/>
  <c r="G464" i="15"/>
  <c r="D465" i="15"/>
  <c r="H464" i="15" l="1"/>
  <c r="I463" i="15"/>
  <c r="S463" i="15" s="1"/>
  <c r="G465" i="15"/>
  <c r="D466" i="15"/>
  <c r="H465" i="15" l="1"/>
  <c r="I464" i="15"/>
  <c r="S464" i="15" s="1"/>
  <c r="D467" i="15"/>
  <c r="G466" i="15"/>
  <c r="H466" i="15" l="1"/>
  <c r="I465" i="15"/>
  <c r="S465" i="15" s="1"/>
  <c r="D468" i="15"/>
  <c r="G467" i="15"/>
  <c r="H467" i="15" l="1"/>
  <c r="I466" i="15"/>
  <c r="S466" i="15" s="1"/>
  <c r="G468" i="15"/>
  <c r="D469" i="15"/>
  <c r="H468" i="15" l="1"/>
  <c r="I467" i="15"/>
  <c r="S467" i="15" s="1"/>
  <c r="G469" i="15"/>
  <c r="D470" i="15"/>
  <c r="H469" i="15" l="1"/>
  <c r="I468" i="15"/>
  <c r="S468" i="15" s="1"/>
  <c r="D471" i="15"/>
  <c r="G470" i="15"/>
  <c r="D472" i="15" l="1"/>
  <c r="G471" i="15"/>
  <c r="H470" i="15"/>
  <c r="I469" i="15"/>
  <c r="S469" i="15" s="1"/>
  <c r="G472" i="15" l="1"/>
  <c r="D473" i="15"/>
  <c r="H471" i="15"/>
  <c r="I470" i="15"/>
  <c r="S470" i="15" s="1"/>
  <c r="H472" i="15" l="1"/>
  <c r="I471" i="15"/>
  <c r="S471" i="15" s="1"/>
  <c r="G473" i="15"/>
  <c r="D474" i="15"/>
  <c r="H473" i="15" l="1"/>
  <c r="I472" i="15"/>
  <c r="S472" i="15" s="1"/>
  <c r="D475" i="15"/>
  <c r="G474" i="15"/>
  <c r="H474" i="15" l="1"/>
  <c r="I473" i="15"/>
  <c r="S473" i="15" s="1"/>
  <c r="D476" i="15"/>
  <c r="G475" i="15"/>
  <c r="H475" i="15" l="1"/>
  <c r="I474" i="15"/>
  <c r="S474" i="15" s="1"/>
  <c r="G476" i="15"/>
  <c r="D477" i="15"/>
  <c r="H476" i="15" l="1"/>
  <c r="I475" i="15"/>
  <c r="S475" i="15" s="1"/>
  <c r="G477" i="15"/>
  <c r="D478" i="15"/>
  <c r="H477" i="15" l="1"/>
  <c r="I476" i="15"/>
  <c r="S476" i="15" s="1"/>
  <c r="D479" i="15"/>
  <c r="G478" i="15"/>
  <c r="H478" i="15" l="1"/>
  <c r="I477" i="15"/>
  <c r="S477" i="15" s="1"/>
  <c r="D480" i="15"/>
  <c r="G479" i="15"/>
  <c r="H479" i="15" l="1"/>
  <c r="I478" i="15"/>
  <c r="S478" i="15" s="1"/>
  <c r="G480" i="15"/>
  <c r="D481" i="15"/>
  <c r="H480" i="15" l="1"/>
  <c r="I479" i="15"/>
  <c r="S479" i="15" s="1"/>
  <c r="G481" i="15"/>
  <c r="D482" i="15"/>
  <c r="H481" i="15" l="1"/>
  <c r="I480" i="15"/>
  <c r="S480" i="15" s="1"/>
  <c r="D483" i="15"/>
  <c r="G482" i="15"/>
  <c r="H482" i="15" l="1"/>
  <c r="I481" i="15"/>
  <c r="S481" i="15" s="1"/>
  <c r="D484" i="15"/>
  <c r="G483" i="15"/>
  <c r="H483" i="15" l="1"/>
  <c r="I482" i="15"/>
  <c r="S482" i="15" s="1"/>
  <c r="G484" i="15"/>
  <c r="D485" i="15"/>
  <c r="H484" i="15" l="1"/>
  <c r="I483" i="15"/>
  <c r="S483" i="15" s="1"/>
  <c r="G485" i="15"/>
  <c r="D486" i="15"/>
  <c r="D487" i="15" l="1"/>
  <c r="G486" i="15"/>
  <c r="H485" i="15"/>
  <c r="I484" i="15"/>
  <c r="S484" i="15" s="1"/>
  <c r="D488" i="15" l="1"/>
  <c r="G487" i="15"/>
  <c r="H486" i="15"/>
  <c r="I485" i="15"/>
  <c r="S485" i="15" s="1"/>
  <c r="G488" i="15" l="1"/>
  <c r="D489" i="15"/>
  <c r="H487" i="15"/>
  <c r="I486" i="15"/>
  <c r="S486" i="15" s="1"/>
  <c r="H488" i="15" l="1"/>
  <c r="I487" i="15"/>
  <c r="S487" i="15" s="1"/>
  <c r="G489" i="15"/>
  <c r="D490" i="15"/>
  <c r="H489" i="15" l="1"/>
  <c r="I488" i="15"/>
  <c r="S488" i="15" s="1"/>
  <c r="D491" i="15"/>
  <c r="G490" i="15"/>
  <c r="H490" i="15" l="1"/>
  <c r="I489" i="15"/>
  <c r="S489" i="15" s="1"/>
  <c r="D492" i="15"/>
  <c r="G491" i="15"/>
  <c r="H491" i="15" l="1"/>
  <c r="I490" i="15"/>
  <c r="S490" i="15" s="1"/>
  <c r="G492" i="15"/>
  <c r="D493" i="15"/>
  <c r="H492" i="15" l="1"/>
  <c r="I491" i="15"/>
  <c r="S491" i="15" s="1"/>
  <c r="G493" i="15"/>
  <c r="D494" i="15"/>
  <c r="H493" i="15" l="1"/>
  <c r="I492" i="15"/>
  <c r="S492" i="15" s="1"/>
  <c r="D495" i="15"/>
  <c r="G494" i="15"/>
  <c r="H494" i="15" l="1"/>
  <c r="I493" i="15"/>
  <c r="S493" i="15" s="1"/>
  <c r="D496" i="15"/>
  <c r="G495" i="15"/>
  <c r="H495" i="15" l="1"/>
  <c r="I494" i="15"/>
  <c r="S494" i="15" s="1"/>
  <c r="G496" i="15"/>
  <c r="D497" i="15"/>
  <c r="H496" i="15" l="1"/>
  <c r="I495" i="15"/>
  <c r="S495" i="15" s="1"/>
  <c r="G497" i="15"/>
  <c r="D498" i="15"/>
  <c r="H497" i="15" l="1"/>
  <c r="I496" i="15"/>
  <c r="S496" i="15" s="1"/>
  <c r="D499" i="15"/>
  <c r="G498" i="15"/>
  <c r="H498" i="15" l="1"/>
  <c r="I497" i="15"/>
  <c r="S497" i="15" s="1"/>
  <c r="D500" i="15"/>
  <c r="G499" i="15"/>
  <c r="H499" i="15" l="1"/>
  <c r="I498" i="15"/>
  <c r="S498" i="15" s="1"/>
  <c r="G500" i="15"/>
  <c r="D501" i="15"/>
  <c r="H500" i="15" l="1"/>
  <c r="I499" i="15"/>
  <c r="S499" i="15" s="1"/>
  <c r="G501" i="15"/>
  <c r="D502" i="15"/>
  <c r="H501" i="15" l="1"/>
  <c r="I500" i="15"/>
  <c r="S500" i="15" s="1"/>
  <c r="D503" i="15"/>
  <c r="G502" i="15"/>
  <c r="H502" i="15" l="1"/>
  <c r="I501" i="15"/>
  <c r="S501" i="15" s="1"/>
  <c r="D504" i="15"/>
  <c r="G503" i="15"/>
  <c r="H503" i="15" l="1"/>
  <c r="I502" i="15"/>
  <c r="S502" i="15" s="1"/>
  <c r="G504" i="15"/>
  <c r="D505" i="15"/>
  <c r="H504" i="15" l="1"/>
  <c r="I503" i="15"/>
  <c r="S503" i="15" s="1"/>
  <c r="G505" i="15"/>
  <c r="D506" i="15"/>
  <c r="H505" i="15" l="1"/>
  <c r="I504" i="15"/>
  <c r="S504" i="15" s="1"/>
  <c r="D507" i="15"/>
  <c r="G506" i="15"/>
  <c r="H506" i="15" l="1"/>
  <c r="I505" i="15"/>
  <c r="S505" i="15" s="1"/>
  <c r="D508" i="15"/>
  <c r="G507" i="15"/>
  <c r="H507" i="15" l="1"/>
  <c r="I506" i="15"/>
  <c r="S506" i="15" s="1"/>
  <c r="G508" i="15"/>
  <c r="D509" i="15"/>
  <c r="H508" i="15" l="1"/>
  <c r="I507" i="15"/>
  <c r="S507" i="15" s="1"/>
  <c r="G509" i="15"/>
  <c r="D510" i="15"/>
  <c r="H509" i="15" l="1"/>
  <c r="I508" i="15"/>
  <c r="S508" i="15" s="1"/>
  <c r="D511" i="15"/>
  <c r="G510" i="15"/>
  <c r="H510" i="15" l="1"/>
  <c r="I509" i="15"/>
  <c r="S509" i="15" s="1"/>
  <c r="D512" i="15"/>
  <c r="G511" i="15"/>
  <c r="H511" i="15" l="1"/>
  <c r="I510" i="15"/>
  <c r="S510" i="15" s="1"/>
  <c r="G512" i="15"/>
  <c r="D513" i="15"/>
  <c r="H512" i="15" l="1"/>
  <c r="I511" i="15"/>
  <c r="S511" i="15" s="1"/>
  <c r="G513" i="15"/>
  <c r="D514" i="15"/>
  <c r="H513" i="15" l="1"/>
  <c r="I512" i="15"/>
  <c r="S512" i="15" s="1"/>
  <c r="D515" i="15"/>
  <c r="G514" i="15"/>
  <c r="H514" i="15" l="1"/>
  <c r="I513" i="15"/>
  <c r="S513" i="15" s="1"/>
  <c r="G515" i="15"/>
  <c r="D516" i="15"/>
  <c r="H515" i="15" l="1"/>
  <c r="I514" i="15"/>
  <c r="S514" i="15" s="1"/>
  <c r="G516" i="15"/>
  <c r="D517" i="15"/>
  <c r="H516" i="15" l="1"/>
  <c r="I515" i="15"/>
  <c r="S515" i="15" s="1"/>
  <c r="G517" i="15"/>
  <c r="D518" i="15"/>
  <c r="H517" i="15" l="1"/>
  <c r="I516" i="15"/>
  <c r="S516" i="15" s="1"/>
  <c r="D519" i="15"/>
  <c r="G518" i="15"/>
  <c r="H518" i="15" l="1"/>
  <c r="I517" i="15"/>
  <c r="S517" i="15" s="1"/>
  <c r="G519" i="15"/>
  <c r="D520" i="15"/>
  <c r="H519" i="15" l="1"/>
  <c r="I518" i="15"/>
  <c r="S518" i="15" s="1"/>
  <c r="G520" i="15"/>
  <c r="D521" i="15"/>
  <c r="H520" i="15" l="1"/>
  <c r="I519" i="15"/>
  <c r="S519" i="15" s="1"/>
  <c r="D522" i="15"/>
  <c r="G521" i="15"/>
  <c r="H521" i="15" l="1"/>
  <c r="I520" i="15"/>
  <c r="S520" i="15" s="1"/>
  <c r="D523" i="15"/>
  <c r="G522" i="15"/>
  <c r="H522" i="15" l="1"/>
  <c r="I521" i="15"/>
  <c r="S521" i="15" s="1"/>
  <c r="D524" i="15"/>
  <c r="G523" i="15"/>
  <c r="H523" i="15" l="1"/>
  <c r="I522" i="15"/>
  <c r="S522" i="15" s="1"/>
  <c r="G524" i="15"/>
  <c r="D525" i="15"/>
  <c r="H524" i="15" l="1"/>
  <c r="I523" i="15"/>
  <c r="S523" i="15" s="1"/>
  <c r="D526" i="15"/>
  <c r="G525" i="15"/>
  <c r="H525" i="15" l="1"/>
  <c r="I524" i="15"/>
  <c r="S524" i="15" s="1"/>
  <c r="D527" i="15"/>
  <c r="G526" i="15"/>
  <c r="H526" i="15" l="1"/>
  <c r="I525" i="15"/>
  <c r="S525" i="15" s="1"/>
  <c r="D528" i="15"/>
  <c r="G527" i="15"/>
  <c r="H527" i="15" l="1"/>
  <c r="I526" i="15"/>
  <c r="S526" i="15" s="1"/>
  <c r="G528" i="15"/>
  <c r="D529" i="15"/>
  <c r="H528" i="15" l="1"/>
  <c r="I527" i="15"/>
  <c r="S527" i="15" s="1"/>
  <c r="G529" i="15"/>
  <c r="D530" i="15"/>
  <c r="H529" i="15" l="1"/>
  <c r="I528" i="15"/>
  <c r="S528" i="15" s="1"/>
  <c r="D531" i="15"/>
  <c r="G530" i="15"/>
  <c r="H530" i="15" l="1"/>
  <c r="I529" i="15"/>
  <c r="S529" i="15" s="1"/>
  <c r="G531" i="15"/>
  <c r="D532" i="15"/>
  <c r="H531" i="15" l="1"/>
  <c r="I530" i="15"/>
  <c r="S530" i="15" s="1"/>
  <c r="G532" i="15"/>
  <c r="D533" i="15"/>
  <c r="H532" i="15" l="1"/>
  <c r="I531" i="15"/>
  <c r="S531" i="15" s="1"/>
  <c r="G533" i="15"/>
  <c r="D534" i="15"/>
  <c r="H533" i="15" l="1"/>
  <c r="I532" i="15"/>
  <c r="S532" i="15" s="1"/>
  <c r="D535" i="15"/>
  <c r="G534" i="15"/>
  <c r="H534" i="15" l="1"/>
  <c r="I533" i="15"/>
  <c r="S533" i="15" s="1"/>
  <c r="G535" i="15"/>
  <c r="D536" i="15"/>
  <c r="H535" i="15" l="1"/>
  <c r="I534" i="15"/>
  <c r="S534" i="15" s="1"/>
  <c r="G536" i="15"/>
  <c r="D537" i="15"/>
  <c r="D538" i="15" l="1"/>
  <c r="G537" i="15"/>
  <c r="H536" i="15"/>
  <c r="I535" i="15"/>
  <c r="S535" i="15" s="1"/>
  <c r="D539" i="15" l="1"/>
  <c r="G538" i="15"/>
  <c r="H537" i="15"/>
  <c r="I536" i="15"/>
  <c r="S536" i="15" s="1"/>
  <c r="D540" i="15" l="1"/>
  <c r="G539" i="15"/>
  <c r="H538" i="15"/>
  <c r="I537" i="15"/>
  <c r="S537" i="15" s="1"/>
  <c r="G540" i="15" l="1"/>
  <c r="D541" i="15"/>
  <c r="H539" i="15"/>
  <c r="I538" i="15"/>
  <c r="S538" i="15" s="1"/>
  <c r="H540" i="15" l="1"/>
  <c r="I539" i="15"/>
  <c r="S539" i="15" s="1"/>
  <c r="D542" i="15"/>
  <c r="G541" i="15"/>
  <c r="H541" i="15" l="1"/>
  <c r="I540" i="15"/>
  <c r="S540" i="15" s="1"/>
  <c r="D543" i="15"/>
  <c r="G542" i="15"/>
  <c r="H542" i="15" l="1"/>
  <c r="I541" i="15"/>
  <c r="S541" i="15" s="1"/>
  <c r="D544" i="15"/>
  <c r="G543" i="15"/>
  <c r="H543" i="15" l="1"/>
  <c r="I542" i="15"/>
  <c r="S542" i="15" s="1"/>
  <c r="G544" i="15"/>
  <c r="D545" i="15"/>
  <c r="H544" i="15" l="1"/>
  <c r="I543" i="15"/>
  <c r="S543" i="15" s="1"/>
  <c r="G545" i="15"/>
  <c r="D546" i="15"/>
  <c r="H545" i="15" l="1"/>
  <c r="I544" i="15"/>
  <c r="S544" i="15" s="1"/>
  <c r="D547" i="15"/>
  <c r="G546" i="15"/>
  <c r="H546" i="15" l="1"/>
  <c r="I545" i="15"/>
  <c r="S545" i="15" s="1"/>
  <c r="G547" i="15"/>
  <c r="D548" i="15"/>
  <c r="H547" i="15" l="1"/>
  <c r="I546" i="15"/>
  <c r="S546" i="15" s="1"/>
  <c r="G548" i="15"/>
  <c r="D549" i="15"/>
  <c r="H548" i="15" l="1"/>
  <c r="I547" i="15"/>
  <c r="S547" i="15" s="1"/>
  <c r="G549" i="15"/>
  <c r="D550" i="15"/>
  <c r="H549" i="15" l="1"/>
  <c r="I548" i="15"/>
  <c r="S548" i="15" s="1"/>
  <c r="D551" i="15"/>
  <c r="G550" i="15"/>
  <c r="H550" i="15" l="1"/>
  <c r="I549" i="15"/>
  <c r="S549" i="15" s="1"/>
  <c r="G551" i="15"/>
  <c r="D552" i="15"/>
  <c r="G552" i="15" l="1"/>
  <c r="D553" i="15"/>
  <c r="H551" i="15"/>
  <c r="I550" i="15"/>
  <c r="S550" i="15" s="1"/>
  <c r="H552" i="15" l="1"/>
  <c r="I551" i="15"/>
  <c r="S551" i="15" s="1"/>
  <c r="D554" i="15"/>
  <c r="G553" i="15"/>
  <c r="D555" i="15" l="1"/>
  <c r="G554" i="15"/>
  <c r="H553" i="15"/>
  <c r="I552" i="15"/>
  <c r="S552" i="15" s="1"/>
  <c r="H554" i="15" l="1"/>
  <c r="I553" i="15"/>
  <c r="S553" i="15" s="1"/>
  <c r="D556" i="15"/>
  <c r="G555" i="15"/>
  <c r="G556" i="15" l="1"/>
  <c r="D557" i="15"/>
  <c r="H555" i="15"/>
  <c r="I554" i="15"/>
  <c r="S554" i="15" s="1"/>
  <c r="H556" i="15" l="1"/>
  <c r="I555" i="15"/>
  <c r="S555" i="15" s="1"/>
  <c r="D558" i="15"/>
  <c r="G557" i="15"/>
  <c r="D559" i="15" l="1"/>
  <c r="G558" i="15"/>
  <c r="H557" i="15"/>
  <c r="I556" i="15"/>
  <c r="S556" i="15" s="1"/>
  <c r="H558" i="15" l="1"/>
  <c r="I557" i="15"/>
  <c r="S557" i="15" s="1"/>
  <c r="D560" i="15"/>
  <c r="G559" i="15"/>
  <c r="G560" i="15" l="1"/>
  <c r="D561" i="15"/>
  <c r="H559" i="15"/>
  <c r="I558" i="15"/>
  <c r="S558" i="15" s="1"/>
  <c r="H560" i="15" l="1"/>
  <c r="I559" i="15"/>
  <c r="S559" i="15" s="1"/>
  <c r="G561" i="15"/>
  <c r="D562" i="15"/>
  <c r="H561" i="15" l="1"/>
  <c r="I560" i="15"/>
  <c r="S560" i="15" s="1"/>
  <c r="D563" i="15"/>
  <c r="G562" i="15"/>
  <c r="G563" i="15" l="1"/>
  <c r="D564" i="15"/>
  <c r="H562" i="15"/>
  <c r="I561" i="15"/>
  <c r="S561" i="15" s="1"/>
  <c r="H563" i="15" l="1"/>
  <c r="I562" i="15"/>
  <c r="S562" i="15" s="1"/>
  <c r="G564" i="15"/>
  <c r="D565" i="15"/>
  <c r="G565" i="15" l="1"/>
  <c r="D566" i="15"/>
  <c r="H564" i="15"/>
  <c r="I563" i="15"/>
  <c r="S563" i="15" s="1"/>
  <c r="H565" i="15" l="1"/>
  <c r="I564" i="15"/>
  <c r="S564" i="15" s="1"/>
  <c r="G566" i="15"/>
  <c r="D567" i="15"/>
  <c r="D568" i="15" l="1"/>
  <c r="G567" i="15"/>
  <c r="H566" i="15"/>
  <c r="I565" i="15"/>
  <c r="S565" i="15" s="1"/>
  <c r="H567" i="15" l="1"/>
  <c r="I566" i="15"/>
  <c r="S566" i="15" s="1"/>
  <c r="G568" i="15"/>
  <c r="D569" i="15"/>
  <c r="G569" i="15" l="1"/>
  <c r="D570" i="15"/>
  <c r="H568" i="15"/>
  <c r="I567" i="15"/>
  <c r="S567" i="15" s="1"/>
  <c r="H569" i="15" l="1"/>
  <c r="I568" i="15"/>
  <c r="S568" i="15" s="1"/>
  <c r="D571" i="15"/>
  <c r="G570" i="15"/>
  <c r="D572" i="15" l="1"/>
  <c r="G571" i="15"/>
  <c r="H570" i="15"/>
  <c r="I569" i="15"/>
  <c r="S569" i="15" s="1"/>
  <c r="H571" i="15" l="1"/>
  <c r="I570" i="15"/>
  <c r="S570" i="15" s="1"/>
  <c r="G572" i="15"/>
  <c r="D573" i="15"/>
  <c r="G573" i="15" l="1"/>
  <c r="D574" i="15"/>
  <c r="H572" i="15"/>
  <c r="I571" i="15"/>
  <c r="S571" i="15" s="1"/>
  <c r="H573" i="15" l="1"/>
  <c r="I572" i="15"/>
  <c r="S572" i="15" s="1"/>
  <c r="G574" i="15"/>
  <c r="D575" i="15"/>
  <c r="D576" i="15" l="1"/>
  <c r="G575" i="15"/>
  <c r="H574" i="15"/>
  <c r="I573" i="15"/>
  <c r="S573" i="15" s="1"/>
  <c r="H575" i="15" l="1"/>
  <c r="I574" i="15"/>
  <c r="S574" i="15" s="1"/>
  <c r="G576" i="15"/>
  <c r="D577" i="15"/>
  <c r="G577" i="15" l="1"/>
  <c r="D578" i="15"/>
  <c r="H576" i="15"/>
  <c r="I575" i="15"/>
  <c r="S575" i="15" s="1"/>
  <c r="H577" i="15" l="1"/>
  <c r="I576" i="15"/>
  <c r="S576" i="15" s="1"/>
  <c r="D579" i="15"/>
  <c r="G578" i="15"/>
  <c r="H578" i="15" l="1"/>
  <c r="I577" i="15"/>
  <c r="S577" i="15" s="1"/>
  <c r="D580" i="15"/>
  <c r="G579" i="15"/>
  <c r="G580" i="15" l="1"/>
  <c r="D581" i="15"/>
  <c r="H579" i="15"/>
  <c r="I578" i="15"/>
  <c r="S578" i="15" s="1"/>
  <c r="H580" i="15" l="1"/>
  <c r="I579" i="15"/>
  <c r="S579" i="15" s="1"/>
  <c r="G581" i="15"/>
  <c r="D582" i="15"/>
  <c r="G582" i="15" l="1"/>
  <c r="D583" i="15"/>
  <c r="H581" i="15"/>
  <c r="I580" i="15"/>
  <c r="S580" i="15" s="1"/>
  <c r="H582" i="15" l="1"/>
  <c r="I581" i="15"/>
  <c r="S581" i="15" s="1"/>
  <c r="D584" i="15"/>
  <c r="G583" i="15"/>
  <c r="G584" i="15" l="1"/>
  <c r="D585" i="15"/>
  <c r="H583" i="15"/>
  <c r="I582" i="15"/>
  <c r="S582" i="15" s="1"/>
  <c r="H584" i="15" l="1"/>
  <c r="I583" i="15"/>
  <c r="S583" i="15" s="1"/>
  <c r="G585" i="15"/>
  <c r="D586" i="15"/>
  <c r="D587" i="15" l="1"/>
  <c r="G586" i="15"/>
  <c r="H585" i="15"/>
  <c r="I584" i="15"/>
  <c r="S584" i="15" s="1"/>
  <c r="H586" i="15" l="1"/>
  <c r="I585" i="15"/>
  <c r="S585" i="15" s="1"/>
  <c r="D588" i="15"/>
  <c r="G587" i="15"/>
  <c r="H587" i="15" l="1"/>
  <c r="I586" i="15"/>
  <c r="S586" i="15" s="1"/>
  <c r="G588" i="15"/>
  <c r="D589" i="15"/>
  <c r="G589" i="15" l="1"/>
  <c r="D590" i="15"/>
  <c r="H588" i="15"/>
  <c r="I587" i="15"/>
  <c r="S587" i="15" s="1"/>
  <c r="H589" i="15" l="1"/>
  <c r="I588" i="15"/>
  <c r="S588" i="15" s="1"/>
  <c r="G590" i="15"/>
  <c r="D591" i="15"/>
  <c r="D592" i="15" l="1"/>
  <c r="G591" i="15"/>
  <c r="H590" i="15"/>
  <c r="I589" i="15"/>
  <c r="S589" i="15" s="1"/>
  <c r="H591" i="15" l="1"/>
  <c r="I590" i="15"/>
  <c r="S590" i="15" s="1"/>
  <c r="G592" i="15"/>
  <c r="D593" i="15"/>
  <c r="G593" i="15" l="1"/>
  <c r="D594" i="15"/>
  <c r="H592" i="15"/>
  <c r="I591" i="15"/>
  <c r="S591" i="15" s="1"/>
  <c r="H593" i="15" l="1"/>
  <c r="I592" i="15"/>
  <c r="S592" i="15" s="1"/>
  <c r="D595" i="15"/>
  <c r="G594" i="15"/>
  <c r="D596" i="15" l="1"/>
  <c r="G595" i="15"/>
  <c r="H594" i="15"/>
  <c r="I593" i="15"/>
  <c r="S593" i="15" s="1"/>
  <c r="H595" i="15" l="1"/>
  <c r="I594" i="15"/>
  <c r="S594" i="15" s="1"/>
  <c r="G596" i="15"/>
  <c r="D597" i="15"/>
  <c r="G597" i="15" l="1"/>
  <c r="D598" i="15"/>
  <c r="H596" i="15"/>
  <c r="I595" i="15"/>
  <c r="S595" i="15" s="1"/>
  <c r="H597" i="15" l="1"/>
  <c r="I596" i="15"/>
  <c r="S596" i="15" s="1"/>
  <c r="G598" i="15"/>
  <c r="D599" i="15"/>
  <c r="D600" i="15" l="1"/>
  <c r="G599" i="15"/>
  <c r="H598" i="15"/>
  <c r="I597" i="15"/>
  <c r="S597" i="15" s="1"/>
  <c r="H599" i="15" l="1"/>
  <c r="I598" i="15"/>
  <c r="S598" i="15" s="1"/>
  <c r="G600" i="15"/>
  <c r="D601" i="15"/>
  <c r="H600" i="15" l="1"/>
  <c r="I599" i="15"/>
  <c r="S599" i="15" s="1"/>
  <c r="G601" i="15"/>
  <c r="D602" i="15"/>
  <c r="D603" i="15" l="1"/>
  <c r="G602" i="15"/>
  <c r="H601" i="15"/>
  <c r="I600" i="15"/>
  <c r="S600" i="15" s="1"/>
  <c r="H602" i="15" l="1"/>
  <c r="I601" i="15"/>
  <c r="S601" i="15" s="1"/>
  <c r="D604" i="15"/>
  <c r="G603" i="15"/>
  <c r="G604" i="15" l="1"/>
  <c r="D605" i="15"/>
  <c r="H603" i="15"/>
  <c r="I602" i="15"/>
  <c r="S602" i="15" s="1"/>
  <c r="H604" i="15" l="1"/>
  <c r="I603" i="15"/>
  <c r="S603" i="15" s="1"/>
  <c r="G605" i="15"/>
  <c r="D606" i="15"/>
  <c r="G606" i="15" l="1"/>
  <c r="D607" i="15"/>
  <c r="H605" i="15"/>
  <c r="I604" i="15"/>
  <c r="S604" i="15" s="1"/>
  <c r="H606" i="15" l="1"/>
  <c r="I605" i="15"/>
  <c r="S605" i="15" s="1"/>
  <c r="D608" i="15"/>
  <c r="G607" i="15"/>
  <c r="G608" i="15" l="1"/>
  <c r="D609" i="15"/>
  <c r="H607" i="15"/>
  <c r="I606" i="15"/>
  <c r="S606" i="15" s="1"/>
  <c r="H608" i="15" l="1"/>
  <c r="I607" i="15"/>
  <c r="S607" i="15" s="1"/>
  <c r="G609" i="15"/>
  <c r="D610" i="15"/>
  <c r="D611" i="15" l="1"/>
  <c r="G610" i="15"/>
  <c r="H609" i="15"/>
  <c r="I608" i="15"/>
  <c r="S608" i="15" s="1"/>
  <c r="H610" i="15" l="1"/>
  <c r="I609" i="15"/>
  <c r="S609" i="15" s="1"/>
  <c r="D612" i="15"/>
  <c r="G611" i="15"/>
  <c r="G612" i="15" l="1"/>
  <c r="D613" i="15"/>
  <c r="H611" i="15"/>
  <c r="I610" i="15"/>
  <c r="S610" i="15" s="1"/>
  <c r="H612" i="15" l="1"/>
  <c r="I611" i="15"/>
  <c r="S611" i="15" s="1"/>
  <c r="G613" i="15"/>
  <c r="D614" i="15"/>
  <c r="G614" i="15" l="1"/>
  <c r="D615" i="15"/>
  <c r="H613" i="15"/>
  <c r="I612" i="15"/>
  <c r="S612" i="15" s="1"/>
  <c r="D616" i="15" l="1"/>
  <c r="G615" i="15"/>
  <c r="H614" i="15"/>
  <c r="I613" i="15"/>
  <c r="S613" i="15" s="1"/>
  <c r="H615" i="15" l="1"/>
  <c r="I614" i="15"/>
  <c r="S614" i="15" s="1"/>
  <c r="G616" i="15"/>
  <c r="D617" i="15"/>
  <c r="G617" i="15" l="1"/>
  <c r="D618" i="15"/>
  <c r="H616" i="15"/>
  <c r="I615" i="15"/>
  <c r="S615" i="15" s="1"/>
  <c r="D619" i="15" l="1"/>
  <c r="G618" i="15"/>
  <c r="H617" i="15"/>
  <c r="I616" i="15"/>
  <c r="S616" i="15" s="1"/>
  <c r="H618" i="15" l="1"/>
  <c r="I617" i="15"/>
  <c r="S617" i="15" s="1"/>
  <c r="D620" i="15"/>
  <c r="G619" i="15"/>
  <c r="G620" i="15" l="1"/>
  <c r="D621" i="15"/>
  <c r="H619" i="15"/>
  <c r="I618" i="15"/>
  <c r="S618" i="15" s="1"/>
  <c r="H620" i="15" l="1"/>
  <c r="I619" i="15"/>
  <c r="S619" i="15" s="1"/>
  <c r="G621" i="15"/>
  <c r="D622" i="15"/>
  <c r="G622" i="15" l="1"/>
  <c r="D623" i="15"/>
  <c r="H621" i="15"/>
  <c r="I620" i="15"/>
  <c r="S620" i="15" s="1"/>
  <c r="H622" i="15" l="1"/>
  <c r="I621" i="15"/>
  <c r="S621" i="15" s="1"/>
  <c r="D624" i="15"/>
  <c r="G623" i="15"/>
  <c r="G624" i="15" l="1"/>
  <c r="D625" i="15"/>
  <c r="H623" i="15"/>
  <c r="I622" i="15"/>
  <c r="S622" i="15" s="1"/>
  <c r="H624" i="15" l="1"/>
  <c r="I623" i="15"/>
  <c r="S623" i="15" s="1"/>
  <c r="G625" i="15"/>
  <c r="D626" i="15"/>
  <c r="D627" i="15" l="1"/>
  <c r="G626" i="15"/>
  <c r="H625" i="15"/>
  <c r="I624" i="15"/>
  <c r="S624" i="15" s="1"/>
  <c r="I625" i="15" l="1"/>
  <c r="S625" i="15" s="1"/>
  <c r="H626" i="15"/>
  <c r="D628" i="15"/>
  <c r="G627" i="15"/>
  <c r="G628" i="15" l="1"/>
  <c r="D629" i="15"/>
  <c r="H627" i="15"/>
  <c r="I626" i="15"/>
  <c r="S626" i="15" s="1"/>
  <c r="G629" i="15" l="1"/>
  <c r="D630" i="15"/>
  <c r="I627" i="15"/>
  <c r="S627" i="15" s="1"/>
  <c r="H628" i="15"/>
  <c r="H629" i="15" l="1"/>
  <c r="I628" i="15"/>
  <c r="S628" i="15" s="1"/>
  <c r="G630" i="15"/>
  <c r="D631" i="15"/>
  <c r="D632" i="15" l="1"/>
  <c r="G631" i="15"/>
  <c r="I629" i="15"/>
  <c r="S629" i="15" s="1"/>
  <c r="H630" i="15"/>
  <c r="H631" i="15" l="1"/>
  <c r="I630" i="15"/>
  <c r="S630" i="15" s="1"/>
  <c r="G632" i="15"/>
  <c r="D633" i="15"/>
  <c r="G633" i="15" l="1"/>
  <c r="D634" i="15"/>
  <c r="H632" i="15"/>
  <c r="I631" i="15"/>
  <c r="S631" i="15" s="1"/>
  <c r="H633" i="15" l="1"/>
  <c r="I632" i="15"/>
  <c r="S632" i="15" s="1"/>
  <c r="D635" i="15"/>
  <c r="G634" i="15"/>
  <c r="D636" i="15" l="1"/>
  <c r="G635" i="15"/>
  <c r="I633" i="15"/>
  <c r="S633" i="15" s="1"/>
  <c r="H634" i="15"/>
  <c r="H635" i="15" l="1"/>
  <c r="I634" i="15"/>
  <c r="S634" i="15" s="1"/>
  <c r="G636" i="15"/>
  <c r="D637" i="15"/>
  <c r="G637" i="15" l="1"/>
  <c r="D638" i="15"/>
  <c r="I635" i="15"/>
  <c r="S635" i="15" s="1"/>
  <c r="H636" i="15"/>
  <c r="H637" i="15" l="1"/>
  <c r="I636" i="15"/>
  <c r="S636" i="15" s="1"/>
  <c r="G638" i="15"/>
  <c r="D639" i="15"/>
  <c r="D640" i="15" l="1"/>
  <c r="G639" i="15"/>
  <c r="I637" i="15"/>
  <c r="S637" i="15" s="1"/>
  <c r="H638" i="15"/>
  <c r="H639" i="15" l="1"/>
  <c r="I638" i="15"/>
  <c r="S638" i="15" s="1"/>
  <c r="G640" i="15"/>
  <c r="D641" i="15"/>
  <c r="G641" i="15" l="1"/>
  <c r="D642" i="15"/>
  <c r="H640" i="15"/>
  <c r="I639" i="15"/>
  <c r="S639" i="15" s="1"/>
  <c r="H641" i="15" l="1"/>
  <c r="I640" i="15"/>
  <c r="S640" i="15" s="1"/>
  <c r="D643" i="15"/>
  <c r="G642" i="15"/>
  <c r="D644" i="15" l="1"/>
  <c r="G643" i="15"/>
  <c r="I641" i="15"/>
  <c r="S641" i="15" s="1"/>
  <c r="H642" i="15"/>
  <c r="H643" i="15" l="1"/>
  <c r="I642" i="15"/>
  <c r="S642" i="15" s="1"/>
  <c r="G644" i="15"/>
  <c r="D645" i="15"/>
  <c r="I643" i="15" l="1"/>
  <c r="S643" i="15" s="1"/>
  <c r="H644" i="15"/>
  <c r="G645" i="15"/>
  <c r="D646" i="15"/>
  <c r="H645" i="15" l="1"/>
  <c r="I644" i="15"/>
  <c r="S644" i="15" s="1"/>
  <c r="G646" i="15"/>
  <c r="D647" i="15"/>
  <c r="D648" i="15" l="1"/>
  <c r="G647" i="15"/>
  <c r="I645" i="15"/>
  <c r="S645" i="15" s="1"/>
  <c r="H646" i="15"/>
  <c r="H647" i="15" l="1"/>
  <c r="I646" i="15"/>
  <c r="S646" i="15" s="1"/>
  <c r="G648" i="15"/>
  <c r="D649" i="15"/>
  <c r="G649" i="15" l="1"/>
  <c r="D650" i="15"/>
  <c r="H648" i="15"/>
  <c r="I647" i="15"/>
  <c r="S647" i="15" s="1"/>
  <c r="H649" i="15" l="1"/>
  <c r="I648" i="15"/>
  <c r="S648" i="15" s="1"/>
  <c r="D651" i="15"/>
  <c r="G650" i="15"/>
  <c r="D652" i="15" l="1"/>
  <c r="G651" i="15"/>
  <c r="I649" i="15"/>
  <c r="S649" i="15" s="1"/>
  <c r="H650" i="15"/>
  <c r="H651" i="15" l="1"/>
  <c r="I650" i="15"/>
  <c r="S650" i="15" s="1"/>
  <c r="G652" i="15"/>
  <c r="D653" i="15"/>
  <c r="G653" i="15" l="1"/>
  <c r="D654" i="15"/>
  <c r="I651" i="15"/>
  <c r="S651" i="15" s="1"/>
  <c r="H652" i="15"/>
  <c r="G654" i="15" l="1"/>
  <c r="D655" i="15"/>
  <c r="H653" i="15"/>
  <c r="I652" i="15"/>
  <c r="S652" i="15" s="1"/>
  <c r="H654" i="15" l="1"/>
  <c r="I653" i="15"/>
  <c r="S653" i="15" s="1"/>
  <c r="D656" i="15"/>
  <c r="G655" i="15"/>
  <c r="G656" i="15" l="1"/>
  <c r="D657" i="15"/>
  <c r="H655" i="15"/>
  <c r="I654" i="15"/>
  <c r="S654" i="15" s="1"/>
  <c r="H656" i="15" l="1"/>
  <c r="I655" i="15"/>
  <c r="S655" i="15" s="1"/>
  <c r="G657" i="15"/>
  <c r="D658" i="15"/>
  <c r="H657" i="15" l="1"/>
  <c r="I656" i="15"/>
  <c r="S656" i="15" s="1"/>
  <c r="D659" i="15"/>
  <c r="G658" i="15"/>
  <c r="D660" i="15" l="1"/>
  <c r="G659" i="15"/>
  <c r="I657" i="15"/>
  <c r="S657" i="15" s="1"/>
  <c r="H658" i="15"/>
  <c r="H659" i="15" l="1"/>
  <c r="I658" i="15"/>
  <c r="S658" i="15" s="1"/>
  <c r="G660" i="15"/>
  <c r="D661" i="15"/>
  <c r="G661" i="15" l="1"/>
  <c r="D662" i="15"/>
  <c r="I659" i="15"/>
  <c r="S659" i="15" s="1"/>
  <c r="H660" i="15"/>
  <c r="G662" i="15" l="1"/>
  <c r="D663" i="15"/>
  <c r="H661" i="15"/>
  <c r="I660" i="15"/>
  <c r="S660" i="15" s="1"/>
  <c r="H662" i="15" l="1"/>
  <c r="I661" i="15"/>
  <c r="S661" i="15" s="1"/>
  <c r="D664" i="15"/>
  <c r="G663" i="15"/>
  <c r="G664" i="15" l="1"/>
  <c r="D665" i="15"/>
  <c r="H663" i="15"/>
  <c r="I662" i="15"/>
  <c r="S662" i="15" s="1"/>
  <c r="H664" i="15" l="1"/>
  <c r="I663" i="15"/>
  <c r="S663" i="15" s="1"/>
  <c r="G665" i="15"/>
  <c r="D666" i="15"/>
  <c r="D667" i="15" l="1"/>
  <c r="G666" i="15"/>
  <c r="H665" i="15"/>
  <c r="I664" i="15"/>
  <c r="S664" i="15" s="1"/>
  <c r="I665" i="15" l="1"/>
  <c r="S665" i="15" s="1"/>
  <c r="H666" i="15"/>
  <c r="D668" i="15"/>
  <c r="G667" i="15"/>
  <c r="G668" i="15" l="1"/>
  <c r="D669" i="15"/>
  <c r="H667" i="15"/>
  <c r="I666" i="15"/>
  <c r="S666" i="15" s="1"/>
  <c r="I667" i="15" l="1"/>
  <c r="S667" i="15" s="1"/>
  <c r="H668" i="15"/>
  <c r="G669" i="15"/>
  <c r="D670" i="15"/>
  <c r="G670" i="15" l="1"/>
  <c r="D671" i="15"/>
  <c r="H669" i="15"/>
  <c r="I668" i="15"/>
  <c r="S668" i="15" s="1"/>
  <c r="H670" i="15" l="1"/>
  <c r="I669" i="15"/>
  <c r="S669" i="15" s="1"/>
  <c r="D672" i="15"/>
  <c r="G671" i="15"/>
  <c r="G672" i="15" l="1"/>
  <c r="D673" i="15"/>
  <c r="H671" i="15"/>
  <c r="I670" i="15"/>
  <c r="S670" i="15" s="1"/>
  <c r="G673" i="15" l="1"/>
  <c r="D674" i="15"/>
  <c r="H672" i="15"/>
  <c r="I671" i="15"/>
  <c r="S671" i="15" s="1"/>
  <c r="D675" i="15" l="1"/>
  <c r="G674" i="15"/>
  <c r="H673" i="15"/>
  <c r="I672" i="15"/>
  <c r="S672" i="15" s="1"/>
  <c r="I673" i="15" l="1"/>
  <c r="S673" i="15" s="1"/>
  <c r="H674" i="15"/>
  <c r="D676" i="15"/>
  <c r="G675" i="15"/>
  <c r="G676" i="15" l="1"/>
  <c r="D677" i="15"/>
  <c r="H675" i="15"/>
  <c r="I674" i="15"/>
  <c r="S674" i="15" s="1"/>
  <c r="G677" i="15" l="1"/>
  <c r="D678" i="15"/>
  <c r="I675" i="15"/>
  <c r="S675" i="15" s="1"/>
  <c r="H676" i="15"/>
  <c r="H677" i="15" l="1"/>
  <c r="I676" i="15"/>
  <c r="S676" i="15" s="1"/>
  <c r="G678" i="15"/>
  <c r="D679" i="15"/>
  <c r="D680" i="15" l="1"/>
  <c r="G679" i="15"/>
  <c r="H678" i="15"/>
  <c r="I677" i="15"/>
  <c r="S677" i="15" s="1"/>
  <c r="H679" i="15" l="1"/>
  <c r="I678" i="15"/>
  <c r="S678" i="15" s="1"/>
  <c r="G680" i="15"/>
  <c r="D681" i="15"/>
  <c r="G681" i="15" l="1"/>
  <c r="D682" i="15"/>
  <c r="H680" i="15"/>
  <c r="I679" i="15"/>
  <c r="S679" i="15" s="1"/>
  <c r="H681" i="15" l="1"/>
  <c r="I680" i="15"/>
  <c r="S680" i="15" s="1"/>
  <c r="D683" i="15"/>
  <c r="G682" i="15"/>
  <c r="D684" i="15" l="1"/>
  <c r="G683" i="15"/>
  <c r="I681" i="15"/>
  <c r="S681" i="15" s="1"/>
  <c r="H682" i="15"/>
  <c r="H683" i="15" l="1"/>
  <c r="I682" i="15"/>
  <c r="S682" i="15" s="1"/>
  <c r="G684" i="15"/>
  <c r="D685" i="15"/>
  <c r="G685" i="15" l="1"/>
  <c r="D686" i="15"/>
  <c r="I683" i="15"/>
  <c r="S683" i="15" s="1"/>
  <c r="H684" i="15"/>
  <c r="G686" i="15" l="1"/>
  <c r="D687" i="15"/>
  <c r="H685" i="15"/>
  <c r="I684" i="15"/>
  <c r="S684" i="15" s="1"/>
  <c r="D688" i="15" l="1"/>
  <c r="G687" i="15"/>
  <c r="H686" i="15"/>
  <c r="I685" i="15"/>
  <c r="S685" i="15" s="1"/>
  <c r="H687" i="15" l="1"/>
  <c r="I686" i="15"/>
  <c r="S686" i="15" s="1"/>
  <c r="G688" i="15"/>
  <c r="D689" i="15"/>
  <c r="G689" i="15" l="1"/>
  <c r="D690" i="15"/>
  <c r="H688" i="15"/>
  <c r="I687" i="15"/>
  <c r="S687" i="15" s="1"/>
  <c r="H689" i="15" l="1"/>
  <c r="I688" i="15"/>
  <c r="S688" i="15" s="1"/>
  <c r="D691" i="15"/>
  <c r="G690" i="15"/>
  <c r="I689" i="15" l="1"/>
  <c r="S689" i="15" s="1"/>
  <c r="H690" i="15"/>
  <c r="D692" i="15"/>
  <c r="G691" i="15"/>
  <c r="G692" i="15" l="1"/>
  <c r="D693" i="15"/>
  <c r="H691" i="15"/>
  <c r="I690" i="15"/>
  <c r="S690" i="15" s="1"/>
  <c r="I691" i="15" l="1"/>
  <c r="S691" i="15" s="1"/>
  <c r="H692" i="15"/>
  <c r="G693" i="15"/>
  <c r="D694" i="15"/>
  <c r="H693" i="15" l="1"/>
  <c r="I692" i="15"/>
  <c r="S692" i="15" s="1"/>
  <c r="G694" i="15"/>
  <c r="D695" i="15"/>
  <c r="D696" i="15" l="1"/>
  <c r="G695" i="15"/>
  <c r="H694" i="15"/>
  <c r="I693" i="15"/>
  <c r="S693" i="15" s="1"/>
  <c r="H695" i="15" l="1"/>
  <c r="I694" i="15"/>
  <c r="S694" i="15" s="1"/>
  <c r="G696" i="15"/>
  <c r="D697" i="15"/>
  <c r="G697" i="15" l="1"/>
  <c r="D698" i="15"/>
  <c r="H696" i="15"/>
  <c r="I695" i="15"/>
  <c r="S695" i="15" s="1"/>
  <c r="H697" i="15" l="1"/>
  <c r="I696" i="15"/>
  <c r="S696" i="15" s="1"/>
  <c r="D699" i="15"/>
  <c r="G698" i="15"/>
  <c r="D700" i="15" l="1"/>
  <c r="G699" i="15"/>
  <c r="I697" i="15"/>
  <c r="S697" i="15" s="1"/>
  <c r="H698" i="15"/>
  <c r="G700" i="15" l="1"/>
  <c r="D701" i="15"/>
  <c r="H699" i="15"/>
  <c r="I698" i="15"/>
  <c r="S698" i="15" s="1"/>
  <c r="I699" i="15" l="1"/>
  <c r="S699" i="15" s="1"/>
  <c r="H700" i="15"/>
  <c r="G701" i="15"/>
  <c r="D702" i="15"/>
  <c r="G702" i="15" l="1"/>
  <c r="D703" i="15"/>
  <c r="H701" i="15"/>
  <c r="I700" i="15"/>
  <c r="S700" i="15" s="1"/>
  <c r="H702" i="15" l="1"/>
  <c r="I701" i="15"/>
  <c r="S701" i="15" s="1"/>
  <c r="D704" i="15"/>
  <c r="G703" i="15"/>
  <c r="D705" i="15" l="1"/>
  <c r="G704" i="15"/>
  <c r="H703" i="15"/>
  <c r="I702" i="15"/>
  <c r="S702" i="15" s="1"/>
  <c r="H704" i="15" l="1"/>
  <c r="I703" i="15"/>
  <c r="S703" i="15" s="1"/>
  <c r="G705" i="15"/>
  <c r="D706" i="15"/>
  <c r="D707" i="15" l="1"/>
  <c r="G706" i="15"/>
  <c r="H705" i="15"/>
  <c r="I704" i="15"/>
  <c r="S704" i="15" s="1"/>
  <c r="I705" i="15" l="1"/>
  <c r="S705" i="15" s="1"/>
  <c r="H706" i="15"/>
  <c r="D708" i="15"/>
  <c r="G707" i="15"/>
  <c r="G708" i="15" l="1"/>
  <c r="D709" i="15"/>
  <c r="H707" i="15"/>
  <c r="I706" i="15"/>
  <c r="S706" i="15" s="1"/>
  <c r="I707" i="15" l="1"/>
  <c r="S707" i="15" s="1"/>
  <c r="H708" i="15"/>
  <c r="G709" i="15"/>
  <c r="D710" i="15"/>
  <c r="G710" i="15" l="1"/>
  <c r="D711" i="15"/>
  <c r="H709" i="15"/>
  <c r="I708" i="15"/>
  <c r="S708" i="15" s="1"/>
  <c r="H710" i="15" l="1"/>
  <c r="I709" i="15"/>
  <c r="S709" i="15" s="1"/>
  <c r="D712" i="15"/>
  <c r="G711" i="15"/>
  <c r="D713" i="15" l="1"/>
  <c r="G712" i="15"/>
  <c r="H711" i="15"/>
  <c r="I710" i="15"/>
  <c r="S710" i="15" s="1"/>
  <c r="H712" i="15" l="1"/>
  <c r="I711" i="15"/>
  <c r="S711" i="15" s="1"/>
  <c r="G713" i="15"/>
  <c r="D714" i="15"/>
  <c r="D715" i="15" l="1"/>
  <c r="G714" i="15"/>
  <c r="H713" i="15"/>
  <c r="I712" i="15"/>
  <c r="S712" i="15" s="1"/>
  <c r="H714" i="15" l="1"/>
  <c r="I713" i="15"/>
  <c r="S713" i="15" s="1"/>
  <c r="D716" i="15"/>
  <c r="G715" i="15"/>
  <c r="G716" i="15" l="1"/>
  <c r="D717" i="15"/>
  <c r="H715" i="15"/>
  <c r="I714" i="15"/>
  <c r="S714" i="15" s="1"/>
  <c r="I715" i="15" l="1"/>
  <c r="S715" i="15" s="1"/>
  <c r="H716" i="15"/>
  <c r="G717" i="15"/>
  <c r="D718" i="15"/>
  <c r="G718" i="15" l="1"/>
  <c r="D719" i="15"/>
  <c r="H717" i="15"/>
  <c r="I716" i="15"/>
  <c r="S716" i="15" s="1"/>
  <c r="H718" i="15" l="1"/>
  <c r="I717" i="15"/>
  <c r="S717" i="15" s="1"/>
  <c r="D720" i="15"/>
  <c r="G719" i="15"/>
  <c r="D721" i="15" l="1"/>
  <c r="G720" i="15"/>
  <c r="H719" i="15"/>
  <c r="I718" i="15"/>
  <c r="S718" i="15" s="1"/>
  <c r="H720" i="15" l="1"/>
  <c r="I719" i="15"/>
  <c r="S719" i="15" s="1"/>
  <c r="G721" i="15"/>
  <c r="D722" i="15"/>
  <c r="D723" i="15" l="1"/>
  <c r="G722" i="15"/>
  <c r="H721" i="15"/>
  <c r="I720" i="15"/>
  <c r="S720" i="15" s="1"/>
  <c r="I721" i="15" l="1"/>
  <c r="S721" i="15" s="1"/>
  <c r="H722" i="15"/>
  <c r="D724" i="15"/>
  <c r="G723" i="15"/>
  <c r="G724" i="15" l="1"/>
  <c r="D725" i="15"/>
  <c r="H723" i="15"/>
  <c r="I722" i="15"/>
  <c r="S722" i="15" s="1"/>
  <c r="H724" i="15" l="1"/>
  <c r="I723" i="15"/>
  <c r="S723" i="15" s="1"/>
  <c r="G725" i="15"/>
  <c r="D726" i="15"/>
  <c r="G726" i="15" l="1"/>
  <c r="D727" i="15"/>
  <c r="H725" i="15"/>
  <c r="I724" i="15"/>
  <c r="S724" i="15" s="1"/>
  <c r="I725" i="15" l="1"/>
  <c r="S725" i="15" s="1"/>
  <c r="H726" i="15"/>
  <c r="D728" i="15"/>
  <c r="G727" i="15"/>
  <c r="D729" i="15" l="1"/>
  <c r="G728" i="15"/>
  <c r="H727" i="15"/>
  <c r="I726" i="15"/>
  <c r="S726" i="15" s="1"/>
  <c r="H728" i="15" l="1"/>
  <c r="I727" i="15"/>
  <c r="S727" i="15" s="1"/>
  <c r="G729" i="15"/>
  <c r="D730" i="15"/>
  <c r="D731" i="15" l="1"/>
  <c r="G730" i="15"/>
  <c r="H729" i="15"/>
  <c r="I728" i="15"/>
  <c r="S728" i="15" s="1"/>
  <c r="H730" i="15" l="1"/>
  <c r="I729" i="15"/>
  <c r="S729" i="15" s="1"/>
  <c r="D732" i="15"/>
  <c r="G731" i="15"/>
  <c r="G732" i="15" l="1"/>
  <c r="D733" i="15"/>
  <c r="H731" i="15"/>
  <c r="I730" i="15"/>
  <c r="S730" i="15" s="1"/>
  <c r="I731" i="15" l="1"/>
  <c r="S731" i="15" s="1"/>
  <c r="H732" i="15"/>
  <c r="G733" i="15"/>
  <c r="D734" i="15"/>
  <c r="G734" i="15" s="1"/>
  <c r="H733" i="15" l="1"/>
  <c r="I732" i="15"/>
  <c r="S732" i="15" s="1"/>
  <c r="H734" i="15" l="1"/>
  <c r="I734" i="15" s="1"/>
  <c r="S734" i="15" s="1"/>
  <c r="I733" i="15"/>
  <c r="S733" i="15" s="1"/>
</calcChain>
</file>

<file path=xl/sharedStrings.xml><?xml version="1.0" encoding="utf-8"?>
<sst xmlns="http://schemas.openxmlformats.org/spreadsheetml/2006/main" count="1892" uniqueCount="447">
  <si>
    <t>MSCI World Equity</t>
  </si>
  <si>
    <t>Barclays Global Bond</t>
  </si>
  <si>
    <t>MSCI Word Real Estate</t>
  </si>
  <si>
    <t>Dow Jones Europe</t>
  </si>
  <si>
    <t>Dow Jones North America</t>
  </si>
  <si>
    <t>Dow Jones Asia</t>
  </si>
  <si>
    <t xml:space="preserve"> Mean</t>
  </si>
  <si>
    <t xml:space="preserve"> Median</t>
  </si>
  <si>
    <t xml:space="preserve"> Maximum</t>
  </si>
  <si>
    <t xml:space="preserve"> Minimum</t>
  </si>
  <si>
    <t xml:space="preserve"> Std. Dev.</t>
  </si>
  <si>
    <t xml:space="preserve"> Skewness</t>
  </si>
  <si>
    <t xml:space="preserve"> Kurtosis</t>
  </si>
  <si>
    <t xml:space="preserve"> Jarque-Bera</t>
  </si>
  <si>
    <t xml:space="preserve"> Probability</t>
  </si>
  <si>
    <t xml:space="preserve"> Sum</t>
  </si>
  <si>
    <t xml:space="preserve"> Sum Sq. Dev.</t>
  </si>
  <si>
    <t xml:space="preserve"> Observations</t>
  </si>
  <si>
    <t>Oil&amp;Gas</t>
  </si>
  <si>
    <t>Electricity</t>
  </si>
  <si>
    <t>Airports</t>
  </si>
  <si>
    <t>Water</t>
  </si>
  <si>
    <t>Ports</t>
  </si>
  <si>
    <t>Communication</t>
  </si>
  <si>
    <t>Toll Roads</t>
  </si>
  <si>
    <t>Base Assets</t>
  </si>
  <si>
    <t xml:space="preserve">Stocks </t>
  </si>
  <si>
    <t xml:space="preserve">Bonds </t>
  </si>
  <si>
    <t>Real Estate</t>
  </si>
  <si>
    <t xml:space="preserve">Mean </t>
  </si>
  <si>
    <t>Standard Deviation</t>
  </si>
  <si>
    <t>Skewness</t>
  </si>
  <si>
    <t>Kurtosis</t>
  </si>
  <si>
    <t>Jarque-Bera</t>
  </si>
  <si>
    <t>North America</t>
  </si>
  <si>
    <t>Europe</t>
  </si>
  <si>
    <t>Asia-Pasific</t>
  </si>
  <si>
    <t>Infrastructure Markets - Dow Jones Brookfield</t>
  </si>
  <si>
    <t>Infrastructure Sectors - Dow Jones Brookfield</t>
  </si>
  <si>
    <t>MSCI Equity</t>
  </si>
  <si>
    <t>Barclays Bond</t>
  </si>
  <si>
    <t>MSCI Real Estate</t>
  </si>
  <si>
    <t>Dow Jones Asia-Pasific</t>
  </si>
  <si>
    <t>Name</t>
  </si>
  <si>
    <t>Weight</t>
  </si>
  <si>
    <t>Shares</t>
  </si>
  <si>
    <t>Price</t>
  </si>
  <si>
    <t xml:space="preserve">Market Cap:20161230
</t>
  </si>
  <si>
    <t>Oil &amp; Gas Refining &amp; Marketing (1 member)</t>
  </si>
  <si>
    <t>--</t>
  </si>
  <si>
    <t>5.49B</t>
  </si>
  <si>
    <t>Construction &amp; Engineering (1 member)</t>
  </si>
  <si>
    <t>13.13B</t>
  </si>
  <si>
    <t>Industrial Conglomerates (1 member)</t>
  </si>
  <si>
    <t>5.97B</t>
  </si>
  <si>
    <t>Specialized REITs (4 members)</t>
  </si>
  <si>
    <t>89.68B</t>
  </si>
  <si>
    <t>Unclassified (2 members)</t>
  </si>
  <si>
    <t>0.00</t>
  </si>
  <si>
    <t>Cable &amp; Satellite (2 members)</t>
  </si>
  <si>
    <t>14.67B</t>
  </si>
  <si>
    <t>Integrated Telecommunication Services (3 members)</t>
  </si>
  <si>
    <t>7.65B</t>
  </si>
  <si>
    <t>Transportation</t>
  </si>
  <si>
    <t xml:space="preserve">Utilities </t>
  </si>
  <si>
    <t>Other infrastructure</t>
  </si>
  <si>
    <t xml:space="preserve">Total Market Cap </t>
  </si>
  <si>
    <t>Ticker</t>
  </si>
  <si>
    <t>Oil &amp; Gas Storage &amp; Transportation (3 members)</t>
  </si>
  <si>
    <t>26.58B</t>
  </si>
  <si>
    <t>Electric Utilities (3 members)</t>
  </si>
  <si>
    <t>22.64B</t>
  </si>
  <si>
    <t>Gas Utilities (1 member)</t>
  </si>
  <si>
    <t>3.19B</t>
  </si>
  <si>
    <t>Multi-Utilities (2 members)</t>
  </si>
  <si>
    <t>46.71B</t>
  </si>
  <si>
    <t>Water Utilities (3 members)</t>
  </si>
  <si>
    <t>18.28B</t>
  </si>
  <si>
    <t>Airport Services (3 members)</t>
  </si>
  <si>
    <t>36.61B</t>
  </si>
  <si>
    <t>Highways &amp; Railtracks (4 members)</t>
  </si>
  <si>
    <t>40.46B</t>
  </si>
  <si>
    <t xml:space="preserve">Oil &amp; Gas Storage &amp; Transportation </t>
  </si>
  <si>
    <t>Utilities</t>
  </si>
  <si>
    <t xml:space="preserve">Other Infrastructure </t>
  </si>
  <si>
    <t xml:space="preserve">Market Cap:20161231
</t>
  </si>
  <si>
    <t>Oil &amp; Gas Storage &amp; Transportation (15 members)</t>
  </si>
  <si>
    <t>243.43B</t>
  </si>
  <si>
    <t>10.65B</t>
  </si>
  <si>
    <t>Marine Ports &amp; Services (1 member)</t>
  </si>
  <si>
    <t>1.43B</t>
  </si>
  <si>
    <t>Electric Utilities (5 members)</t>
  </si>
  <si>
    <t>94.44B</t>
  </si>
  <si>
    <t>Gas Utilities (7 members)</t>
  </si>
  <si>
    <t>26.39B</t>
  </si>
  <si>
    <t>Multi-Utilities (6 members)</t>
  </si>
  <si>
    <t>68.76B</t>
  </si>
  <si>
    <t>Water Utilities (6 members)</t>
  </si>
  <si>
    <t>28.58B</t>
  </si>
  <si>
    <t>Oil &amp; Gas Storage and Transportation</t>
  </si>
  <si>
    <t>N/A</t>
  </si>
  <si>
    <t>Airport Services (5 members)</t>
  </si>
  <si>
    <t>28.03B</t>
  </si>
  <si>
    <t>Highways &amp; Railtracks (6 members)</t>
  </si>
  <si>
    <t>31.55B</t>
  </si>
  <si>
    <t>Marine Ports &amp; Services (2 members)</t>
  </si>
  <si>
    <t>10.30B</t>
  </si>
  <si>
    <t>Electric Utilities (2 members)</t>
  </si>
  <si>
    <t>7.00B</t>
  </si>
  <si>
    <t>Gas Utilities (8 members)</t>
  </si>
  <si>
    <t>63.08B</t>
  </si>
  <si>
    <t>Multi-Utilities (1 member)</t>
  </si>
  <si>
    <t>4.81B</t>
  </si>
  <si>
    <t>Water Utilities (1 member)</t>
  </si>
  <si>
    <t>5.81B</t>
  </si>
  <si>
    <t xml:space="preserve">Cntry of Dom
</t>
  </si>
  <si>
    <t>Market Cap</t>
  </si>
  <si>
    <t>APA Group</t>
  </si>
  <si>
    <t>Transurban Group</t>
  </si>
  <si>
    <t>Sydney Airport</t>
  </si>
  <si>
    <t>DUET Group</t>
  </si>
  <si>
    <t>AusNet Services</t>
  </si>
  <si>
    <t>Spark Infrastructure Group</t>
  </si>
  <si>
    <t>Total</t>
  </si>
  <si>
    <t>Macquarie Atlas Roads Group</t>
  </si>
  <si>
    <t>ELI BB Equity</t>
  </si>
  <si>
    <t>Elia System Operator SA/NV</t>
  </si>
  <si>
    <t>SBS UN Equity</t>
  </si>
  <si>
    <t>Cia de Saneamento Basico do Estado de Sa</t>
  </si>
  <si>
    <t>PPL CT Equity</t>
  </si>
  <si>
    <t>Pembina Pipeline Corp</t>
  </si>
  <si>
    <t>H CT Equity</t>
  </si>
  <si>
    <t>Hydro One Ltd</t>
  </si>
  <si>
    <t>ENF CT Equity</t>
  </si>
  <si>
    <t>Enbridge Income Fund Holdings Inc</t>
  </si>
  <si>
    <t>TRP CT Equity</t>
  </si>
  <si>
    <t>TransCanada Corp</t>
  </si>
  <si>
    <t>FTS CT Equity</t>
  </si>
  <si>
    <t>Fortis Inc/Canada</t>
  </si>
  <si>
    <t>ENB CT Equity</t>
  </si>
  <si>
    <t>Enbridge Inc</t>
  </si>
  <si>
    <t>WTE CT Equity</t>
  </si>
  <si>
    <t>Westshore Terminals Investment Corp</t>
  </si>
  <si>
    <t>IPL CT Equity</t>
  </si>
  <si>
    <t>Inter Pipeline Ltd</t>
  </si>
  <si>
    <t>VSN CT Equity</t>
  </si>
  <si>
    <t>Veresen Inc</t>
  </si>
  <si>
    <t>KEY CT Equity</t>
  </si>
  <si>
    <t>Keyera Corp</t>
  </si>
  <si>
    <t>694 HK Equity</t>
  </si>
  <si>
    <t>BEIJING AIRPORT</t>
  </si>
  <si>
    <t>576 HK Equity</t>
  </si>
  <si>
    <t>Zhejiang Expressway Co Ltd</t>
  </si>
  <si>
    <t>177 HK Equity</t>
  </si>
  <si>
    <t>Jiangsu Expressway Co Ltd</t>
  </si>
  <si>
    <t>548 HK Equity</t>
  </si>
  <si>
    <t>Shenzhen Expressway Co Ltd</t>
  </si>
  <si>
    <t>2688 HK Equity</t>
  </si>
  <si>
    <t>ENN Energy Holdings Ltd</t>
  </si>
  <si>
    <t>ETL FP Equity</t>
  </si>
  <si>
    <t>Eutelsat Communications SA</t>
  </si>
  <si>
    <t>ADP FP Equity</t>
  </si>
  <si>
    <t>Aeroports de Paris</t>
  </si>
  <si>
    <t>GET FP Equity</t>
  </si>
  <si>
    <t>Groupe Eurotunnel SE</t>
  </si>
  <si>
    <t>FRA GY Equity</t>
  </si>
  <si>
    <t>Fraport AG Frankfurt Airport Services Wo</t>
  </si>
  <si>
    <t>HICL LN Equity</t>
  </si>
  <si>
    <t>HICL Infrastructure Co Ltd/Fund</t>
  </si>
  <si>
    <t>3 HK Equity</t>
  </si>
  <si>
    <t>Hong Kong &amp; China Gas Co Ltd</t>
  </si>
  <si>
    <t>392 HK Equity</t>
  </si>
  <si>
    <t>Beijing Enterprises Holdings Ltd</t>
  </si>
  <si>
    <t>371 HK Equity</t>
  </si>
  <si>
    <t>Beijing Enterprises Water Group Ltd</t>
  </si>
  <si>
    <t>144 HK Equity</t>
  </si>
  <si>
    <t>China Merchants Port Holdings Co Ltd</t>
  </si>
  <si>
    <t>384 HK Equity</t>
  </si>
  <si>
    <t>China Gas Holdings Ltd</t>
  </si>
  <si>
    <t>1083 HK Equity</t>
  </si>
  <si>
    <t>Towngas China Co Ltd</t>
  </si>
  <si>
    <t>1193 HK Equity</t>
  </si>
  <si>
    <t>China Resources Gas Group Ltd</t>
  </si>
  <si>
    <t>737 HK Equity</t>
  </si>
  <si>
    <t>Hopewell Highway Infrastructure Ltd</t>
  </si>
  <si>
    <t>IG IM Equity</t>
  </si>
  <si>
    <t>Italgas SpA</t>
  </si>
  <si>
    <t>SIS IM Equity</t>
  </si>
  <si>
    <t>SIAS</t>
  </si>
  <si>
    <t>INW IM Equity</t>
  </si>
  <si>
    <t>Infrastrutture Wireless Italiane SpA</t>
  </si>
  <si>
    <t>ACE IM Equity</t>
  </si>
  <si>
    <t>ACEA SpA</t>
  </si>
  <si>
    <t>TRN IM Equity</t>
  </si>
  <si>
    <t>Terna Rete Elettrica Nazionale SpA</t>
  </si>
  <si>
    <t>SRG IM Equity</t>
  </si>
  <si>
    <t>Snam SpA</t>
  </si>
  <si>
    <t>ATL IM Equity</t>
  </si>
  <si>
    <t>Atlantia SpA</t>
  </si>
  <si>
    <t>EIT IM Equity</t>
  </si>
  <si>
    <t>Ei Towers SpA</t>
  </si>
  <si>
    <t>9533 JT Equity</t>
  </si>
  <si>
    <t>Toho Gas Co Ltd</t>
  </si>
  <si>
    <t>9706 JT Equity</t>
  </si>
  <si>
    <t>Japan Airport Terminal Co Ltd</t>
  </si>
  <si>
    <t>9531 JT Equity</t>
  </si>
  <si>
    <t>Tokyo Gas Co Ltd</t>
  </si>
  <si>
    <t>3IN LN Equity</t>
  </si>
  <si>
    <t>3i Infrastructure PLC</t>
  </si>
  <si>
    <t>SESG FP Equity</t>
  </si>
  <si>
    <t>SES SA</t>
  </si>
  <si>
    <t>ASR UN Equity</t>
  </si>
  <si>
    <t>Grupo Aeroportuario del Sureste SAB de C</t>
  </si>
  <si>
    <t>OMAB UW Equity</t>
  </si>
  <si>
    <t>Grupo Aeroportuario del Centro Norte SAB</t>
  </si>
  <si>
    <t>PAC UN Equity</t>
  </si>
  <si>
    <t>Grupo Aeroportuario del Pacifico SAB de</t>
  </si>
  <si>
    <t>VPK NA Equity</t>
  </si>
  <si>
    <t>Koninklijke Vopak NV</t>
  </si>
  <si>
    <t>AIA NZ Equity</t>
  </si>
  <si>
    <t>Auckland International Airport Ltd</t>
  </si>
  <si>
    <t>HPHT SP Equity</t>
  </si>
  <si>
    <t>Hutchison Port Holdings Trust</t>
  </si>
  <si>
    <t>Abertis Infraestructuras SA</t>
  </si>
  <si>
    <t>Aena SA</t>
  </si>
  <si>
    <t>Red Electrica Corp SA</t>
  </si>
  <si>
    <t>Enagas SA</t>
  </si>
  <si>
    <t>Ferrovial SA</t>
  </si>
  <si>
    <t>Cellnex Telecom SA</t>
  </si>
  <si>
    <t>Flughafen Zurich AG</t>
  </si>
  <si>
    <t>NG/ LN Equity</t>
  </si>
  <si>
    <t>National Grid PLC</t>
  </si>
  <si>
    <t>UU/ LN Equity</t>
  </si>
  <si>
    <t>United Utilities Group PLC</t>
  </si>
  <si>
    <t>PNN LN Equity</t>
  </si>
  <si>
    <t>Pennon Group PLC</t>
  </si>
  <si>
    <t>SVT LN Equity</t>
  </si>
  <si>
    <t>Severn Trent PLC</t>
  </si>
  <si>
    <t>OKE UN Equity</t>
  </si>
  <si>
    <t>ONEOK Inc</t>
  </si>
  <si>
    <t>PCG UN Equity</t>
  </si>
  <si>
    <t>PG&amp;E Corp</t>
  </si>
  <si>
    <t>AMT UN Equity</t>
  </si>
  <si>
    <t>American Tower Corp</t>
  </si>
  <si>
    <t>ATO UN Equity</t>
  </si>
  <si>
    <t>Atmos Energy Corp</t>
  </si>
  <si>
    <t>TRGP UN Equity</t>
  </si>
  <si>
    <t>Targa Resources Corp</t>
  </si>
  <si>
    <t>EIX UN Equity</t>
  </si>
  <si>
    <t>Edison International</t>
  </si>
  <si>
    <t>SEMG UN Equity</t>
  </si>
  <si>
    <t>SemGroup Corp</t>
  </si>
  <si>
    <t>CCI UN Equity</t>
  </si>
  <si>
    <t>Crown Castle International Corp</t>
  </si>
  <si>
    <t>LNG UA Equity</t>
  </si>
  <si>
    <t>Cheniere Energy Inc</t>
  </si>
  <si>
    <t>SRE UN Equity</t>
  </si>
  <si>
    <t>Sempra Energy</t>
  </si>
  <si>
    <t>ENLC UN Equity</t>
  </si>
  <si>
    <t>EnLink Midstream LLC</t>
  </si>
  <si>
    <t>SR UN Equity</t>
  </si>
  <si>
    <t>Spire Inc</t>
  </si>
  <si>
    <t>HIFR UN Equity</t>
  </si>
  <si>
    <t>InfraREIT Inc</t>
  </si>
  <si>
    <t>NJR UN Equity</t>
  </si>
  <si>
    <t>New Jersey Resources Corp</t>
  </si>
  <si>
    <t>WMB UN Equity</t>
  </si>
  <si>
    <t>Williams Cos Inc/The</t>
  </si>
  <si>
    <t>NWN UN Equity</t>
  </si>
  <si>
    <t>Northwest Natural Gas Co</t>
  </si>
  <si>
    <t>SWX UN Equity</t>
  </si>
  <si>
    <t>Southwest Gas Holdings Inc</t>
  </si>
  <si>
    <t>ED UN Equity</t>
  </si>
  <si>
    <t>Consolidated Edison Inc</t>
  </si>
  <si>
    <t>NWE UN Equity</t>
  </si>
  <si>
    <t>NorthWestern Corp</t>
  </si>
  <si>
    <t>AWK UN Equity</t>
  </si>
  <si>
    <t>American Water Works Co Inc</t>
  </si>
  <si>
    <t>WGL UN Equity</t>
  </si>
  <si>
    <t>WGL Holdings Inc</t>
  </si>
  <si>
    <t>SE UN Equity</t>
  </si>
  <si>
    <t>Spectra Energy Corp</t>
  </si>
  <si>
    <t>KMI UN Equity</t>
  </si>
  <si>
    <t>Kinder Morgan Inc/DE</t>
  </si>
  <si>
    <t>CWT UN Equity</t>
  </si>
  <si>
    <t>California Water Service Group</t>
  </si>
  <si>
    <t>SBAC UW Equity</t>
  </si>
  <si>
    <t>SBA Communications Corp</t>
  </si>
  <si>
    <t>AWR UN Equity</t>
  </si>
  <si>
    <t>American States Water Co</t>
  </si>
  <si>
    <t>SJW UN Equity</t>
  </si>
  <si>
    <t>SJW Group</t>
  </si>
  <si>
    <t>CNP UN Equity</t>
  </si>
  <si>
    <t>CenterPoint Energy Inc</t>
  </si>
  <si>
    <t>WTR UN Equity</t>
  </si>
  <si>
    <t>Aqua America Inc</t>
  </si>
  <si>
    <t>EEQ UN Equity</t>
  </si>
  <si>
    <t>Enbridge Energy Management LLC</t>
  </si>
  <si>
    <t>OGS UN Equity</t>
  </si>
  <si>
    <t>ONE Gas Inc</t>
  </si>
  <si>
    <t>UTL UN Equity</t>
  </si>
  <si>
    <t>Unitil Corp</t>
  </si>
  <si>
    <t>NI UN Equity</t>
  </si>
  <si>
    <t>NiSource Inc</t>
  </si>
  <si>
    <t>ES UN Equity</t>
  </si>
  <si>
    <t>Eversource Energy</t>
  </si>
  <si>
    <t>Date</t>
  </si>
  <si>
    <t>2003-2016</t>
  </si>
  <si>
    <t>2003-2006</t>
  </si>
  <si>
    <t>2007-2009</t>
  </si>
  <si>
    <t>2010-2016</t>
  </si>
  <si>
    <t>Annual</t>
  </si>
  <si>
    <t>Companies</t>
  </si>
  <si>
    <t>CN</t>
  </si>
  <si>
    <t>HK</t>
  </si>
  <si>
    <t>JP</t>
  </si>
  <si>
    <t>AU</t>
  </si>
  <si>
    <t>SKI AU Equity</t>
  </si>
  <si>
    <t>TCL AU Equity</t>
  </si>
  <si>
    <t>SG</t>
  </si>
  <si>
    <t>AST AU Equity</t>
  </si>
  <si>
    <t>CH</t>
  </si>
  <si>
    <t>FHZN SW Equity</t>
  </si>
  <si>
    <t>MQA AU Equity</t>
  </si>
  <si>
    <t>DUE AU Equity</t>
  </si>
  <si>
    <t>APA AU Equity</t>
  </si>
  <si>
    <t>SYD AU Equity</t>
  </si>
  <si>
    <t>NZ</t>
  </si>
  <si>
    <t>DJBPI Index</t>
  </si>
  <si>
    <t>CA</t>
  </si>
  <si>
    <t>US</t>
  </si>
  <si>
    <t>MX</t>
  </si>
  <si>
    <t>BR</t>
  </si>
  <si>
    <t>DJBNA Index</t>
  </si>
  <si>
    <t>IT</t>
  </si>
  <si>
    <t>ES</t>
  </si>
  <si>
    <t>ABE SM Equity</t>
  </si>
  <si>
    <t>GB</t>
  </si>
  <si>
    <t>FR</t>
  </si>
  <si>
    <t>DE</t>
  </si>
  <si>
    <t>JE</t>
  </si>
  <si>
    <t>NL</t>
  </si>
  <si>
    <t>BE</t>
  </si>
  <si>
    <t>AENA SM Equity</t>
  </si>
  <si>
    <t>ENG SM Equity</t>
  </si>
  <si>
    <t>REE SM Equity</t>
  </si>
  <si>
    <t>LU</t>
  </si>
  <si>
    <t>CLNX SM Equity</t>
  </si>
  <si>
    <t>Asia-Pacific</t>
  </si>
  <si>
    <t>FER SM Equity</t>
  </si>
  <si>
    <t>GG</t>
  </si>
  <si>
    <t>Market Capital</t>
  </si>
  <si>
    <t>DJBEI Index</t>
  </si>
  <si>
    <t>DJBTD Index</t>
  </si>
  <si>
    <t xml:space="preserve">Dow Jones Brookfield Toll Roads </t>
  </si>
  <si>
    <t xml:space="preserve">Dow Jones Brookfield Ports </t>
  </si>
  <si>
    <t xml:space="preserve">Dow Jones Brookfield Water </t>
  </si>
  <si>
    <t>OMAB UQ Equity</t>
  </si>
  <si>
    <t>Dow Jones Brookfield Airports  Index</t>
  </si>
  <si>
    <t>Dow Jones Brookfield Oil&amp;Gas and Transportation Index</t>
  </si>
  <si>
    <t>SBAC UQ Equity</t>
  </si>
  <si>
    <t xml:space="preserve">Water </t>
  </si>
  <si>
    <t xml:space="preserve">Ports </t>
  </si>
  <si>
    <t>Dow Jones Brookfield Communication</t>
  </si>
  <si>
    <t xml:space="preserve">Market Capital </t>
  </si>
  <si>
    <t xml:space="preserve">n </t>
  </si>
  <si>
    <t xml:space="preserve">North America </t>
  </si>
  <si>
    <t xml:space="preserve">Europe  </t>
  </si>
  <si>
    <t>*Numbers in billions</t>
  </si>
  <si>
    <t>SAMMENDRAG (UTDATA)</t>
  </si>
  <si>
    <t>3-Month T-Bill</t>
  </si>
  <si>
    <t>date</t>
  </si>
  <si>
    <t>base</t>
  </si>
  <si>
    <t>electricity</t>
  </si>
  <si>
    <t>airports</t>
  </si>
  <si>
    <t>water</t>
  </si>
  <si>
    <t>ports</t>
  </si>
  <si>
    <t>communication</t>
  </si>
  <si>
    <t>toll roads</t>
  </si>
  <si>
    <t>Regresjonsstatistikk</t>
  </si>
  <si>
    <t>Multippel R</t>
  </si>
  <si>
    <t>Spanning test with subsectors</t>
  </si>
  <si>
    <t>R-kvadrat</t>
  </si>
  <si>
    <t>Coefficient</t>
  </si>
  <si>
    <t>t-Stat</t>
  </si>
  <si>
    <t>P-Value</t>
  </si>
  <si>
    <t>Justert R-kvadrat</t>
  </si>
  <si>
    <t>Standardfeil</t>
  </si>
  <si>
    <t>Observasjoner</t>
  </si>
  <si>
    <t>Variansanalyse</t>
  </si>
  <si>
    <t>fg</t>
  </si>
  <si>
    <t>SK</t>
  </si>
  <si>
    <t>GK</t>
  </si>
  <si>
    <t>F</t>
  </si>
  <si>
    <t>Signifkans-F</t>
  </si>
  <si>
    <t>Regresjon</t>
  </si>
  <si>
    <t>Oil &amp; Gas</t>
  </si>
  <si>
    <t>Residualer</t>
  </si>
  <si>
    <t>Totalt</t>
  </si>
  <si>
    <t>Koeffisienter</t>
  </si>
  <si>
    <t>P-verdi</t>
  </si>
  <si>
    <t>Nederste 95%</t>
  </si>
  <si>
    <t>Øverste 95%</t>
  </si>
  <si>
    <t>Nedre 95.0%</t>
  </si>
  <si>
    <t>Øverste 95.0%</t>
  </si>
  <si>
    <t>Skjæringspunkt</t>
  </si>
  <si>
    <t>X-variabel 1</t>
  </si>
  <si>
    <t>DJB Europe - Rf</t>
  </si>
  <si>
    <t>DJB North America - Rf</t>
  </si>
  <si>
    <t>DJB Asian Pasific - Rf</t>
  </si>
  <si>
    <t>Spanning test with markets</t>
  </si>
  <si>
    <t>europe</t>
  </si>
  <si>
    <t>Asia Pacific</t>
  </si>
  <si>
    <t>north america</t>
  </si>
  <si>
    <t>asia pacific</t>
  </si>
  <si>
    <t xml:space="preserve">Weights </t>
  </si>
  <si>
    <t>Equity</t>
  </si>
  <si>
    <t>Bonds</t>
  </si>
  <si>
    <t>Index value</t>
  </si>
  <si>
    <t xml:space="preserve">No rebalacing </t>
  </si>
  <si>
    <t>Return Indices</t>
  </si>
  <si>
    <t>Portfolio</t>
  </si>
  <si>
    <t xml:space="preserve">Return </t>
  </si>
  <si>
    <t>Return Equity</t>
  </si>
  <si>
    <t>Return Bond</t>
  </si>
  <si>
    <t xml:space="preserve">Return Real Estate </t>
  </si>
  <si>
    <t>Market Portfolio</t>
  </si>
  <si>
    <t>Excess Return</t>
  </si>
  <si>
    <t>Benchmark Portfolio</t>
  </si>
  <si>
    <t xml:space="preserve">Mean-Variance - Base portfolio </t>
  </si>
  <si>
    <t xml:space="preserve">Mean-conditional Value at Risk - Base portfolio </t>
  </si>
  <si>
    <t>Weights</t>
  </si>
  <si>
    <t>Weekly Portfolio Return
(%)</t>
  </si>
  <si>
    <t>Weekly Portfolio Std
(%)</t>
  </si>
  <si>
    <t>95CVaR
(%)</t>
  </si>
  <si>
    <t>Mean-Conditional Value at Risk - Base &amp; All Infrastructure markets portfolio</t>
  </si>
  <si>
    <t xml:space="preserve">Mean-variance - Base &amp; All Infrastructure markets </t>
  </si>
  <si>
    <t>Mean Variance- Base &amp; American Infrastructure portfolio</t>
  </si>
  <si>
    <t>Base &amp; American Infrastructure portfolio</t>
  </si>
  <si>
    <t xml:space="preserve"> 95VaR
(%)</t>
  </si>
  <si>
    <t>America</t>
  </si>
  <si>
    <t>Base &amp; European Infrastructure portfolio</t>
  </si>
  <si>
    <t>Base &amp; Asia Pacific Infrastructure portfolio</t>
  </si>
  <si>
    <t>Mean-Conditional Value at risk - Base and infrastructure sectors</t>
  </si>
  <si>
    <t>Mean-variance -  Base and Infrastructure sectors</t>
  </si>
  <si>
    <t>Aiports</t>
  </si>
  <si>
    <t>Stocks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</si>
</sst>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dd\.mm\.yyyy"/>
    <numFmt numFmtId="165" formatCode="0.0000000"/>
    <numFmt numFmtId="166" formatCode="0.000000000"/>
    <numFmt numFmtId="167" formatCode="0.00000"/>
    <numFmt numFmtId="168" formatCode="0.0000"/>
    <numFmt numFmtId="169" formatCode="_-[$$-409]* #,##0.00_ ;_-[$$-409]* \-#,##0.00\ ;_-[$$-409]* &quot;-&quot;??_ ;_-@_ "/>
    <numFmt numFmtId="170" formatCode="0.000\ %"/>
    <numFmt numFmtId="171" formatCode="0.000"/>
    <numFmt numFmtId="172" formatCode="0.0000\ %"/>
  </numFmts>
  <fonts count="16"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9"/>
      <name val="Calibri"/>
      <family val="2"/>
    </font>
    <font>
      <sz val="10"/>
      <color theme="1"/>
      <name val="Calibri"/>
      <scheme val="minor"/>
    </font>
    <font>
      <b/>
      <sz val="12"/>
      <color theme="1"/>
      <name val="Calibri"/>
      <family val="2"/>
      <charset val="134"/>
      <scheme val="minor"/>
    </font>
    <font>
      <i/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charset val="134"/>
    </font>
    <font>
      <b/>
      <sz val="11"/>
      <color theme="1"/>
      <name val="Calibri"/>
      <family val="2"/>
      <scheme val="minor"/>
    </font>
    <font>
      <sz val="12"/>
      <color theme="1"/>
      <name val="Times New Roman"/>
    </font>
    <font>
      <sz val="12"/>
      <name val="Times New Roman"/>
    </font>
  </fonts>
  <fills count="12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00FF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340">
    <xf numFmtId="0" fontId="0" fillId="0" borderId="0"/>
    <xf numFmtId="9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3" fillId="3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8" fillId="5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" fillId="3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182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wrapText="1"/>
    </xf>
    <xf numFmtId="0" fontId="0" fillId="0" borderId="0" xfId="0"/>
    <xf numFmtId="14" fontId="0" fillId="0" borderId="0" xfId="0" applyNumberFormat="1"/>
    <xf numFmtId="14" fontId="3" fillId="3" borderId="0" xfId="3" applyNumberFormat="1"/>
    <xf numFmtId="14" fontId="3" fillId="3" borderId="1" xfId="3" applyNumberFormat="1" applyBorder="1"/>
    <xf numFmtId="164" fontId="0" fillId="0" borderId="0" xfId="0" applyNumberFormat="1"/>
    <xf numFmtId="14" fontId="0" fillId="0" borderId="0" xfId="0" applyNumberFormat="1"/>
    <xf numFmtId="14" fontId="4" fillId="2" borderId="0" xfId="2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165" fontId="0" fillId="0" borderId="0" xfId="0" applyNumberFormat="1"/>
    <xf numFmtId="0" fontId="0" fillId="4" borderId="0" xfId="0" applyFill="1"/>
    <xf numFmtId="0" fontId="0" fillId="4" borderId="0" xfId="0" applyFill="1" applyAlignment="1">
      <alignment wrapText="1"/>
    </xf>
    <xf numFmtId="167" fontId="0" fillId="4" borderId="0" xfId="0" applyNumberFormat="1" applyFill="1"/>
    <xf numFmtId="168" fontId="0" fillId="4" borderId="0" xfId="0" applyNumberFormat="1" applyFill="1"/>
    <xf numFmtId="2" fontId="0" fillId="4" borderId="0" xfId="0" applyNumberFormat="1" applyFill="1"/>
    <xf numFmtId="1" fontId="0" fillId="4" borderId="0" xfId="0" applyNumberFormat="1" applyFill="1"/>
    <xf numFmtId="0" fontId="7" fillId="4" borderId="0" xfId="0" applyFont="1" applyFill="1"/>
    <xf numFmtId="166" fontId="0" fillId="0" borderId="0" xfId="0" applyNumberFormat="1"/>
    <xf numFmtId="0" fontId="8" fillId="5" borderId="0" xfId="210" applyNumberFormat="1" applyFont="1" applyFill="1" applyBorder="1" applyAlignment="1" applyProtection="1"/>
    <xf numFmtId="0" fontId="0" fillId="6" borderId="0" xfId="0" applyFill="1"/>
    <xf numFmtId="10" fontId="0" fillId="0" borderId="0" xfId="1" applyNumberFormat="1" applyFont="1"/>
    <xf numFmtId="0" fontId="0" fillId="7" borderId="0" xfId="0" applyFill="1"/>
    <xf numFmtId="0" fontId="0" fillId="8" borderId="0" xfId="0" applyFill="1"/>
    <xf numFmtId="0" fontId="0" fillId="9" borderId="0" xfId="0" applyFill="1"/>
    <xf numFmtId="9" fontId="0" fillId="0" borderId="0" xfId="0" applyNumberFormat="1"/>
    <xf numFmtId="10" fontId="0" fillId="0" borderId="0" xfId="0" applyNumberFormat="1"/>
    <xf numFmtId="0" fontId="0" fillId="10" borderId="0" xfId="0" applyFill="1"/>
    <xf numFmtId="0" fontId="0" fillId="11" borderId="0" xfId="0" applyFill="1"/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169" fontId="0" fillId="0" borderId="0" xfId="0" applyNumberFormat="1"/>
    <xf numFmtId="10" fontId="0" fillId="4" borderId="2" xfId="0" applyNumberFormat="1" applyFill="1" applyBorder="1"/>
    <xf numFmtId="169" fontId="0" fillId="4" borderId="2" xfId="0" applyNumberFormat="1" applyFill="1" applyBorder="1"/>
    <xf numFmtId="0" fontId="0" fillId="4" borderId="2" xfId="0" applyFill="1" applyBorder="1"/>
    <xf numFmtId="169" fontId="0" fillId="4" borderId="0" xfId="0" applyNumberFormat="1" applyFill="1"/>
    <xf numFmtId="10" fontId="0" fillId="4" borderId="3" xfId="1" applyNumberFormat="1" applyFont="1" applyFill="1" applyBorder="1"/>
    <xf numFmtId="169" fontId="0" fillId="4" borderId="3" xfId="0" applyNumberFormat="1" applyFill="1" applyBorder="1"/>
    <xf numFmtId="0" fontId="0" fillId="4" borderId="3" xfId="0" applyFill="1" applyBorder="1"/>
    <xf numFmtId="10" fontId="0" fillId="4" borderId="0" xfId="1" applyNumberFormat="1" applyFont="1" applyFill="1" applyBorder="1"/>
    <xf numFmtId="169" fontId="0" fillId="4" borderId="0" xfId="0" applyNumberFormat="1" applyFill="1" applyBorder="1"/>
    <xf numFmtId="0" fontId="0" fillId="4" borderId="0" xfId="0" applyFill="1" applyBorder="1"/>
    <xf numFmtId="10" fontId="0" fillId="4" borderId="4" xfId="1" applyNumberFormat="1" applyFont="1" applyFill="1" applyBorder="1"/>
    <xf numFmtId="169" fontId="0" fillId="4" borderId="4" xfId="0" applyNumberFormat="1" applyFill="1" applyBorder="1"/>
    <xf numFmtId="0" fontId="0" fillId="4" borderId="4" xfId="0" applyFill="1" applyBorder="1"/>
    <xf numFmtId="0" fontId="0" fillId="4" borderId="5" xfId="0" applyFill="1" applyBorder="1"/>
    <xf numFmtId="10" fontId="0" fillId="4" borderId="0" xfId="1" applyNumberFormat="1" applyFont="1" applyFill="1"/>
    <xf numFmtId="169" fontId="0" fillId="4" borderId="0" xfId="0" applyNumberFormat="1" applyFont="1" applyFill="1"/>
    <xf numFmtId="0" fontId="0" fillId="4" borderId="6" xfId="0" applyFill="1" applyBorder="1"/>
    <xf numFmtId="0" fontId="0" fillId="4" borderId="6" xfId="0" applyFill="1" applyBorder="1" applyAlignment="1">
      <alignment wrapText="1"/>
    </xf>
    <xf numFmtId="0" fontId="9" fillId="4" borderId="0" xfId="0" applyFont="1" applyFill="1"/>
    <xf numFmtId="0" fontId="0" fillId="0" borderId="3" xfId="0" applyBorder="1"/>
    <xf numFmtId="168" fontId="0" fillId="4" borderId="3" xfId="0" applyNumberFormat="1" applyFill="1" applyBorder="1"/>
    <xf numFmtId="0" fontId="0" fillId="4" borderId="7" xfId="0" applyFill="1" applyBorder="1"/>
    <xf numFmtId="0" fontId="7" fillId="4" borderId="3" xfId="0" applyFont="1" applyFill="1" applyBorder="1"/>
    <xf numFmtId="2" fontId="0" fillId="4" borderId="3" xfId="0" applyNumberFormat="1" applyFill="1" applyBorder="1"/>
    <xf numFmtId="0" fontId="2" fillId="0" borderId="0" xfId="317"/>
    <xf numFmtId="0" fontId="2" fillId="0" borderId="0" xfId="317" applyBorder="1"/>
    <xf numFmtId="0" fontId="11" fillId="0" borderId="8" xfId="317" applyFont="1" applyFill="1" applyBorder="1" applyAlignment="1">
      <alignment horizontal="centerContinuous"/>
    </xf>
    <xf numFmtId="0" fontId="2" fillId="4" borderId="0" xfId="317" applyFill="1" applyBorder="1"/>
    <xf numFmtId="0" fontId="2" fillId="4" borderId="0" xfId="317" applyFill="1"/>
    <xf numFmtId="2" fontId="2" fillId="0" borderId="0" xfId="317" applyNumberFormat="1" applyFont="1" applyFill="1" applyBorder="1" applyAlignment="1" applyProtection="1"/>
    <xf numFmtId="10" fontId="0" fillId="0" borderId="0" xfId="318" applyNumberFormat="1" applyFont="1"/>
    <xf numFmtId="170" fontId="0" fillId="0" borderId="0" xfId="318" applyNumberFormat="1" applyFont="1"/>
    <xf numFmtId="14" fontId="2" fillId="0" borderId="0" xfId="317" applyNumberFormat="1"/>
    <xf numFmtId="0" fontId="2" fillId="0" borderId="0" xfId="317" applyFill="1" applyBorder="1" applyAlignment="1"/>
    <xf numFmtId="0" fontId="2" fillId="4" borderId="5" xfId="317" applyFill="1" applyBorder="1"/>
    <xf numFmtId="0" fontId="2" fillId="4" borderId="5" xfId="317" applyFill="1" applyBorder="1" applyAlignment="1">
      <alignment horizontal="center"/>
    </xf>
    <xf numFmtId="168" fontId="2" fillId="4" borderId="0" xfId="317" applyNumberFormat="1" applyFill="1" applyBorder="1" applyAlignment="1">
      <alignment horizontal="center"/>
    </xf>
    <xf numFmtId="0" fontId="2" fillId="0" borderId="1" xfId="317" applyFill="1" applyBorder="1" applyAlignment="1"/>
    <xf numFmtId="0" fontId="11" fillId="0" borderId="8" xfId="317" applyFont="1" applyFill="1" applyBorder="1" applyAlignment="1">
      <alignment horizontal="center"/>
    </xf>
    <xf numFmtId="0" fontId="2" fillId="4" borderId="3" xfId="317" applyFill="1" applyBorder="1"/>
    <xf numFmtId="168" fontId="2" fillId="4" borderId="3" xfId="317" applyNumberFormat="1" applyFill="1" applyBorder="1" applyAlignment="1">
      <alignment horizontal="center"/>
    </xf>
    <xf numFmtId="168" fontId="2" fillId="4" borderId="0" xfId="317" applyNumberFormat="1" applyFill="1"/>
    <xf numFmtId="168" fontId="2" fillId="0" borderId="0" xfId="317" applyNumberFormat="1"/>
    <xf numFmtId="0" fontId="12" fillId="0" borderId="0" xfId="317" applyFont="1" applyFill="1" applyBorder="1" applyAlignment="1">
      <alignment wrapText="1"/>
    </xf>
    <xf numFmtId="0" fontId="12" fillId="0" borderId="0" xfId="317" applyFont="1" applyFill="1" applyBorder="1"/>
    <xf numFmtId="0" fontId="13" fillId="0" borderId="9" xfId="317" applyFont="1" applyBorder="1"/>
    <xf numFmtId="0" fontId="2" fillId="0" borderId="10" xfId="317" applyBorder="1"/>
    <xf numFmtId="0" fontId="2" fillId="0" borderId="11" xfId="317" applyBorder="1"/>
    <xf numFmtId="0" fontId="2" fillId="0" borderId="12" xfId="317" applyBorder="1"/>
    <xf numFmtId="168" fontId="3" fillId="0" borderId="12" xfId="317" applyNumberFormat="1" applyFont="1" applyBorder="1"/>
    <xf numFmtId="170" fontId="0" fillId="0" borderId="13" xfId="318" applyNumberFormat="1" applyFont="1" applyBorder="1"/>
    <xf numFmtId="168" fontId="3" fillId="0" borderId="0" xfId="317" applyNumberFormat="1" applyFont="1" applyBorder="1"/>
    <xf numFmtId="170" fontId="0" fillId="0" borderId="0" xfId="318" applyNumberFormat="1" applyFont="1" applyBorder="1"/>
    <xf numFmtId="171" fontId="2" fillId="0" borderId="0" xfId="317" applyNumberFormat="1" applyBorder="1"/>
    <xf numFmtId="0" fontId="2" fillId="0" borderId="14" xfId="317" applyBorder="1"/>
    <xf numFmtId="0" fontId="2" fillId="0" borderId="1" xfId="317" applyBorder="1"/>
    <xf numFmtId="168" fontId="2" fillId="0" borderId="1" xfId="317" applyNumberFormat="1" applyBorder="1"/>
    <xf numFmtId="171" fontId="2" fillId="0" borderId="1" xfId="317" applyNumberFormat="1" applyBorder="1"/>
    <xf numFmtId="0" fontId="2" fillId="0" borderId="16" xfId="317" applyFill="1" applyBorder="1" applyProtection="1">
      <protection locked="0"/>
    </xf>
    <xf numFmtId="14" fontId="2" fillId="3" borderId="0" xfId="325" applyNumberFormat="1"/>
    <xf numFmtId="170" fontId="2" fillId="0" borderId="0" xfId="317" applyNumberFormat="1"/>
    <xf numFmtId="0" fontId="2" fillId="0" borderId="0" xfId="317" applyFill="1" applyBorder="1" applyProtection="1">
      <protection locked="0"/>
    </xf>
    <xf numFmtId="0" fontId="2" fillId="0" borderId="0" xfId="317" applyBorder="1" applyAlignment="1" applyProtection="1">
      <alignment wrapText="1"/>
      <protection locked="0"/>
    </xf>
    <xf numFmtId="0" fontId="2" fillId="0" borderId="0" xfId="317" applyFont="1"/>
    <xf numFmtId="0" fontId="2" fillId="0" borderId="18" xfId="317" applyBorder="1"/>
    <xf numFmtId="0" fontId="2" fillId="0" borderId="17" xfId="317" applyBorder="1"/>
    <xf numFmtId="0" fontId="2" fillId="0" borderId="16" xfId="317" applyBorder="1"/>
    <xf numFmtId="0" fontId="2" fillId="0" borderId="18" xfId="317" applyBorder="1" applyAlignment="1">
      <alignment wrapText="1"/>
    </xf>
    <xf numFmtId="0" fontId="2" fillId="0" borderId="17" xfId="317" applyBorder="1" applyAlignment="1">
      <alignment wrapText="1"/>
    </xf>
    <xf numFmtId="0" fontId="2" fillId="0" borderId="16" xfId="317" applyFill="1" applyBorder="1" applyAlignment="1">
      <alignment wrapText="1"/>
    </xf>
    <xf numFmtId="171" fontId="2" fillId="0" borderId="16" xfId="317" applyNumberFormat="1" applyBorder="1"/>
    <xf numFmtId="171" fontId="2" fillId="0" borderId="18" xfId="317" applyNumberFormat="1" applyBorder="1"/>
    <xf numFmtId="2" fontId="2" fillId="0" borderId="1" xfId="317" applyNumberFormat="1" applyBorder="1"/>
    <xf numFmtId="171" fontId="2" fillId="0" borderId="9" xfId="317" applyNumberFormat="1" applyBorder="1"/>
    <xf numFmtId="171" fontId="2" fillId="0" borderId="11" xfId="317" applyNumberFormat="1" applyBorder="1"/>
    <xf numFmtId="0" fontId="2" fillId="0" borderId="9" xfId="317" applyFill="1" applyBorder="1"/>
    <xf numFmtId="170" fontId="0" fillId="0" borderId="12" xfId="318" applyNumberFormat="1" applyFont="1" applyFill="1" applyBorder="1"/>
    <xf numFmtId="14" fontId="2" fillId="3" borderId="0" xfId="325" applyNumberFormat="1" applyBorder="1"/>
    <xf numFmtId="10" fontId="2" fillId="0" borderId="0" xfId="317" applyNumberFormat="1" applyBorder="1"/>
    <xf numFmtId="171" fontId="2" fillId="0" borderId="12" xfId="317" applyNumberFormat="1" applyBorder="1"/>
    <xf numFmtId="14" fontId="2" fillId="0" borderId="0" xfId="317" applyNumberFormat="1" applyBorder="1"/>
    <xf numFmtId="14" fontId="2" fillId="3" borderId="1" xfId="325" applyNumberFormat="1" applyBorder="1"/>
    <xf numFmtId="10" fontId="2" fillId="0" borderId="1" xfId="317" applyNumberFormat="1" applyBorder="1"/>
    <xf numFmtId="171" fontId="2" fillId="0" borderId="14" xfId="317" applyNumberFormat="1" applyBorder="1"/>
    <xf numFmtId="170" fontId="0" fillId="0" borderId="15" xfId="318" applyNumberFormat="1" applyFont="1" applyBorder="1"/>
    <xf numFmtId="170" fontId="0" fillId="0" borderId="14" xfId="318" applyNumberFormat="1" applyFont="1" applyFill="1" applyBorder="1"/>
    <xf numFmtId="14" fontId="2" fillId="0" borderId="1" xfId="317" applyNumberFormat="1" applyBorder="1"/>
    <xf numFmtId="0" fontId="2" fillId="0" borderId="6" xfId="317" applyFont="1" applyBorder="1"/>
    <xf numFmtId="0" fontId="2" fillId="0" borderId="6" xfId="317" applyFont="1" applyFill="1" applyBorder="1"/>
    <xf numFmtId="0" fontId="2" fillId="0" borderId="19" xfId="317" applyFont="1" applyBorder="1"/>
    <xf numFmtId="0" fontId="2" fillId="0" borderId="18" xfId="317" applyBorder="1" applyAlignment="1" applyProtection="1">
      <alignment wrapText="1"/>
      <protection locked="0"/>
    </xf>
    <xf numFmtId="0" fontId="10" fillId="0" borderId="0" xfId="317" applyFont="1" applyBorder="1" applyAlignment="1"/>
    <xf numFmtId="0" fontId="2" fillId="0" borderId="16" xfId="317" applyBorder="1" applyAlignment="1">
      <alignment horizontal="center"/>
    </xf>
    <xf numFmtId="0" fontId="2" fillId="0" borderId="18" xfId="317" applyBorder="1" applyAlignment="1">
      <alignment horizontal="center"/>
    </xf>
    <xf numFmtId="0" fontId="10" fillId="0" borderId="0" xfId="317" applyFont="1"/>
    <xf numFmtId="0" fontId="2" fillId="0" borderId="16" xfId="317" applyFill="1" applyBorder="1" applyAlignment="1">
      <alignment horizontal="left" indent="1"/>
    </xf>
    <xf numFmtId="0" fontId="2" fillId="0" borderId="18" xfId="317" applyFill="1" applyBorder="1" applyAlignment="1">
      <alignment horizontal="left" indent="1"/>
    </xf>
    <xf numFmtId="10" fontId="0" fillId="0" borderId="1" xfId="1" applyNumberFormat="1" applyFont="1" applyBorder="1"/>
    <xf numFmtId="10" fontId="12" fillId="0" borderId="0" xfId="317" applyNumberFormat="1" applyFont="1" applyFill="1" applyBorder="1"/>
    <xf numFmtId="0" fontId="14" fillId="4" borderId="0" xfId="338" applyFont="1" applyFill="1" applyBorder="1"/>
    <xf numFmtId="0" fontId="14" fillId="4" borderId="0" xfId="338" applyFont="1" applyFill="1"/>
    <xf numFmtId="0" fontId="15" fillId="4" borderId="0" xfId="338" applyFont="1" applyFill="1" applyBorder="1"/>
    <xf numFmtId="0" fontId="14" fillId="4" borderId="3" xfId="338" applyFont="1" applyFill="1" applyBorder="1"/>
    <xf numFmtId="0" fontId="15" fillId="4" borderId="3" xfId="338" applyFont="1" applyFill="1" applyBorder="1"/>
    <xf numFmtId="0" fontId="14" fillId="4" borderId="7" xfId="338" applyFont="1" applyFill="1" applyBorder="1"/>
    <xf numFmtId="0" fontId="14" fillId="4" borderId="3" xfId="338" applyFont="1" applyFill="1" applyBorder="1" applyAlignment="1">
      <alignment horizontal="center"/>
    </xf>
    <xf numFmtId="168" fontId="14" fillId="4" borderId="2" xfId="338" applyNumberFormat="1" applyFont="1" applyFill="1" applyBorder="1" applyAlignment="1">
      <alignment horizontal="center" wrapText="1"/>
    </xf>
    <xf numFmtId="168" fontId="14" fillId="4" borderId="2" xfId="338" applyNumberFormat="1" applyFont="1" applyFill="1" applyBorder="1" applyAlignment="1">
      <alignment horizontal="center"/>
    </xf>
    <xf numFmtId="0" fontId="14" fillId="4" borderId="2" xfId="338" applyFont="1" applyFill="1" applyBorder="1" applyAlignment="1">
      <alignment horizontal="center"/>
    </xf>
    <xf numFmtId="0" fontId="14" fillId="4" borderId="2" xfId="338" applyFont="1" applyFill="1" applyBorder="1"/>
    <xf numFmtId="168" fontId="14" fillId="4" borderId="0" xfId="338" applyNumberFormat="1" applyFont="1" applyFill="1" applyAlignment="1"/>
    <xf numFmtId="168" fontId="14" fillId="4" borderId="0" xfId="338" applyNumberFormat="1" applyFont="1" applyFill="1" applyBorder="1" applyAlignment="1"/>
    <xf numFmtId="0" fontId="14" fillId="4" borderId="0" xfId="338" applyFont="1" applyFill="1" applyAlignment="1"/>
    <xf numFmtId="168" fontId="14" fillId="4" borderId="3" xfId="338" applyNumberFormat="1" applyFont="1" applyFill="1" applyBorder="1" applyAlignment="1"/>
    <xf numFmtId="0" fontId="14" fillId="4" borderId="3" xfId="338" applyFont="1" applyFill="1" applyBorder="1" applyAlignment="1"/>
    <xf numFmtId="168" fontId="14" fillId="4" borderId="0" xfId="338" applyNumberFormat="1" applyFont="1" applyFill="1"/>
    <xf numFmtId="168" fontId="14" fillId="4" borderId="0" xfId="338" applyNumberFormat="1" applyFont="1" applyFill="1" applyAlignment="1">
      <alignment horizontal="left"/>
    </xf>
    <xf numFmtId="168" fontId="14" fillId="4" borderId="0" xfId="338" applyNumberFormat="1" applyFont="1" applyFill="1" applyAlignment="1">
      <alignment horizontal="center"/>
    </xf>
    <xf numFmtId="168" fontId="14" fillId="4" borderId="7" xfId="338" applyNumberFormat="1" applyFont="1" applyFill="1" applyBorder="1" applyAlignment="1">
      <alignment horizontal="center"/>
    </xf>
    <xf numFmtId="168" fontId="14" fillId="4" borderId="7" xfId="338" applyNumberFormat="1" applyFont="1" applyFill="1" applyBorder="1" applyAlignment="1"/>
    <xf numFmtId="168" fontId="14" fillId="4" borderId="7" xfId="338" applyNumberFormat="1" applyFont="1" applyFill="1" applyBorder="1" applyAlignment="1">
      <alignment horizontal="left"/>
    </xf>
    <xf numFmtId="168" fontId="14" fillId="4" borderId="5" xfId="338" applyNumberFormat="1" applyFont="1" applyFill="1" applyBorder="1" applyAlignment="1">
      <alignment horizontal="center" wrapText="1"/>
    </xf>
    <xf numFmtId="168" fontId="14" fillId="4" borderId="5" xfId="338" applyNumberFormat="1" applyFont="1" applyFill="1" applyBorder="1" applyAlignment="1">
      <alignment horizontal="center"/>
    </xf>
    <xf numFmtId="0" fontId="14" fillId="4" borderId="5" xfId="338" applyFont="1" applyFill="1" applyBorder="1" applyAlignment="1">
      <alignment horizontal="center"/>
    </xf>
    <xf numFmtId="0" fontId="14" fillId="4" borderId="5" xfId="338" applyFont="1" applyFill="1" applyBorder="1"/>
    <xf numFmtId="172" fontId="14" fillId="4" borderId="0" xfId="339" applyNumberFormat="1" applyFont="1" applyFill="1" applyBorder="1" applyAlignment="1">
      <alignment horizontal="center"/>
    </xf>
    <xf numFmtId="171" fontId="14" fillId="4" borderId="0" xfId="338" applyNumberFormat="1" applyFont="1" applyFill="1" applyAlignment="1">
      <alignment horizontal="center"/>
    </xf>
    <xf numFmtId="168" fontId="14" fillId="4" borderId="0" xfId="338" applyNumberFormat="1" applyFont="1" applyFill="1" applyBorder="1" applyAlignment="1">
      <alignment horizontal="center"/>
    </xf>
    <xf numFmtId="0" fontId="14" fillId="4" borderId="0" xfId="338" applyFont="1" applyFill="1" applyAlignment="1">
      <alignment horizontal="center"/>
    </xf>
    <xf numFmtId="172" fontId="14" fillId="4" borderId="3" xfId="339" applyNumberFormat="1" applyFont="1" applyFill="1" applyBorder="1" applyAlignment="1">
      <alignment horizontal="center"/>
    </xf>
    <xf numFmtId="171" fontId="14" fillId="4" borderId="3" xfId="338" applyNumberFormat="1" applyFont="1" applyFill="1" applyBorder="1" applyAlignment="1">
      <alignment horizontal="center"/>
    </xf>
    <xf numFmtId="168" fontId="14" fillId="4" borderId="3" xfId="338" applyNumberFormat="1" applyFont="1" applyFill="1" applyBorder="1" applyAlignment="1">
      <alignment horizontal="center"/>
    </xf>
    <xf numFmtId="168" fontId="14" fillId="4" borderId="3" xfId="338" applyNumberFormat="1" applyFont="1" applyFill="1" applyBorder="1" applyAlignment="1">
      <alignment horizontal="left"/>
    </xf>
    <xf numFmtId="168" fontId="14" fillId="4" borderId="7" xfId="338" applyNumberFormat="1" applyFont="1" applyFill="1" applyBorder="1" applyAlignment="1">
      <alignment horizontal="center" wrapText="1"/>
    </xf>
    <xf numFmtId="168" fontId="14" fillId="4" borderId="3" xfId="338" applyNumberFormat="1" applyFont="1" applyFill="1" applyBorder="1" applyAlignment="1">
      <alignment horizontal="center" wrapText="1"/>
    </xf>
    <xf numFmtId="168" fontId="15" fillId="4" borderId="0" xfId="338" applyNumberFormat="1" applyFont="1" applyFill="1"/>
    <xf numFmtId="168" fontId="14" fillId="4" borderId="3" xfId="338" applyNumberFormat="1" applyFont="1" applyFill="1" applyBorder="1"/>
    <xf numFmtId="0" fontId="14" fillId="4" borderId="0" xfId="338" applyFont="1" applyFill="1" applyBorder="1" applyAlignment="1"/>
    <xf numFmtId="0" fontId="14" fillId="4" borderId="7" xfId="338" applyFont="1" applyFill="1" applyBorder="1" applyAlignment="1"/>
    <xf numFmtId="0" fontId="14" fillId="4" borderId="0" xfId="338" applyFont="1" applyFill="1" applyBorder="1" applyAlignment="1">
      <alignment horizontal="center"/>
    </xf>
    <xf numFmtId="0" fontId="14" fillId="4" borderId="3" xfId="338" applyFont="1" applyFill="1" applyBorder="1" applyAlignment="1">
      <alignment horizontal="left"/>
    </xf>
    <xf numFmtId="168" fontId="14" fillId="4" borderId="7" xfId="338" applyNumberFormat="1" applyFont="1" applyFill="1" applyBorder="1" applyAlignment="1">
      <alignment horizontal="center"/>
    </xf>
    <xf numFmtId="0" fontId="2" fillId="4" borderId="7" xfId="317" applyFill="1" applyBorder="1" applyAlignment="1">
      <alignment horizontal="center"/>
    </xf>
  </cellXfs>
  <cellStyles count="340">
    <cellStyle name="40% - Accent6" xfId="3" builtinId="51"/>
    <cellStyle name="40% - uthevingsfarge 6 2" xfId="325"/>
    <cellStyle name="blp_column_header" xfId="210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9" builtinId="8" hidden="1"/>
    <cellStyle name="Hyperlink" xfId="321" builtinId="8" hidden="1"/>
    <cellStyle name="Hyperlink" xfId="323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Neutral" xfId="2" builtinId="28"/>
    <cellStyle name="Normal" xfId="0" builtinId="0"/>
    <cellStyle name="Normal 2" xfId="317"/>
    <cellStyle name="Normal 3" xfId="338"/>
    <cellStyle name="Percent" xfId="1" builtinId="5"/>
    <cellStyle name="Prosent 2" xfId="318"/>
    <cellStyle name="Prosent 3" xfId="33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Index!$P$1</c:f>
              <c:strCache>
                <c:ptCount val="1"/>
                <c:pt idx="0">
                  <c:v>MSCI World Equity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Index!$P$2:$P$732</c:f>
              <c:numCache>
                <c:formatCode>General</c:formatCode>
                <c:ptCount val="731"/>
                <c:pt idx="0">
                  <c:v>100</c:v>
                </c:pt>
                <c:pt idx="1">
                  <c:v>101.29744074897718</c:v>
                </c:pt>
                <c:pt idx="2">
                  <c:v>99.368480544531977</c:v>
                </c:pt>
                <c:pt idx="3">
                  <c:v>95.584278360015261</c:v>
                </c:pt>
                <c:pt idx="4">
                  <c:v>94.295438070548357</c:v>
                </c:pt>
                <c:pt idx="5">
                  <c:v>92.157609563710992</c:v>
                </c:pt>
                <c:pt idx="6">
                  <c:v>92.669951223108214</c:v>
                </c:pt>
                <c:pt idx="7">
                  <c:v>93.808897789681907</c:v>
                </c:pt>
                <c:pt idx="8">
                  <c:v>92.499170669975797</c:v>
                </c:pt>
                <c:pt idx="9">
                  <c:v>90.670958705507985</c:v>
                </c:pt>
                <c:pt idx="10">
                  <c:v>90.962145691784116</c:v>
                </c:pt>
                <c:pt idx="11">
                  <c:v>96.554901647602321</c:v>
                </c:pt>
                <c:pt idx="12">
                  <c:v>93.738865476526897</c:v>
                </c:pt>
                <c:pt idx="13">
                  <c:v>95.202172230344871</c:v>
                </c:pt>
                <c:pt idx="14">
                  <c:v>94.641913725104729</c:v>
                </c:pt>
                <c:pt idx="15">
                  <c:v>97.40266122789987</c:v>
                </c:pt>
                <c:pt idx="16">
                  <c:v>97.604157707854668</c:v>
                </c:pt>
                <c:pt idx="17">
                  <c:v>101.05539924561683</c:v>
                </c:pt>
                <c:pt idx="18">
                  <c:v>102.14765760342051</c:v>
                </c:pt>
                <c:pt idx="19">
                  <c:v>103.7325994274551</c:v>
                </c:pt>
                <c:pt idx="20">
                  <c:v>102.82955117887725</c:v>
                </c:pt>
                <c:pt idx="21">
                  <c:v>105.37405855684287</c:v>
                </c:pt>
                <c:pt idx="22">
                  <c:v>108.52428401174575</c:v>
                </c:pt>
                <c:pt idx="23">
                  <c:v>109.03662567114299</c:v>
                </c:pt>
                <c:pt idx="24">
                  <c:v>109.86349842120136</c:v>
                </c:pt>
                <c:pt idx="25">
                  <c:v>107.40499563833838</c:v>
                </c:pt>
                <c:pt idx="26">
                  <c:v>108.56974358344289</c:v>
                </c:pt>
                <c:pt idx="27">
                  <c:v>109.29095354523227</c:v>
                </c:pt>
                <c:pt idx="28">
                  <c:v>108.32524480593678</c:v>
                </c:pt>
                <c:pt idx="29">
                  <c:v>109.91510117826297</c:v>
                </c:pt>
                <c:pt idx="30">
                  <c:v>108.21712474352202</c:v>
                </c:pt>
                <c:pt idx="31">
                  <c:v>107.92348048310011</c:v>
                </c:pt>
                <c:pt idx="32">
                  <c:v>109.99496258800113</c:v>
                </c:pt>
                <c:pt idx="33">
                  <c:v>110.2996645820791</c:v>
                </c:pt>
                <c:pt idx="34">
                  <c:v>111.23097148333353</c:v>
                </c:pt>
                <c:pt idx="35">
                  <c:v>113.38722954626432</c:v>
                </c:pt>
                <c:pt idx="36">
                  <c:v>113.40197319113906</c:v>
                </c:pt>
                <c:pt idx="37">
                  <c:v>115.7965868462115</c:v>
                </c:pt>
                <c:pt idx="38">
                  <c:v>112.07504515241244</c:v>
                </c:pt>
                <c:pt idx="39">
                  <c:v>116.01159833396814</c:v>
                </c:pt>
                <c:pt idx="40">
                  <c:v>117.49087736973377</c:v>
                </c:pt>
                <c:pt idx="41">
                  <c:v>117.87912668476859</c:v>
                </c:pt>
                <c:pt idx="42">
                  <c:v>116.2425821036724</c:v>
                </c:pt>
                <c:pt idx="43">
                  <c:v>118.28211964467818</c:v>
                </c:pt>
                <c:pt idx="44">
                  <c:v>118.8497499723557</c:v>
                </c:pt>
                <c:pt idx="45">
                  <c:v>119.18025334496447</c:v>
                </c:pt>
                <c:pt idx="46">
                  <c:v>117.45524689461983</c:v>
                </c:pt>
                <c:pt idx="47">
                  <c:v>119.91743558870149</c:v>
                </c:pt>
                <c:pt idx="48">
                  <c:v>121.36722733471765</c:v>
                </c:pt>
                <c:pt idx="49">
                  <c:v>122.27641876865997</c:v>
                </c:pt>
                <c:pt idx="50">
                  <c:v>123.91050607561036</c:v>
                </c:pt>
                <c:pt idx="51">
                  <c:v>125.11334176997458</c:v>
                </c:pt>
                <c:pt idx="52">
                  <c:v>127.53989998894228</c:v>
                </c:pt>
                <c:pt idx="53">
                  <c:v>129.8399085894018</c:v>
                </c:pt>
                <c:pt idx="54">
                  <c:v>130.1900701551769</c:v>
                </c:pt>
                <c:pt idx="55">
                  <c:v>131.67180646508831</c:v>
                </c:pt>
                <c:pt idx="56">
                  <c:v>129.28825054367192</c:v>
                </c:pt>
                <c:pt idx="57">
                  <c:v>130.75155729748994</c:v>
                </c:pt>
                <c:pt idx="58">
                  <c:v>131.99493801525972</c:v>
                </c:pt>
                <c:pt idx="59">
                  <c:v>131.55385730609041</c:v>
                </c:pt>
                <c:pt idx="60">
                  <c:v>131.29830079492825</c:v>
                </c:pt>
                <c:pt idx="61">
                  <c:v>132.95818948040946</c:v>
                </c:pt>
                <c:pt idx="62">
                  <c:v>128.01538253615271</c:v>
                </c:pt>
                <c:pt idx="63">
                  <c:v>128.2647958619504</c:v>
                </c:pt>
                <c:pt idx="64">
                  <c:v>127.77579830693817</c:v>
                </c:pt>
                <c:pt idx="65">
                  <c:v>131.87330294504312</c:v>
                </c:pt>
                <c:pt idx="66">
                  <c:v>131.67057782801547</c:v>
                </c:pt>
                <c:pt idx="67">
                  <c:v>130.55374672875385</c:v>
                </c:pt>
                <c:pt idx="68">
                  <c:v>130.68889680677231</c:v>
                </c:pt>
                <c:pt idx="69">
                  <c:v>127.24502709144751</c:v>
                </c:pt>
                <c:pt idx="70">
                  <c:v>125.95127225368904</c:v>
                </c:pt>
                <c:pt idx="71">
                  <c:v>123.71638141809295</c:v>
                </c:pt>
                <c:pt idx="72">
                  <c:v>124.8688429924685</c:v>
                </c:pt>
                <c:pt idx="73">
                  <c:v>128.00555343956952</c:v>
                </c:pt>
                <c:pt idx="74">
                  <c:v>128.19967809708697</c:v>
                </c:pt>
                <c:pt idx="75">
                  <c:v>129.27473553587012</c:v>
                </c:pt>
                <c:pt idx="76">
                  <c:v>129.82639358159997</c:v>
                </c:pt>
                <c:pt idx="77">
                  <c:v>130.19252742932269</c:v>
                </c:pt>
                <c:pt idx="78">
                  <c:v>129.59049526360411</c:v>
                </c:pt>
                <c:pt idx="79">
                  <c:v>128.72799203843181</c:v>
                </c:pt>
                <c:pt idx="80">
                  <c:v>127.67996461525235</c:v>
                </c:pt>
                <c:pt idx="81">
                  <c:v>124.92536029782165</c:v>
                </c:pt>
                <c:pt idx="82">
                  <c:v>126.17979874924748</c:v>
                </c:pt>
                <c:pt idx="83">
                  <c:v>123.33181801427678</c:v>
                </c:pt>
                <c:pt idx="84">
                  <c:v>122.78015996854691</c:v>
                </c:pt>
                <c:pt idx="85">
                  <c:v>125.73134621764081</c:v>
                </c:pt>
                <c:pt idx="86">
                  <c:v>126.8690641471416</c:v>
                </c:pt>
                <c:pt idx="87">
                  <c:v>127.31628804167541</c:v>
                </c:pt>
                <c:pt idx="88">
                  <c:v>128.94791807448001</c:v>
                </c:pt>
                <c:pt idx="89">
                  <c:v>129.20593185978794</c:v>
                </c:pt>
                <c:pt idx="90">
                  <c:v>127.96623705323685</c:v>
                </c:pt>
                <c:pt idx="91">
                  <c:v>130.58569129264907</c:v>
                </c:pt>
                <c:pt idx="92">
                  <c:v>130.73927092676095</c:v>
                </c:pt>
                <c:pt idx="93">
                  <c:v>129.15678637687216</c:v>
                </c:pt>
                <c:pt idx="94">
                  <c:v>128.98477718666683</c:v>
                </c:pt>
                <c:pt idx="95">
                  <c:v>131.7958988094507</c:v>
                </c:pt>
                <c:pt idx="96">
                  <c:v>136.19441953041493</c:v>
                </c:pt>
                <c:pt idx="97">
                  <c:v>137.95628509294642</c:v>
                </c:pt>
                <c:pt idx="98">
                  <c:v>137.75478861299166</c:v>
                </c:pt>
                <c:pt idx="99">
                  <c:v>139.18492216584147</c:v>
                </c:pt>
                <c:pt idx="100">
                  <c:v>140.59539752552496</c:v>
                </c:pt>
                <c:pt idx="101">
                  <c:v>138.60131955621631</c:v>
                </c:pt>
                <c:pt idx="102">
                  <c:v>139.97739307785878</c:v>
                </c:pt>
                <c:pt idx="103">
                  <c:v>142.89663476305736</c:v>
                </c:pt>
                <c:pt idx="104">
                  <c:v>143.66944748190832</c:v>
                </c:pt>
                <c:pt idx="105">
                  <c:v>140.05356857637824</c:v>
                </c:pt>
                <c:pt idx="106">
                  <c:v>140.19609047683403</c:v>
                </c:pt>
                <c:pt idx="107">
                  <c:v>138.61729183816391</c:v>
                </c:pt>
                <c:pt idx="108">
                  <c:v>139.25249720485064</c:v>
                </c:pt>
                <c:pt idx="109">
                  <c:v>142.27248713002663</c:v>
                </c:pt>
                <c:pt idx="110">
                  <c:v>142.92735068987966</c:v>
                </c:pt>
                <c:pt idx="111">
                  <c:v>143.64733201459617</c:v>
                </c:pt>
                <c:pt idx="112">
                  <c:v>144.62778439876641</c:v>
                </c:pt>
                <c:pt idx="113">
                  <c:v>146.50637048322292</c:v>
                </c:pt>
                <c:pt idx="114">
                  <c:v>145.1720706220589</c:v>
                </c:pt>
                <c:pt idx="115">
                  <c:v>143.65101792581484</c:v>
                </c:pt>
                <c:pt idx="116">
                  <c:v>140.92958680935234</c:v>
                </c:pt>
                <c:pt idx="117">
                  <c:v>141.0671941615166</c:v>
                </c:pt>
                <c:pt idx="118">
                  <c:v>141.74171591453597</c:v>
                </c:pt>
                <c:pt idx="119">
                  <c:v>138.07669152609006</c:v>
                </c:pt>
                <c:pt idx="120">
                  <c:v>138.81878831811864</c:v>
                </c:pt>
                <c:pt idx="121">
                  <c:v>138.05457605877794</c:v>
                </c:pt>
                <c:pt idx="122">
                  <c:v>140.13957317148078</c:v>
                </c:pt>
                <c:pt idx="123">
                  <c:v>137.41077023258092</c:v>
                </c:pt>
                <c:pt idx="124">
                  <c:v>139.81029843594493</c:v>
                </c:pt>
                <c:pt idx="125">
                  <c:v>141.0069909449447</c:v>
                </c:pt>
                <c:pt idx="126">
                  <c:v>140.88166996350941</c:v>
                </c:pt>
                <c:pt idx="127">
                  <c:v>140.97381774397655</c:v>
                </c:pt>
                <c:pt idx="128">
                  <c:v>143.36228821368448</c:v>
                </c:pt>
                <c:pt idx="129">
                  <c:v>141.26991927854425</c:v>
                </c:pt>
                <c:pt idx="130">
                  <c:v>141.02664913811103</c:v>
                </c:pt>
                <c:pt idx="131">
                  <c:v>142.11645022176893</c:v>
                </c:pt>
                <c:pt idx="132">
                  <c:v>144.21127643105496</c:v>
                </c:pt>
                <c:pt idx="133">
                  <c:v>145.24210293521389</c:v>
                </c:pt>
                <c:pt idx="134">
                  <c:v>145.9817424530967</c:v>
                </c:pt>
                <c:pt idx="135">
                  <c:v>145.94734061505565</c:v>
                </c:pt>
                <c:pt idx="136">
                  <c:v>148.44393114717838</c:v>
                </c:pt>
                <c:pt idx="137">
                  <c:v>146.329446744726</c:v>
                </c:pt>
                <c:pt idx="138">
                  <c:v>145.56031993709371</c:v>
                </c:pt>
                <c:pt idx="139">
                  <c:v>148.33949699598227</c:v>
                </c:pt>
                <c:pt idx="140">
                  <c:v>150.58053101694284</c:v>
                </c:pt>
                <c:pt idx="141">
                  <c:v>150.01412932633824</c:v>
                </c:pt>
                <c:pt idx="142">
                  <c:v>147.9930213414259</c:v>
                </c:pt>
                <c:pt idx="143">
                  <c:v>150.4232654716123</c:v>
                </c:pt>
                <c:pt idx="144">
                  <c:v>146.69558059244878</c:v>
                </c:pt>
                <c:pt idx="145">
                  <c:v>145.45342851175189</c:v>
                </c:pt>
                <c:pt idx="146">
                  <c:v>143.51463921072354</c:v>
                </c:pt>
                <c:pt idx="147">
                  <c:v>145.30722070007741</c:v>
                </c:pt>
                <c:pt idx="148">
                  <c:v>148.31492425452444</c:v>
                </c:pt>
                <c:pt idx="149">
                  <c:v>149.45018490987945</c:v>
                </c:pt>
                <c:pt idx="150">
                  <c:v>150.77096976324162</c:v>
                </c:pt>
                <c:pt idx="151">
                  <c:v>152.76873364376897</c:v>
                </c:pt>
                <c:pt idx="152">
                  <c:v>153.54400363676572</c:v>
                </c:pt>
                <c:pt idx="153">
                  <c:v>153.89785111375949</c:v>
                </c:pt>
                <c:pt idx="154">
                  <c:v>155.77029401285154</c:v>
                </c:pt>
                <c:pt idx="155">
                  <c:v>156.15731469081351</c:v>
                </c:pt>
                <c:pt idx="156">
                  <c:v>154.53551375459205</c:v>
                </c:pt>
                <c:pt idx="157">
                  <c:v>160.72415869076437</c:v>
                </c:pt>
                <c:pt idx="158">
                  <c:v>160.55460677470484</c:v>
                </c:pt>
                <c:pt idx="159">
                  <c:v>157.47441363295698</c:v>
                </c:pt>
                <c:pt idx="160">
                  <c:v>161.15786757749629</c:v>
                </c:pt>
                <c:pt idx="161">
                  <c:v>159.24733692914452</c:v>
                </c:pt>
                <c:pt idx="162">
                  <c:v>158.64284748928014</c:v>
                </c:pt>
                <c:pt idx="163">
                  <c:v>159.95380324605915</c:v>
                </c:pt>
                <c:pt idx="164">
                  <c:v>161.33479131599316</c:v>
                </c:pt>
                <c:pt idx="165">
                  <c:v>161.16032485164209</c:v>
                </c:pt>
                <c:pt idx="166">
                  <c:v>160.19461611234655</c:v>
                </c:pt>
                <c:pt idx="167">
                  <c:v>164.46290130358389</c:v>
                </c:pt>
                <c:pt idx="168">
                  <c:v>164.08693835927801</c:v>
                </c:pt>
                <c:pt idx="169">
                  <c:v>164.03164969099774</c:v>
                </c:pt>
                <c:pt idx="170">
                  <c:v>165.41018048678598</c:v>
                </c:pt>
                <c:pt idx="171">
                  <c:v>164.02059195734171</c:v>
                </c:pt>
                <c:pt idx="172">
                  <c:v>168.32450762369302</c:v>
                </c:pt>
                <c:pt idx="173">
                  <c:v>168.73855831725865</c:v>
                </c:pt>
                <c:pt idx="174">
                  <c:v>171.96004472238943</c:v>
                </c:pt>
                <c:pt idx="175">
                  <c:v>168.70661375336337</c:v>
                </c:pt>
                <c:pt idx="176">
                  <c:v>162.42336376257816</c:v>
                </c:pt>
                <c:pt idx="177">
                  <c:v>163.70728950375349</c:v>
                </c:pt>
                <c:pt idx="178">
                  <c:v>164.97647160005405</c:v>
                </c:pt>
                <c:pt idx="179">
                  <c:v>157.73857060362937</c:v>
                </c:pt>
                <c:pt idx="180">
                  <c:v>157.03210428671474</c:v>
                </c:pt>
                <c:pt idx="181">
                  <c:v>156.94978560283079</c:v>
                </c:pt>
                <c:pt idx="182">
                  <c:v>162.1714931626347</c:v>
                </c:pt>
                <c:pt idx="183">
                  <c:v>162.0707449226573</c:v>
                </c:pt>
                <c:pt idx="184">
                  <c:v>156.61191040778468</c:v>
                </c:pt>
                <c:pt idx="185">
                  <c:v>157.24711577447138</c:v>
                </c:pt>
                <c:pt idx="186">
                  <c:v>163.18266147362732</c:v>
                </c:pt>
                <c:pt idx="187">
                  <c:v>164.10782518951726</c:v>
                </c:pt>
                <c:pt idx="188">
                  <c:v>161.99579806121068</c:v>
                </c:pt>
                <c:pt idx="189">
                  <c:v>166.46926564362153</c:v>
                </c:pt>
                <c:pt idx="190">
                  <c:v>165.25905812681989</c:v>
                </c:pt>
                <c:pt idx="191">
                  <c:v>167.7298472804118</c:v>
                </c:pt>
                <c:pt idx="192">
                  <c:v>165.18779717659197</c:v>
                </c:pt>
                <c:pt idx="193">
                  <c:v>166.49260974800649</c:v>
                </c:pt>
                <c:pt idx="194">
                  <c:v>166.4139769753412</c:v>
                </c:pt>
                <c:pt idx="195">
                  <c:v>168.7373296801857</c:v>
                </c:pt>
                <c:pt idx="196">
                  <c:v>170.02002678428809</c:v>
                </c:pt>
                <c:pt idx="197">
                  <c:v>171.77820643560091</c:v>
                </c:pt>
                <c:pt idx="198">
                  <c:v>173.18622452113863</c:v>
                </c:pt>
                <c:pt idx="199">
                  <c:v>175.06603924266804</c:v>
                </c:pt>
                <c:pt idx="200">
                  <c:v>173.71822437370218</c:v>
                </c:pt>
                <c:pt idx="201">
                  <c:v>175.92485655662165</c:v>
                </c:pt>
                <c:pt idx="202">
                  <c:v>176.89302257006295</c:v>
                </c:pt>
                <c:pt idx="203">
                  <c:v>177.89681905861821</c:v>
                </c:pt>
                <c:pt idx="204">
                  <c:v>178.51973805457601</c:v>
                </c:pt>
                <c:pt idx="205">
                  <c:v>180.54698922485284</c:v>
                </c:pt>
                <c:pt idx="206">
                  <c:v>182.30148296494696</c:v>
                </c:pt>
                <c:pt idx="207">
                  <c:v>180.97701220036612</c:v>
                </c:pt>
                <c:pt idx="208">
                  <c:v>182.27813886056194</c:v>
                </c:pt>
                <c:pt idx="209">
                  <c:v>180.58507697411258</c:v>
                </c:pt>
                <c:pt idx="210">
                  <c:v>182.76713641557416</c:v>
                </c:pt>
                <c:pt idx="211">
                  <c:v>183.50431865931117</c:v>
                </c:pt>
                <c:pt idx="212">
                  <c:v>182.73519185167888</c:v>
                </c:pt>
                <c:pt idx="213">
                  <c:v>186.22697841284659</c:v>
                </c:pt>
                <c:pt idx="214">
                  <c:v>185.98616554655916</c:v>
                </c:pt>
                <c:pt idx="215">
                  <c:v>188.80957354007197</c:v>
                </c:pt>
                <c:pt idx="216">
                  <c:v>189.07864505903598</c:v>
                </c:pt>
                <c:pt idx="217">
                  <c:v>180.61456426386206</c:v>
                </c:pt>
                <c:pt idx="218">
                  <c:v>182.48086397758962</c:v>
                </c:pt>
                <c:pt idx="219">
                  <c:v>180.56910469216496</c:v>
                </c:pt>
                <c:pt idx="220">
                  <c:v>187.59445147497877</c:v>
                </c:pt>
                <c:pt idx="221">
                  <c:v>186.03776830362077</c:v>
                </c:pt>
                <c:pt idx="222">
                  <c:v>189.45829391456053</c:v>
                </c:pt>
                <c:pt idx="223">
                  <c:v>190.88842746741037</c:v>
                </c:pt>
                <c:pt idx="224">
                  <c:v>194.51044955830494</c:v>
                </c:pt>
                <c:pt idx="225">
                  <c:v>194.62717008022997</c:v>
                </c:pt>
                <c:pt idx="226">
                  <c:v>196.26740057254489</c:v>
                </c:pt>
                <c:pt idx="227">
                  <c:v>195.82509122630265</c:v>
                </c:pt>
                <c:pt idx="228">
                  <c:v>197.14956199088348</c:v>
                </c:pt>
                <c:pt idx="229">
                  <c:v>196.50821343883229</c:v>
                </c:pt>
                <c:pt idx="230">
                  <c:v>199.68055436104729</c:v>
                </c:pt>
                <c:pt idx="231">
                  <c:v>194.85323930164267</c:v>
                </c:pt>
                <c:pt idx="232">
                  <c:v>198.94337211731025</c:v>
                </c:pt>
                <c:pt idx="233">
                  <c:v>196.34849061935591</c:v>
                </c:pt>
                <c:pt idx="234">
                  <c:v>196.87189001240921</c:v>
                </c:pt>
                <c:pt idx="235">
                  <c:v>200.43616616087772</c:v>
                </c:pt>
                <c:pt idx="236">
                  <c:v>203.31486282267079</c:v>
                </c:pt>
                <c:pt idx="237">
                  <c:v>201.76678011082305</c:v>
                </c:pt>
                <c:pt idx="238">
                  <c:v>191.12309714833333</c:v>
                </c:pt>
                <c:pt idx="239">
                  <c:v>189.47795210772688</c:v>
                </c:pt>
                <c:pt idx="240">
                  <c:v>188.15593861729184</c:v>
                </c:pt>
                <c:pt idx="241">
                  <c:v>184.07932080942609</c:v>
                </c:pt>
                <c:pt idx="242">
                  <c:v>190.76187784890223</c:v>
                </c:pt>
                <c:pt idx="243">
                  <c:v>191.86273666621616</c:v>
                </c:pt>
                <c:pt idx="244">
                  <c:v>189.53446941308007</c:v>
                </c:pt>
                <c:pt idx="245">
                  <c:v>192.46845474315342</c:v>
                </c:pt>
                <c:pt idx="246">
                  <c:v>198.31553857306088</c:v>
                </c:pt>
                <c:pt idx="247">
                  <c:v>200.70769495398753</c:v>
                </c:pt>
                <c:pt idx="248">
                  <c:v>204.41326436583896</c:v>
                </c:pt>
                <c:pt idx="249">
                  <c:v>205.83234018503273</c:v>
                </c:pt>
                <c:pt idx="250">
                  <c:v>199.9508545170842</c:v>
                </c:pt>
                <c:pt idx="251">
                  <c:v>203.82474720792226</c:v>
                </c:pt>
                <c:pt idx="252">
                  <c:v>202.36512636532294</c:v>
                </c:pt>
                <c:pt idx="253">
                  <c:v>196.34603334521015</c:v>
                </c:pt>
                <c:pt idx="254">
                  <c:v>194.25980759543438</c:v>
                </c:pt>
                <c:pt idx="255">
                  <c:v>192.51514295192345</c:v>
                </c:pt>
                <c:pt idx="256">
                  <c:v>197.92606062095319</c:v>
                </c:pt>
                <c:pt idx="257">
                  <c:v>200.27398606725561</c:v>
                </c:pt>
                <c:pt idx="258">
                  <c:v>194.38512857686968</c:v>
                </c:pt>
                <c:pt idx="259">
                  <c:v>194.19223255642518</c:v>
                </c:pt>
                <c:pt idx="260">
                  <c:v>195.94181174822774</c:v>
                </c:pt>
                <c:pt idx="261">
                  <c:v>189.61678809696409</c:v>
                </c:pt>
                <c:pt idx="262">
                  <c:v>186.25277979137749</c:v>
                </c:pt>
                <c:pt idx="263">
                  <c:v>176.65343834084854</c:v>
                </c:pt>
                <c:pt idx="264">
                  <c:v>176.79596024130436</c:v>
                </c:pt>
                <c:pt idx="265">
                  <c:v>182.76713641557421</c:v>
                </c:pt>
                <c:pt idx="266">
                  <c:v>173.80054305758622</c:v>
                </c:pt>
                <c:pt idx="267">
                  <c:v>176.86230664324066</c:v>
                </c:pt>
                <c:pt idx="268">
                  <c:v>178.02091140298069</c:v>
                </c:pt>
                <c:pt idx="269">
                  <c:v>178.83549778231009</c:v>
                </c:pt>
                <c:pt idx="270">
                  <c:v>173.39386418645796</c:v>
                </c:pt>
                <c:pt idx="271">
                  <c:v>172.99087122654839</c:v>
                </c:pt>
                <c:pt idx="272">
                  <c:v>172.866778882186</c:v>
                </c:pt>
                <c:pt idx="273">
                  <c:v>176.38559545895737</c:v>
                </c:pt>
                <c:pt idx="274">
                  <c:v>183.3826835890946</c:v>
                </c:pt>
                <c:pt idx="275">
                  <c:v>179.55547910702657</c:v>
                </c:pt>
                <c:pt idx="276">
                  <c:v>184.85581943949575</c:v>
                </c:pt>
                <c:pt idx="277">
                  <c:v>186.07954196409918</c:v>
                </c:pt>
                <c:pt idx="278">
                  <c:v>188.0048162573257</c:v>
                </c:pt>
                <c:pt idx="279">
                  <c:v>185.97756508704887</c:v>
                </c:pt>
                <c:pt idx="280">
                  <c:v>191.12801169662487</c:v>
                </c:pt>
                <c:pt idx="281">
                  <c:v>186.43461807816584</c:v>
                </c:pt>
                <c:pt idx="282">
                  <c:v>187.45684412281449</c:v>
                </c:pt>
                <c:pt idx="283">
                  <c:v>183.86308068459653</c:v>
                </c:pt>
                <c:pt idx="284">
                  <c:v>179.37486945731098</c:v>
                </c:pt>
                <c:pt idx="285">
                  <c:v>175.74916145519771</c:v>
                </c:pt>
                <c:pt idx="286">
                  <c:v>171.71308867073748</c:v>
                </c:pt>
                <c:pt idx="287">
                  <c:v>167.95960241304314</c:v>
                </c:pt>
                <c:pt idx="288">
                  <c:v>165.30943224680854</c:v>
                </c:pt>
                <c:pt idx="289">
                  <c:v>167.40425845609457</c:v>
                </c:pt>
                <c:pt idx="290">
                  <c:v>167.17941787175479</c:v>
                </c:pt>
                <c:pt idx="291">
                  <c:v>166.10067452175295</c:v>
                </c:pt>
                <c:pt idx="292">
                  <c:v>166.82802766890677</c:v>
                </c:pt>
                <c:pt idx="293">
                  <c:v>165.00104434151186</c:v>
                </c:pt>
                <c:pt idx="294">
                  <c:v>164.33389441092984</c:v>
                </c:pt>
                <c:pt idx="295">
                  <c:v>165.23448538536189</c:v>
                </c:pt>
                <c:pt idx="296">
                  <c:v>155.93001683232779</c:v>
                </c:pt>
                <c:pt idx="297">
                  <c:v>157.65133737145374</c:v>
                </c:pt>
                <c:pt idx="298">
                  <c:v>158.0567876055091</c:v>
                </c:pt>
                <c:pt idx="299">
                  <c:v>153.62509368357669</c:v>
                </c:pt>
                <c:pt idx="300">
                  <c:v>139.90121757933915</c:v>
                </c:pt>
                <c:pt idx="301">
                  <c:v>111.84651865685387</c:v>
                </c:pt>
                <c:pt idx="302">
                  <c:v>116.81512697964139</c:v>
                </c:pt>
                <c:pt idx="303">
                  <c:v>107.09292182182297</c:v>
                </c:pt>
                <c:pt idx="304">
                  <c:v>117.61128380287737</c:v>
                </c:pt>
                <c:pt idx="305">
                  <c:v>115.40342298288498</c:v>
                </c:pt>
                <c:pt idx="306">
                  <c:v>108.04880146453529</c:v>
                </c:pt>
                <c:pt idx="307">
                  <c:v>97.656989101989083</c:v>
                </c:pt>
                <c:pt idx="308">
                  <c:v>109.70869015001649</c:v>
                </c:pt>
                <c:pt idx="309">
                  <c:v>104.23756926441489</c:v>
                </c:pt>
                <c:pt idx="310">
                  <c:v>108.77984052290783</c:v>
                </c:pt>
                <c:pt idx="311">
                  <c:v>111.42755341499662</c:v>
                </c:pt>
                <c:pt idx="312">
                  <c:v>109.76889336658833</c:v>
                </c:pt>
                <c:pt idx="313">
                  <c:v>116.22538118465175</c:v>
                </c:pt>
                <c:pt idx="314">
                  <c:v>113.35774225651474</c:v>
                </c:pt>
                <c:pt idx="315">
                  <c:v>106.37908368247093</c:v>
                </c:pt>
                <c:pt idx="316">
                  <c:v>101.4092467226105</c:v>
                </c:pt>
                <c:pt idx="317">
                  <c:v>103.06176358565433</c:v>
                </c:pt>
                <c:pt idx="318">
                  <c:v>106.98234448526237</c:v>
                </c:pt>
                <c:pt idx="319">
                  <c:v>102.83938027546031</c:v>
                </c:pt>
                <c:pt idx="320">
                  <c:v>94.953987541619981</c:v>
                </c:pt>
                <c:pt idx="321">
                  <c:v>92.253443255396689</c:v>
                </c:pt>
                <c:pt idx="322">
                  <c:v>85.697435834428774</c:v>
                </c:pt>
                <c:pt idx="323">
                  <c:v>92.935336830853444</c:v>
                </c:pt>
                <c:pt idx="324">
                  <c:v>97.053728299197601</c:v>
                </c:pt>
                <c:pt idx="325">
                  <c:v>101.32447076458075</c:v>
                </c:pt>
                <c:pt idx="326">
                  <c:v>105.03618336179666</c:v>
                </c:pt>
                <c:pt idx="327">
                  <c:v>105.90360113526056</c:v>
                </c:pt>
                <c:pt idx="328">
                  <c:v>108.27609932302087</c:v>
                </c:pt>
                <c:pt idx="329">
                  <c:v>108.39773439323747</c:v>
                </c:pt>
                <c:pt idx="330">
                  <c:v>110.11291174699895</c:v>
                </c:pt>
                <c:pt idx="331">
                  <c:v>117.15914536005198</c:v>
                </c:pt>
                <c:pt idx="332">
                  <c:v>113.13904485753942</c:v>
                </c:pt>
                <c:pt idx="333">
                  <c:v>115.64546448624529</c:v>
                </c:pt>
                <c:pt idx="334">
                  <c:v>119.17779607081852</c:v>
                </c:pt>
                <c:pt idx="335">
                  <c:v>120.6877910334065</c:v>
                </c:pt>
                <c:pt idx="336">
                  <c:v>122.17444189160949</c:v>
                </c:pt>
                <c:pt idx="337">
                  <c:v>118.53890479291309</c:v>
                </c:pt>
                <c:pt idx="338">
                  <c:v>118.41235517440491</c:v>
                </c:pt>
                <c:pt idx="339">
                  <c:v>116.32735806170203</c:v>
                </c:pt>
                <c:pt idx="340">
                  <c:v>113.20661989654864</c:v>
                </c:pt>
                <c:pt idx="341">
                  <c:v>120.71359241193733</c:v>
                </c:pt>
                <c:pt idx="342">
                  <c:v>126.24123060289209</c:v>
                </c:pt>
                <c:pt idx="343">
                  <c:v>128.36185819070892</c:v>
                </c:pt>
                <c:pt idx="344">
                  <c:v>130.62992222727317</c:v>
                </c:pt>
                <c:pt idx="345">
                  <c:v>130.72452728188608</c:v>
                </c:pt>
                <c:pt idx="346">
                  <c:v>132.76283618581894</c:v>
                </c:pt>
                <c:pt idx="347">
                  <c:v>134.42395350837302</c:v>
                </c:pt>
                <c:pt idx="348">
                  <c:v>132.12885945620511</c:v>
                </c:pt>
                <c:pt idx="349">
                  <c:v>137.51274710963114</c:v>
                </c:pt>
                <c:pt idx="350">
                  <c:v>139.99459399687913</c:v>
                </c:pt>
                <c:pt idx="351">
                  <c:v>137.04217911071237</c:v>
                </c:pt>
                <c:pt idx="352">
                  <c:v>133.78629086754052</c:v>
                </c:pt>
                <c:pt idx="353">
                  <c:v>140.04496811686781</c:v>
                </c:pt>
                <c:pt idx="354">
                  <c:v>142.05501836812411</c:v>
                </c:pt>
                <c:pt idx="355">
                  <c:v>141.7134572618593</c:v>
                </c:pt>
                <c:pt idx="356">
                  <c:v>135.90814709243026</c:v>
                </c:pt>
                <c:pt idx="357">
                  <c:v>139.10506075610314</c:v>
                </c:pt>
                <c:pt idx="358">
                  <c:v>142.3081176051405</c:v>
                </c:pt>
                <c:pt idx="359">
                  <c:v>140.76740671573012</c:v>
                </c:pt>
                <c:pt idx="360">
                  <c:v>140.62734208942007</c:v>
                </c:pt>
                <c:pt idx="361">
                  <c:v>143.61538745070084</c:v>
                </c:pt>
                <c:pt idx="362">
                  <c:v>141.97392832131305</c:v>
                </c:pt>
                <c:pt idx="363">
                  <c:v>140.56959614699403</c:v>
                </c:pt>
                <c:pt idx="364">
                  <c:v>143.94220491209092</c:v>
                </c:pt>
                <c:pt idx="365">
                  <c:v>143.56255605656636</c:v>
                </c:pt>
                <c:pt idx="366">
                  <c:v>147.22266589672066</c:v>
                </c:pt>
                <c:pt idx="367">
                  <c:v>146.90322025776794</c:v>
                </c:pt>
                <c:pt idx="368">
                  <c:v>141.27974837512735</c:v>
                </c:pt>
                <c:pt idx="369">
                  <c:v>137.55083485889091</c:v>
                </c:pt>
                <c:pt idx="370">
                  <c:v>134.59473406150545</c:v>
                </c:pt>
                <c:pt idx="371">
                  <c:v>136.04944035581315</c:v>
                </c:pt>
                <c:pt idx="372">
                  <c:v>139.38273273457742</c:v>
                </c:pt>
                <c:pt idx="373">
                  <c:v>139.24758265655896</c:v>
                </c:pt>
                <c:pt idx="374">
                  <c:v>143.80705483407246</c:v>
                </c:pt>
                <c:pt idx="375">
                  <c:v>145.88468012433796</c:v>
                </c:pt>
                <c:pt idx="376">
                  <c:v>146.30364536619518</c:v>
                </c:pt>
                <c:pt idx="377">
                  <c:v>146.62677691636659</c:v>
                </c:pt>
                <c:pt idx="378">
                  <c:v>149.00418965241846</c:v>
                </c:pt>
                <c:pt idx="379">
                  <c:v>150.30163040139561</c:v>
                </c:pt>
                <c:pt idx="380">
                  <c:v>150.17016623459585</c:v>
                </c:pt>
                <c:pt idx="381">
                  <c:v>150.554729638412</c:v>
                </c:pt>
                <c:pt idx="382">
                  <c:v>147.25952500890747</c:v>
                </c:pt>
                <c:pt idx="383">
                  <c:v>135.09847526139239</c:v>
                </c:pt>
                <c:pt idx="384">
                  <c:v>138.07177697779838</c:v>
                </c:pt>
                <c:pt idx="385">
                  <c:v>131.90770478308397</c:v>
                </c:pt>
                <c:pt idx="386">
                  <c:v>132.72966298485076</c:v>
                </c:pt>
                <c:pt idx="387">
                  <c:v>130.26870292784201</c:v>
                </c:pt>
                <c:pt idx="388">
                  <c:v>132.7763511936208</c:v>
                </c:pt>
                <c:pt idx="389">
                  <c:v>137.03603592534787</c:v>
                </c:pt>
                <c:pt idx="390">
                  <c:v>132.63382929316495</c:v>
                </c:pt>
                <c:pt idx="391">
                  <c:v>127.36297625044524</c:v>
                </c:pt>
                <c:pt idx="392">
                  <c:v>134.1094224177119</c:v>
                </c:pt>
                <c:pt idx="393">
                  <c:v>133.90792593775711</c:v>
                </c:pt>
                <c:pt idx="394">
                  <c:v>137.29404971065583</c:v>
                </c:pt>
                <c:pt idx="395">
                  <c:v>138.20078387045234</c:v>
                </c:pt>
                <c:pt idx="396">
                  <c:v>141.56970672433053</c:v>
                </c:pt>
                <c:pt idx="397">
                  <c:v>135.58747281640461</c:v>
                </c:pt>
                <c:pt idx="398">
                  <c:v>134.38463712204037</c:v>
                </c:pt>
                <c:pt idx="399">
                  <c:v>133.82806452801893</c:v>
                </c:pt>
                <c:pt idx="400">
                  <c:v>139.01905616100046</c:v>
                </c:pt>
                <c:pt idx="401">
                  <c:v>139.94421987689043</c:v>
                </c:pt>
                <c:pt idx="402">
                  <c:v>142.04273199739515</c:v>
                </c:pt>
                <c:pt idx="403">
                  <c:v>145.35145163470148</c:v>
                </c:pt>
                <c:pt idx="404">
                  <c:v>145.49397353515729</c:v>
                </c:pt>
                <c:pt idx="405">
                  <c:v>148.63682716762278</c:v>
                </c:pt>
                <c:pt idx="406">
                  <c:v>150.31514540919741</c:v>
                </c:pt>
                <c:pt idx="407">
                  <c:v>150.25739946677135</c:v>
                </c:pt>
                <c:pt idx="408">
                  <c:v>150.16770896045</c:v>
                </c:pt>
                <c:pt idx="409">
                  <c:v>155.38941652025389</c:v>
                </c:pt>
                <c:pt idx="410">
                  <c:v>151.90254450737777</c:v>
                </c:pt>
                <c:pt idx="411">
                  <c:v>151.77722352594247</c:v>
                </c:pt>
                <c:pt idx="412">
                  <c:v>148.70931675492358</c:v>
                </c:pt>
                <c:pt idx="413">
                  <c:v>153.22947254610443</c:v>
                </c:pt>
                <c:pt idx="414">
                  <c:v>154.38070548340707</c:v>
                </c:pt>
                <c:pt idx="415">
                  <c:v>154.54288557702921</c:v>
                </c:pt>
                <c:pt idx="416">
                  <c:v>156.5799658438892</c:v>
                </c:pt>
                <c:pt idx="417">
                  <c:v>157.2741457900749</c:v>
                </c:pt>
                <c:pt idx="418">
                  <c:v>157.43878315784286</c:v>
                </c:pt>
                <c:pt idx="419">
                  <c:v>160.82859284196027</c:v>
                </c:pt>
                <c:pt idx="420">
                  <c:v>160.03489329287007</c:v>
                </c:pt>
                <c:pt idx="421">
                  <c:v>159.98451917288139</c:v>
                </c:pt>
                <c:pt idx="422">
                  <c:v>163.61145581206756</c:v>
                </c:pt>
                <c:pt idx="423">
                  <c:v>164.7590028381515</c:v>
                </c:pt>
                <c:pt idx="424">
                  <c:v>167.41654482682344</c:v>
                </c:pt>
                <c:pt idx="425">
                  <c:v>164.79709058741122</c:v>
                </c:pt>
                <c:pt idx="426">
                  <c:v>165.67433745745828</c:v>
                </c:pt>
                <c:pt idx="427">
                  <c:v>161.57437554520754</c:v>
                </c:pt>
                <c:pt idx="428">
                  <c:v>158.14156356353882</c:v>
                </c:pt>
                <c:pt idx="429">
                  <c:v>162.89884630978838</c:v>
                </c:pt>
                <c:pt idx="430">
                  <c:v>164.81552014350464</c:v>
                </c:pt>
                <c:pt idx="431">
                  <c:v>166.0416999422539</c:v>
                </c:pt>
                <c:pt idx="432">
                  <c:v>164.39655490164742</c:v>
                </c:pt>
                <c:pt idx="433">
                  <c:v>167.22119153223309</c:v>
                </c:pt>
                <c:pt idx="434">
                  <c:v>170.6110012163505</c:v>
                </c:pt>
                <c:pt idx="435">
                  <c:v>167.00495140740358</c:v>
                </c:pt>
                <c:pt idx="436">
                  <c:v>165.02684572004259</c:v>
                </c:pt>
                <c:pt idx="437">
                  <c:v>164.22577434851505</c:v>
                </c:pt>
                <c:pt idx="438">
                  <c:v>164.44938629578192</c:v>
                </c:pt>
                <c:pt idx="439">
                  <c:v>162.19360862994662</c:v>
                </c:pt>
                <c:pt idx="440">
                  <c:v>158.30865820545253</c:v>
                </c:pt>
                <c:pt idx="441">
                  <c:v>157.33680628079256</c:v>
                </c:pt>
                <c:pt idx="442">
                  <c:v>156.70651546239742</c:v>
                </c:pt>
                <c:pt idx="443">
                  <c:v>165.10547849270787</c:v>
                </c:pt>
                <c:pt idx="444">
                  <c:v>165.02193117175105</c:v>
                </c:pt>
                <c:pt idx="445">
                  <c:v>161.34093450135751</c:v>
                </c:pt>
                <c:pt idx="446">
                  <c:v>165.70505338428069</c:v>
                </c:pt>
                <c:pt idx="447">
                  <c:v>160.46614490545625</c:v>
                </c:pt>
                <c:pt idx="448">
                  <c:v>146.70540968903182</c:v>
                </c:pt>
                <c:pt idx="449">
                  <c:v>145.0799228415917</c:v>
                </c:pt>
                <c:pt idx="450">
                  <c:v>139.04362890245841</c:v>
                </c:pt>
                <c:pt idx="451">
                  <c:v>142.89294885183853</c:v>
                </c:pt>
                <c:pt idx="452">
                  <c:v>144.39680062906206</c:v>
                </c:pt>
                <c:pt idx="453">
                  <c:v>139.410991387254</c:v>
                </c:pt>
                <c:pt idx="454">
                  <c:v>144.49140568367497</c:v>
                </c:pt>
                <c:pt idx="455">
                  <c:v>134.52593038542335</c:v>
                </c:pt>
                <c:pt idx="456">
                  <c:v>135.6489046700494</c:v>
                </c:pt>
                <c:pt idx="457">
                  <c:v>138.36296396407457</c:v>
                </c:pt>
                <c:pt idx="458">
                  <c:v>145.76550232826716</c:v>
                </c:pt>
                <c:pt idx="459">
                  <c:v>146.7398115270729</c:v>
                </c:pt>
                <c:pt idx="460">
                  <c:v>154.09566168249552</c:v>
                </c:pt>
                <c:pt idx="461">
                  <c:v>147.81364032878318</c:v>
                </c:pt>
                <c:pt idx="462">
                  <c:v>148.10728458920508</c:v>
                </c:pt>
                <c:pt idx="463">
                  <c:v>142.21474118760048</c:v>
                </c:pt>
                <c:pt idx="464">
                  <c:v>134.88100649949001</c:v>
                </c:pt>
                <c:pt idx="465">
                  <c:v>145.91785332530614</c:v>
                </c:pt>
                <c:pt idx="466">
                  <c:v>145.8748510277548</c:v>
                </c:pt>
                <c:pt idx="467">
                  <c:v>140.86078313327016</c:v>
                </c:pt>
                <c:pt idx="468">
                  <c:v>145.25438930594279</c:v>
                </c:pt>
                <c:pt idx="469">
                  <c:v>145.29739160349411</c:v>
                </c:pt>
                <c:pt idx="470">
                  <c:v>146.41299406568282</c:v>
                </c:pt>
                <c:pt idx="471">
                  <c:v>147.56668427713126</c:v>
                </c:pt>
                <c:pt idx="472">
                  <c:v>151.81531127520233</c:v>
                </c:pt>
                <c:pt idx="473">
                  <c:v>153.09309383101316</c:v>
                </c:pt>
                <c:pt idx="474">
                  <c:v>156.49641852293243</c:v>
                </c:pt>
                <c:pt idx="475">
                  <c:v>155.99513459719125</c:v>
                </c:pt>
                <c:pt idx="476">
                  <c:v>158.25459817424522</c:v>
                </c:pt>
                <c:pt idx="477">
                  <c:v>159.7928517895098</c:v>
                </c:pt>
                <c:pt idx="478">
                  <c:v>159.53852391542054</c:v>
                </c:pt>
                <c:pt idx="479">
                  <c:v>158.72270889901822</c:v>
                </c:pt>
                <c:pt idx="480">
                  <c:v>162.29804278114278</c:v>
                </c:pt>
                <c:pt idx="481">
                  <c:v>160.73644506149319</c:v>
                </c:pt>
                <c:pt idx="482">
                  <c:v>161.19841260090172</c:v>
                </c:pt>
                <c:pt idx="483">
                  <c:v>158.37500460738892</c:v>
                </c:pt>
                <c:pt idx="484">
                  <c:v>155.83418314064198</c:v>
                </c:pt>
                <c:pt idx="485">
                  <c:v>157.47564227002977</c:v>
                </c:pt>
                <c:pt idx="486">
                  <c:v>159.56432529395136</c:v>
                </c:pt>
                <c:pt idx="487">
                  <c:v>155.42136108414928</c:v>
                </c:pt>
                <c:pt idx="488">
                  <c:v>152.64586993647941</c:v>
                </c:pt>
                <c:pt idx="489">
                  <c:v>144.78627858116985</c:v>
                </c:pt>
                <c:pt idx="490">
                  <c:v>146.0308879360125</c:v>
                </c:pt>
                <c:pt idx="491">
                  <c:v>141.65816859357909</c:v>
                </c:pt>
                <c:pt idx="492">
                  <c:v>146.06774704819938</c:v>
                </c:pt>
                <c:pt idx="493">
                  <c:v>148.48447617058392</c:v>
                </c:pt>
                <c:pt idx="494">
                  <c:v>148.13308596773595</c:v>
                </c:pt>
                <c:pt idx="495">
                  <c:v>151.82514037178552</c:v>
                </c:pt>
                <c:pt idx="496">
                  <c:v>151.04372719342425</c:v>
                </c:pt>
                <c:pt idx="497">
                  <c:v>150.57561646865125</c:v>
                </c:pt>
                <c:pt idx="498">
                  <c:v>151.28822597093037</c:v>
                </c:pt>
                <c:pt idx="499">
                  <c:v>153.58209138602541</c:v>
                </c:pt>
                <c:pt idx="500">
                  <c:v>154.76526888722333</c:v>
                </c:pt>
                <c:pt idx="501">
                  <c:v>157.06404885060991</c:v>
                </c:pt>
                <c:pt idx="502">
                  <c:v>158.52244105613636</c:v>
                </c:pt>
                <c:pt idx="503">
                  <c:v>157.98306938113541</c:v>
                </c:pt>
                <c:pt idx="504">
                  <c:v>157.16848300180601</c:v>
                </c:pt>
                <c:pt idx="505">
                  <c:v>161.20701306041198</c:v>
                </c:pt>
                <c:pt idx="506">
                  <c:v>165.57236058040803</c:v>
                </c:pt>
                <c:pt idx="507">
                  <c:v>164.39778353872038</c:v>
                </c:pt>
                <c:pt idx="508">
                  <c:v>161.13575211018406</c:v>
                </c:pt>
                <c:pt idx="509">
                  <c:v>163.97758965979031</c:v>
                </c:pt>
                <c:pt idx="510">
                  <c:v>160.46245899423758</c:v>
                </c:pt>
                <c:pt idx="511">
                  <c:v>162.46022287476492</c:v>
                </c:pt>
                <c:pt idx="512">
                  <c:v>159.75107812903136</c:v>
                </c:pt>
                <c:pt idx="513">
                  <c:v>160.4317430674152</c:v>
                </c:pt>
                <c:pt idx="514">
                  <c:v>156.77654777555244</c:v>
                </c:pt>
                <c:pt idx="515">
                  <c:v>153.98631298300782</c:v>
                </c:pt>
                <c:pt idx="516">
                  <c:v>160.31870845670883</c:v>
                </c:pt>
                <c:pt idx="517">
                  <c:v>161.62597830226917</c:v>
                </c:pt>
                <c:pt idx="518">
                  <c:v>162.27101276553907</c:v>
                </c:pt>
                <c:pt idx="519">
                  <c:v>162.85461537516423</c:v>
                </c:pt>
                <c:pt idx="520">
                  <c:v>164.76760329766176</c:v>
                </c:pt>
                <c:pt idx="521">
                  <c:v>163.02048138000501</c:v>
                </c:pt>
                <c:pt idx="522">
                  <c:v>168.33679399442184</c:v>
                </c:pt>
                <c:pt idx="523">
                  <c:v>169.7902716516567</c:v>
                </c:pt>
                <c:pt idx="524">
                  <c:v>170.5483407256329</c:v>
                </c:pt>
                <c:pt idx="525">
                  <c:v>172.6812546841787</c:v>
                </c:pt>
                <c:pt idx="526">
                  <c:v>174.07207185069586</c:v>
                </c:pt>
                <c:pt idx="527">
                  <c:v>173.29188730940751</c:v>
                </c:pt>
                <c:pt idx="528">
                  <c:v>172.85940705974846</c:v>
                </c:pt>
                <c:pt idx="529">
                  <c:v>172.26106080524858</c:v>
                </c:pt>
                <c:pt idx="530">
                  <c:v>172.22420169306173</c:v>
                </c:pt>
                <c:pt idx="531">
                  <c:v>175.53783587865965</c:v>
                </c:pt>
                <c:pt idx="532">
                  <c:v>177.47416790554223</c:v>
                </c:pt>
                <c:pt idx="533">
                  <c:v>175.98137386197476</c:v>
                </c:pt>
                <c:pt idx="534">
                  <c:v>176.24921674386587</c:v>
                </c:pt>
                <c:pt idx="535">
                  <c:v>174.3571156516075</c:v>
                </c:pt>
                <c:pt idx="536">
                  <c:v>178.95590421545361</c:v>
                </c:pt>
                <c:pt idx="537">
                  <c:v>174.74290769249654</c:v>
                </c:pt>
                <c:pt idx="538">
                  <c:v>179.11071248663839</c:v>
                </c:pt>
                <c:pt idx="539">
                  <c:v>182.14053150839757</c:v>
                </c:pt>
                <c:pt idx="540">
                  <c:v>183.78444791193112</c:v>
                </c:pt>
                <c:pt idx="541">
                  <c:v>185.89033185487321</c:v>
                </c:pt>
                <c:pt idx="542">
                  <c:v>183.40357041933365</c:v>
                </c:pt>
                <c:pt idx="543">
                  <c:v>180.84677667063909</c:v>
                </c:pt>
                <c:pt idx="544">
                  <c:v>180.63667973117404</c:v>
                </c:pt>
                <c:pt idx="545">
                  <c:v>179.8515806415941</c:v>
                </c:pt>
                <c:pt idx="546">
                  <c:v>174.61267216276968</c:v>
                </c:pt>
                <c:pt idx="547">
                  <c:v>176.13126758486794</c:v>
                </c:pt>
                <c:pt idx="548">
                  <c:v>178.03565504785524</c:v>
                </c:pt>
                <c:pt idx="549">
                  <c:v>184.08792126893619</c:v>
                </c:pt>
                <c:pt idx="550">
                  <c:v>185.95667825680954</c:v>
                </c:pt>
                <c:pt idx="551">
                  <c:v>186.28718162941831</c:v>
                </c:pt>
                <c:pt idx="552">
                  <c:v>188.45449742600516</c:v>
                </c:pt>
                <c:pt idx="553">
                  <c:v>187.60059466034315</c:v>
                </c:pt>
                <c:pt idx="554">
                  <c:v>185.37676155840313</c:v>
                </c:pt>
                <c:pt idx="555">
                  <c:v>185.33867380914339</c:v>
                </c:pt>
                <c:pt idx="556">
                  <c:v>180.94629627354362</c:v>
                </c:pt>
                <c:pt idx="557">
                  <c:v>184.59043383175029</c:v>
                </c:pt>
                <c:pt idx="558">
                  <c:v>188.43852514405754</c:v>
                </c:pt>
                <c:pt idx="559">
                  <c:v>192.06791905738947</c:v>
                </c:pt>
                <c:pt idx="560">
                  <c:v>191.05183619810529</c:v>
                </c:pt>
                <c:pt idx="561">
                  <c:v>190.13158703050692</c:v>
                </c:pt>
                <c:pt idx="562">
                  <c:v>191.34179454730852</c:v>
                </c:pt>
                <c:pt idx="563">
                  <c:v>196.35340516764742</c:v>
                </c:pt>
                <c:pt idx="564">
                  <c:v>197.55992677323033</c:v>
                </c:pt>
                <c:pt idx="565">
                  <c:v>196.31900332960632</c:v>
                </c:pt>
                <c:pt idx="566">
                  <c:v>196.12487867208893</c:v>
                </c:pt>
                <c:pt idx="567">
                  <c:v>199.2235013699302</c:v>
                </c:pt>
                <c:pt idx="568">
                  <c:v>199.42622648695789</c:v>
                </c:pt>
                <c:pt idx="569">
                  <c:v>200.07371822437355</c:v>
                </c:pt>
                <c:pt idx="570">
                  <c:v>198.13124301212648</c:v>
                </c:pt>
                <c:pt idx="571">
                  <c:v>195.06947942647207</c:v>
                </c:pt>
                <c:pt idx="572">
                  <c:v>199.85747809954404</c:v>
                </c:pt>
                <c:pt idx="573">
                  <c:v>203.23623005000539</c:v>
                </c:pt>
                <c:pt idx="574">
                  <c:v>202.2398053838875</c:v>
                </c:pt>
                <c:pt idx="575">
                  <c:v>203.35295057193039</c:v>
                </c:pt>
                <c:pt idx="576">
                  <c:v>203.62447936504023</c:v>
                </c:pt>
                <c:pt idx="577">
                  <c:v>198.83770932904116</c:v>
                </c:pt>
                <c:pt idx="578">
                  <c:v>196.39272155398007</c:v>
                </c:pt>
                <c:pt idx="579">
                  <c:v>198.02926613507626</c:v>
                </c:pt>
                <c:pt idx="580">
                  <c:v>202.73986067255581</c:v>
                </c:pt>
                <c:pt idx="581">
                  <c:v>203.93532454448268</c:v>
                </c:pt>
                <c:pt idx="582">
                  <c:v>205.84585519283448</c:v>
                </c:pt>
                <c:pt idx="583">
                  <c:v>206.55477878389493</c:v>
                </c:pt>
                <c:pt idx="584">
                  <c:v>201.6353159440232</c:v>
                </c:pt>
                <c:pt idx="585">
                  <c:v>203.14039635831961</c:v>
                </c:pt>
                <c:pt idx="586">
                  <c:v>204.17982332198878</c:v>
                </c:pt>
                <c:pt idx="587">
                  <c:v>205.95028934403052</c:v>
                </c:pt>
                <c:pt idx="588">
                  <c:v>201.3035839343415</c:v>
                </c:pt>
                <c:pt idx="589">
                  <c:v>205.25610939784482</c:v>
                </c:pt>
                <c:pt idx="590">
                  <c:v>205.27576759101117</c:v>
                </c:pt>
                <c:pt idx="591">
                  <c:v>207.51557297489884</c:v>
                </c:pt>
                <c:pt idx="592">
                  <c:v>206.82385030285892</c:v>
                </c:pt>
                <c:pt idx="593">
                  <c:v>206.86439532626446</c:v>
                </c:pt>
                <c:pt idx="594">
                  <c:v>208.61520315513988</c:v>
                </c:pt>
                <c:pt idx="595">
                  <c:v>210.73337346881092</c:v>
                </c:pt>
                <c:pt idx="596">
                  <c:v>213.10341438242543</c:v>
                </c:pt>
                <c:pt idx="597">
                  <c:v>212.21142386750364</c:v>
                </c:pt>
                <c:pt idx="598">
                  <c:v>214.69572802889743</c:v>
                </c:pt>
                <c:pt idx="599">
                  <c:v>213.88851347200537</c:v>
                </c:pt>
                <c:pt idx="600">
                  <c:v>216.66277598260237</c:v>
                </c:pt>
                <c:pt idx="601">
                  <c:v>213.29385312872418</c:v>
                </c:pt>
                <c:pt idx="602">
                  <c:v>214.31239326215419</c:v>
                </c:pt>
                <c:pt idx="603">
                  <c:v>214.79647626887484</c:v>
                </c:pt>
                <c:pt idx="604">
                  <c:v>209.57599734614382</c:v>
                </c:pt>
                <c:pt idx="605">
                  <c:v>207.71215490656203</c:v>
                </c:pt>
                <c:pt idx="606">
                  <c:v>210.62033885810462</c:v>
                </c:pt>
                <c:pt idx="607">
                  <c:v>213.28648130628684</c:v>
                </c:pt>
                <c:pt idx="608">
                  <c:v>214.85053630008221</c:v>
                </c:pt>
                <c:pt idx="609">
                  <c:v>215.08889189222387</c:v>
                </c:pt>
                <c:pt idx="610">
                  <c:v>212.49278175719667</c:v>
                </c:pt>
                <c:pt idx="611">
                  <c:v>213.82216707006907</c:v>
                </c:pt>
                <c:pt idx="612">
                  <c:v>209.83523976852467</c:v>
                </c:pt>
                <c:pt idx="613">
                  <c:v>205.83234018503265</c:v>
                </c:pt>
                <c:pt idx="614">
                  <c:v>199.85993537368989</c:v>
                </c:pt>
                <c:pt idx="615">
                  <c:v>198.24796353405159</c:v>
                </c:pt>
                <c:pt idx="616">
                  <c:v>204.92192011401744</c:v>
                </c:pt>
                <c:pt idx="617">
                  <c:v>209.86226978412836</c:v>
                </c:pt>
                <c:pt idx="618">
                  <c:v>209.7295769802557</c:v>
                </c:pt>
                <c:pt idx="619">
                  <c:v>210.98155815753574</c:v>
                </c:pt>
                <c:pt idx="620">
                  <c:v>213.44374685161739</c:v>
                </c:pt>
                <c:pt idx="621">
                  <c:v>213.72141883009166</c:v>
                </c:pt>
                <c:pt idx="622">
                  <c:v>213.60101239694797</c:v>
                </c:pt>
                <c:pt idx="623">
                  <c:v>205.80162425821027</c:v>
                </c:pt>
                <c:pt idx="624">
                  <c:v>210.95698541607783</c:v>
                </c:pt>
                <c:pt idx="625">
                  <c:v>212.48295266061348</c:v>
                </c:pt>
                <c:pt idx="626">
                  <c:v>209.44699045348983</c:v>
                </c:pt>
                <c:pt idx="627">
                  <c:v>206.87791033406631</c:v>
                </c:pt>
                <c:pt idx="628">
                  <c:v>205.81513926601212</c:v>
                </c:pt>
                <c:pt idx="629">
                  <c:v>209.81926748657705</c:v>
                </c:pt>
                <c:pt idx="630">
                  <c:v>206.10878352643402</c:v>
                </c:pt>
                <c:pt idx="631">
                  <c:v>211.3931515769556</c:v>
                </c:pt>
                <c:pt idx="632">
                  <c:v>215.27933063852262</c:v>
                </c:pt>
                <c:pt idx="633">
                  <c:v>217.23409222149863</c:v>
                </c:pt>
                <c:pt idx="634">
                  <c:v>217.82015210526956</c:v>
                </c:pt>
                <c:pt idx="635">
                  <c:v>214.02734946124258</c:v>
                </c:pt>
                <c:pt idx="636">
                  <c:v>211.30346107063426</c:v>
                </c:pt>
                <c:pt idx="637">
                  <c:v>218.0302490447346</c:v>
                </c:pt>
                <c:pt idx="638">
                  <c:v>214.37505375287188</c:v>
                </c:pt>
                <c:pt idx="639">
                  <c:v>215.04343232052682</c:v>
                </c:pt>
                <c:pt idx="640">
                  <c:v>218.63228121045321</c:v>
                </c:pt>
                <c:pt idx="641">
                  <c:v>217.34712683220499</c:v>
                </c:pt>
                <c:pt idx="642">
                  <c:v>221.13747220208614</c:v>
                </c:pt>
                <c:pt idx="643">
                  <c:v>219.60659040925896</c:v>
                </c:pt>
                <c:pt idx="644">
                  <c:v>220.50349547247231</c:v>
                </c:pt>
                <c:pt idx="645">
                  <c:v>222.02209089457057</c:v>
                </c:pt>
                <c:pt idx="646">
                  <c:v>221.58469609661992</c:v>
                </c:pt>
                <c:pt idx="647">
                  <c:v>218.61262301728681</c:v>
                </c:pt>
                <c:pt idx="648">
                  <c:v>216.29295622366098</c:v>
                </c:pt>
                <c:pt idx="649">
                  <c:v>217.48964873266075</c:v>
                </c:pt>
                <c:pt idx="650">
                  <c:v>218.06833679399429</c:v>
                </c:pt>
                <c:pt idx="651">
                  <c:v>218.2329741617622</c:v>
                </c:pt>
                <c:pt idx="652">
                  <c:v>214.33450872946625</c:v>
                </c:pt>
                <c:pt idx="653">
                  <c:v>214.19075819193753</c:v>
                </c:pt>
                <c:pt idx="654">
                  <c:v>218.79937585236681</c:v>
                </c:pt>
                <c:pt idx="655">
                  <c:v>214.45860107382865</c:v>
                </c:pt>
                <c:pt idx="656">
                  <c:v>216.92816159034763</c:v>
                </c:pt>
                <c:pt idx="657">
                  <c:v>214.68467029524129</c:v>
                </c:pt>
                <c:pt idx="658">
                  <c:v>214.26079050509253</c:v>
                </c:pt>
                <c:pt idx="659">
                  <c:v>202.84306618667895</c:v>
                </c:pt>
                <c:pt idx="660">
                  <c:v>203.71662714550729</c:v>
                </c:pt>
                <c:pt idx="661">
                  <c:v>196.05484635893384</c:v>
                </c:pt>
                <c:pt idx="662">
                  <c:v>199.89802312294952</c:v>
                </c:pt>
                <c:pt idx="663">
                  <c:v>200.35261883992069</c:v>
                </c:pt>
                <c:pt idx="664">
                  <c:v>195.93075401457145</c:v>
                </c:pt>
                <c:pt idx="665">
                  <c:v>197.45794989618</c:v>
                </c:pt>
                <c:pt idx="666">
                  <c:v>205.64558734995248</c:v>
                </c:pt>
                <c:pt idx="667">
                  <c:v>206.84719440724382</c:v>
                </c:pt>
                <c:pt idx="668">
                  <c:v>209.68043149733975</c:v>
                </c:pt>
                <c:pt idx="669">
                  <c:v>209.58091189443527</c:v>
                </c:pt>
                <c:pt idx="670">
                  <c:v>209.4076740671571</c:v>
                </c:pt>
                <c:pt idx="671">
                  <c:v>203.25343096902586</c:v>
                </c:pt>
                <c:pt idx="672">
                  <c:v>209.21600668378545</c:v>
                </c:pt>
                <c:pt idx="673">
                  <c:v>208.9039328672701</c:v>
                </c:pt>
                <c:pt idx="674">
                  <c:v>208.22695384010493</c:v>
                </c:pt>
                <c:pt idx="675">
                  <c:v>201.2298657099677</c:v>
                </c:pt>
                <c:pt idx="676">
                  <c:v>200.72858178422655</c:v>
                </c:pt>
                <c:pt idx="677">
                  <c:v>205.58784140752641</c:v>
                </c:pt>
                <c:pt idx="678">
                  <c:v>204.29654384391372</c:v>
                </c:pt>
                <c:pt idx="679">
                  <c:v>191.84799302134124</c:v>
                </c:pt>
                <c:pt idx="680">
                  <c:v>186.87569878733501</c:v>
                </c:pt>
                <c:pt idx="681">
                  <c:v>188.81571672543629</c:v>
                </c:pt>
                <c:pt idx="682">
                  <c:v>191.93522625351679</c:v>
                </c:pt>
                <c:pt idx="683">
                  <c:v>187.22831762725588</c:v>
                </c:pt>
                <c:pt idx="684">
                  <c:v>182.63075770048266</c:v>
                </c:pt>
                <c:pt idx="685">
                  <c:v>188.98526864149579</c:v>
                </c:pt>
                <c:pt idx="686">
                  <c:v>190.98794707031468</c:v>
                </c:pt>
                <c:pt idx="687">
                  <c:v>197.56975586981341</c:v>
                </c:pt>
                <c:pt idx="688">
                  <c:v>199.79727488297212</c:v>
                </c:pt>
                <c:pt idx="689">
                  <c:v>202.18083080438845</c:v>
                </c:pt>
                <c:pt idx="690">
                  <c:v>199.4950301630399</c:v>
                </c:pt>
                <c:pt idx="691">
                  <c:v>201.51368087380644</c:v>
                </c:pt>
                <c:pt idx="692">
                  <c:v>200.53814303792777</c:v>
                </c:pt>
                <c:pt idx="693">
                  <c:v>205.24013711589708</c:v>
                </c:pt>
                <c:pt idx="694">
                  <c:v>207.16909732034227</c:v>
                </c:pt>
                <c:pt idx="695">
                  <c:v>205.2806821393026</c:v>
                </c:pt>
                <c:pt idx="696">
                  <c:v>201.88841518103942</c:v>
                </c:pt>
                <c:pt idx="697">
                  <c:v>200.99519602904473</c:v>
                </c:pt>
                <c:pt idx="698">
                  <c:v>201.47805039869249</c:v>
                </c:pt>
                <c:pt idx="699">
                  <c:v>205.92817387671829</c:v>
                </c:pt>
                <c:pt idx="700">
                  <c:v>206.23656178201495</c:v>
                </c:pt>
                <c:pt idx="701">
                  <c:v>204.59510265262719</c:v>
                </c:pt>
                <c:pt idx="702">
                  <c:v>200.97799511002421</c:v>
                </c:pt>
                <c:pt idx="703">
                  <c:v>197.66190365028052</c:v>
                </c:pt>
                <c:pt idx="704">
                  <c:v>203.98569866447127</c:v>
                </c:pt>
                <c:pt idx="705">
                  <c:v>204.23879790148763</c:v>
                </c:pt>
                <c:pt idx="706">
                  <c:v>208.93833470531112</c:v>
                </c:pt>
                <c:pt idx="707">
                  <c:v>209.72466243196396</c:v>
                </c:pt>
                <c:pt idx="708">
                  <c:v>211.54550257399441</c:v>
                </c:pt>
                <c:pt idx="709">
                  <c:v>210.91398311852637</c:v>
                </c:pt>
                <c:pt idx="710">
                  <c:v>213.30368222530717</c:v>
                </c:pt>
                <c:pt idx="711">
                  <c:v>212.78151146932677</c:v>
                </c:pt>
                <c:pt idx="712">
                  <c:v>212.07258787826635</c:v>
                </c:pt>
                <c:pt idx="713">
                  <c:v>213.11938666437288</c:v>
                </c:pt>
                <c:pt idx="714">
                  <c:v>209.84384022803474</c:v>
                </c:pt>
                <c:pt idx="715">
                  <c:v>208.4149353122578</c:v>
                </c:pt>
                <c:pt idx="716">
                  <c:v>212.5173544986543</c:v>
                </c:pt>
                <c:pt idx="717">
                  <c:v>212.02221375827759</c:v>
                </c:pt>
                <c:pt idx="718">
                  <c:v>210.39181236254589</c:v>
                </c:pt>
                <c:pt idx="719">
                  <c:v>208.09548967330508</c:v>
                </c:pt>
                <c:pt idx="720">
                  <c:v>209.01082429261189</c:v>
                </c:pt>
                <c:pt idx="721">
                  <c:v>207.75761447825894</c:v>
                </c:pt>
                <c:pt idx="722">
                  <c:v>203.96849774545063</c:v>
                </c:pt>
                <c:pt idx="723">
                  <c:v>208.49848263321462</c:v>
                </c:pt>
                <c:pt idx="724">
                  <c:v>208.54271356783883</c:v>
                </c:pt>
                <c:pt idx="725">
                  <c:v>211.42878205206924</c:v>
                </c:pt>
                <c:pt idx="726">
                  <c:v>209.96670393532418</c:v>
                </c:pt>
                <c:pt idx="727">
                  <c:v>216.25486847440095</c:v>
                </c:pt>
                <c:pt idx="728">
                  <c:v>215.59386172918343</c:v>
                </c:pt>
                <c:pt idx="729">
                  <c:v>216.13569067833015</c:v>
                </c:pt>
                <c:pt idx="730">
                  <c:v>215.16138147952438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59-4C94-BDB6-F57A146136EF}"/>
            </c:ext>
          </c:extLst>
        </c:ser>
        <c:ser>
          <c:idx val="1"/>
          <c:order val="1"/>
          <c:tx>
            <c:strRef>
              <c:f>Index!$Q$1</c:f>
              <c:strCache>
                <c:ptCount val="1"/>
                <c:pt idx="0">
                  <c:v>Barclays Global Bond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Index!$Q$2:$Q$732</c:f>
              <c:numCache>
                <c:formatCode>General</c:formatCode>
                <c:ptCount val="731"/>
                <c:pt idx="0">
                  <c:v>100</c:v>
                </c:pt>
                <c:pt idx="1">
                  <c:v>100.14457606566552</c:v>
                </c:pt>
                <c:pt idx="2">
                  <c:v>101.07266113235706</c:v>
                </c:pt>
                <c:pt idx="3">
                  <c:v>101.67428411528775</c:v>
                </c:pt>
                <c:pt idx="4">
                  <c:v>101.34782203152692</c:v>
                </c:pt>
                <c:pt idx="5">
                  <c:v>101.73957653203993</c:v>
                </c:pt>
                <c:pt idx="6">
                  <c:v>101.63697416285795</c:v>
                </c:pt>
                <c:pt idx="7">
                  <c:v>102.09402108012311</c:v>
                </c:pt>
                <c:pt idx="8">
                  <c:v>102.77492771196717</c:v>
                </c:pt>
                <c:pt idx="9">
                  <c:v>103.59574666542298</c:v>
                </c:pt>
                <c:pt idx="10">
                  <c:v>102.61169667008673</c:v>
                </c:pt>
                <c:pt idx="11">
                  <c:v>100.92342132263779</c:v>
                </c:pt>
                <c:pt idx="12">
                  <c:v>102.14998600876783</c:v>
                </c:pt>
                <c:pt idx="13">
                  <c:v>102.10334856823056</c:v>
                </c:pt>
                <c:pt idx="14">
                  <c:v>102.18263221714389</c:v>
                </c:pt>
                <c:pt idx="15">
                  <c:v>102.75627273575223</c:v>
                </c:pt>
                <c:pt idx="16">
                  <c:v>103.33457699841429</c:v>
                </c:pt>
                <c:pt idx="17">
                  <c:v>103.94086372539871</c:v>
                </c:pt>
                <c:pt idx="18">
                  <c:v>105.27469452476444</c:v>
                </c:pt>
                <c:pt idx="19">
                  <c:v>106.20744333550971</c:v>
                </c:pt>
                <c:pt idx="20">
                  <c:v>106.88834996735376</c:v>
                </c:pt>
                <c:pt idx="21">
                  <c:v>106.62718030034509</c:v>
                </c:pt>
                <c:pt idx="22">
                  <c:v>106.77642011006434</c:v>
                </c:pt>
                <c:pt idx="23">
                  <c:v>108.07760470105399</c:v>
                </c:pt>
                <c:pt idx="24">
                  <c:v>106.76709262195689</c:v>
                </c:pt>
                <c:pt idx="25">
                  <c:v>105.80169760283555</c:v>
                </c:pt>
                <c:pt idx="26">
                  <c:v>105.76438765040572</c:v>
                </c:pt>
                <c:pt idx="27">
                  <c:v>105.68976774554611</c:v>
                </c:pt>
                <c:pt idx="28">
                  <c:v>104.47719429157726</c:v>
                </c:pt>
                <c:pt idx="29">
                  <c:v>104.36992817834155</c:v>
                </c:pt>
                <c:pt idx="30">
                  <c:v>102.57438671765692</c:v>
                </c:pt>
                <c:pt idx="31">
                  <c:v>103.77296893946458</c:v>
                </c:pt>
                <c:pt idx="32">
                  <c:v>102.53707676522711</c:v>
                </c:pt>
                <c:pt idx="33">
                  <c:v>102.51375804495848</c:v>
                </c:pt>
                <c:pt idx="34">
                  <c:v>102.79824643223577</c:v>
                </c:pt>
                <c:pt idx="35">
                  <c:v>102.53707676522711</c:v>
                </c:pt>
                <c:pt idx="36">
                  <c:v>103.73565898703478</c:v>
                </c:pt>
                <c:pt idx="37">
                  <c:v>104.73836395858595</c:v>
                </c:pt>
                <c:pt idx="38">
                  <c:v>105.84833504337281</c:v>
                </c:pt>
                <c:pt idx="39">
                  <c:v>106.48726797873331</c:v>
                </c:pt>
                <c:pt idx="40">
                  <c:v>105.81568883499671</c:v>
                </c:pt>
                <c:pt idx="41">
                  <c:v>105.31200447719426</c:v>
                </c:pt>
                <c:pt idx="42">
                  <c:v>105.9042999720175</c:v>
                </c:pt>
                <c:pt idx="43">
                  <c:v>105.89030873985632</c:v>
                </c:pt>
                <c:pt idx="44">
                  <c:v>105.06948978640048</c:v>
                </c:pt>
                <c:pt idx="45">
                  <c:v>106.26340826415444</c:v>
                </c:pt>
                <c:pt idx="46">
                  <c:v>107.08889096166401</c:v>
                </c:pt>
                <c:pt idx="47">
                  <c:v>106.83704878276279</c:v>
                </c:pt>
                <c:pt idx="48">
                  <c:v>106.75776513384943</c:v>
                </c:pt>
                <c:pt idx="49">
                  <c:v>107.57392034325154</c:v>
                </c:pt>
                <c:pt idx="50">
                  <c:v>108.44604048129838</c:v>
                </c:pt>
                <c:pt idx="51">
                  <c:v>108.56263408264154</c:v>
                </c:pt>
                <c:pt idx="52">
                  <c:v>108.67456393993098</c:v>
                </c:pt>
                <c:pt idx="53">
                  <c:v>109.15026583341105</c:v>
                </c:pt>
                <c:pt idx="54">
                  <c:v>110.11099710847868</c:v>
                </c:pt>
                <c:pt idx="55">
                  <c:v>109.90579237011472</c:v>
                </c:pt>
                <c:pt idx="56">
                  <c:v>109.08030967260515</c:v>
                </c:pt>
                <c:pt idx="57">
                  <c:v>109.64462270310604</c:v>
                </c:pt>
                <c:pt idx="58">
                  <c:v>110.58203525790503</c:v>
                </c:pt>
                <c:pt idx="59">
                  <c:v>110.73127506762427</c:v>
                </c:pt>
                <c:pt idx="60">
                  <c:v>109.93377483443707</c:v>
                </c:pt>
                <c:pt idx="61">
                  <c:v>109.57466654230014</c:v>
                </c:pt>
                <c:pt idx="62">
                  <c:v>110.78723999626898</c:v>
                </c:pt>
                <c:pt idx="63">
                  <c:v>111.41218169946829</c:v>
                </c:pt>
                <c:pt idx="64">
                  <c:v>111.36088051487731</c:v>
                </c:pt>
                <c:pt idx="65">
                  <c:v>111.27693312191023</c:v>
                </c:pt>
                <c:pt idx="66">
                  <c:v>109.73323384012681</c:v>
                </c:pt>
                <c:pt idx="67">
                  <c:v>108.42272176102972</c:v>
                </c:pt>
                <c:pt idx="68">
                  <c:v>108.33877436806266</c:v>
                </c:pt>
                <c:pt idx="69">
                  <c:v>107.73248764107822</c:v>
                </c:pt>
                <c:pt idx="70">
                  <c:v>107.9423561234959</c:v>
                </c:pt>
                <c:pt idx="71">
                  <c:v>105.89030873985632</c:v>
                </c:pt>
                <c:pt idx="72">
                  <c:v>106.65049902061371</c:v>
                </c:pt>
                <c:pt idx="73">
                  <c:v>108.07760470105397</c:v>
                </c:pt>
                <c:pt idx="74">
                  <c:v>107.49463669433818</c:v>
                </c:pt>
                <c:pt idx="75">
                  <c:v>107.17283835463107</c:v>
                </c:pt>
                <c:pt idx="76">
                  <c:v>107.47598171812328</c:v>
                </c:pt>
                <c:pt idx="77">
                  <c:v>108.25482697509558</c:v>
                </c:pt>
                <c:pt idx="78">
                  <c:v>108.29213692752539</c:v>
                </c:pt>
                <c:pt idx="79">
                  <c:v>109.36946180393618</c:v>
                </c:pt>
                <c:pt idx="80">
                  <c:v>109.1782482977334</c:v>
                </c:pt>
                <c:pt idx="81">
                  <c:v>109.23887697043185</c:v>
                </c:pt>
                <c:pt idx="82">
                  <c:v>108.40873052886856</c:v>
                </c:pt>
                <c:pt idx="83">
                  <c:v>109.28551441096911</c:v>
                </c:pt>
                <c:pt idx="84">
                  <c:v>110.25090943009046</c:v>
                </c:pt>
                <c:pt idx="85">
                  <c:v>110.9318160619345</c:v>
                </c:pt>
                <c:pt idx="86">
                  <c:v>110.58669900195875</c:v>
                </c:pt>
                <c:pt idx="87">
                  <c:v>110.97378975841802</c:v>
                </c:pt>
                <c:pt idx="88">
                  <c:v>111.00177222274039</c:v>
                </c:pt>
                <c:pt idx="89">
                  <c:v>111.58474022945619</c:v>
                </c:pt>
                <c:pt idx="90">
                  <c:v>111.94384852159313</c:v>
                </c:pt>
                <c:pt idx="91">
                  <c:v>111.84590989646487</c:v>
                </c:pt>
                <c:pt idx="92">
                  <c:v>111.178994496782</c:v>
                </c:pt>
                <c:pt idx="93">
                  <c:v>112.58744520100736</c:v>
                </c:pt>
                <c:pt idx="94">
                  <c:v>113.21705064826041</c:v>
                </c:pt>
                <c:pt idx="95">
                  <c:v>113.33830799365731</c:v>
                </c:pt>
                <c:pt idx="96">
                  <c:v>113.58548642850481</c:v>
                </c:pt>
                <c:pt idx="97">
                  <c:v>113.17974069583062</c:v>
                </c:pt>
                <c:pt idx="98">
                  <c:v>114.15912694711314</c:v>
                </c:pt>
                <c:pt idx="99">
                  <c:v>114.46227031060535</c:v>
                </c:pt>
                <c:pt idx="100">
                  <c:v>113.99589590523271</c:v>
                </c:pt>
                <c:pt idx="101">
                  <c:v>114.91931722787052</c:v>
                </c:pt>
                <c:pt idx="102">
                  <c:v>115.05922954948232</c:v>
                </c:pt>
                <c:pt idx="103">
                  <c:v>114.89133476354817</c:v>
                </c:pt>
                <c:pt idx="104">
                  <c:v>114.89133476354817</c:v>
                </c:pt>
                <c:pt idx="105">
                  <c:v>114.63482884059323</c:v>
                </c:pt>
                <c:pt idx="106">
                  <c:v>115.50228523458632</c:v>
                </c:pt>
                <c:pt idx="107">
                  <c:v>115.24111556757765</c:v>
                </c:pt>
                <c:pt idx="108">
                  <c:v>115.2830892640612</c:v>
                </c:pt>
                <c:pt idx="109">
                  <c:v>115.2830892640612</c:v>
                </c:pt>
                <c:pt idx="110">
                  <c:v>115.59556011566087</c:v>
                </c:pt>
                <c:pt idx="111">
                  <c:v>115.40901035351182</c:v>
                </c:pt>
                <c:pt idx="112">
                  <c:v>115.13384945434196</c:v>
                </c:pt>
                <c:pt idx="113">
                  <c:v>115.31107172838355</c:v>
                </c:pt>
                <c:pt idx="114">
                  <c:v>114.928644715978</c:v>
                </c:pt>
                <c:pt idx="115">
                  <c:v>114.6301650965395</c:v>
                </c:pt>
                <c:pt idx="116">
                  <c:v>113.70208002984796</c:v>
                </c:pt>
                <c:pt idx="117">
                  <c:v>114.2570655722414</c:v>
                </c:pt>
                <c:pt idx="118">
                  <c:v>114.06585206603863</c:v>
                </c:pt>
                <c:pt idx="119">
                  <c:v>114.877343531387</c:v>
                </c:pt>
                <c:pt idx="120">
                  <c:v>115.54425893106986</c:v>
                </c:pt>
                <c:pt idx="121">
                  <c:v>115.70748997295028</c:v>
                </c:pt>
                <c:pt idx="122">
                  <c:v>116.03395205671114</c:v>
                </c:pt>
                <c:pt idx="123">
                  <c:v>115.41833784161925</c:v>
                </c:pt>
                <c:pt idx="124">
                  <c:v>115.23178807947021</c:v>
                </c:pt>
                <c:pt idx="125">
                  <c:v>115.66551627646673</c:v>
                </c:pt>
                <c:pt idx="126">
                  <c:v>116.02462456860367</c:v>
                </c:pt>
                <c:pt idx="127">
                  <c:v>115.59089637160713</c:v>
                </c:pt>
                <c:pt idx="128">
                  <c:v>115.28775300811492</c:v>
                </c:pt>
                <c:pt idx="129">
                  <c:v>116.15520940210801</c:v>
                </c:pt>
                <c:pt idx="130">
                  <c:v>115.34838168081336</c:v>
                </c:pt>
                <c:pt idx="131">
                  <c:v>115.01259210894507</c:v>
                </c:pt>
                <c:pt idx="132">
                  <c:v>114.93797220408544</c:v>
                </c:pt>
                <c:pt idx="133">
                  <c:v>115.14317694244941</c:v>
                </c:pt>
                <c:pt idx="134">
                  <c:v>114.93330846003174</c:v>
                </c:pt>
                <c:pt idx="135">
                  <c:v>114.61617386437834</c:v>
                </c:pt>
                <c:pt idx="136">
                  <c:v>115.73547243727266</c:v>
                </c:pt>
                <c:pt idx="137">
                  <c:v>115.46963902621027</c:v>
                </c:pt>
                <c:pt idx="138">
                  <c:v>116.02462456860371</c:v>
                </c:pt>
                <c:pt idx="139">
                  <c:v>117.15325062960548</c:v>
                </c:pt>
                <c:pt idx="140">
                  <c:v>116.71019494450148</c:v>
                </c:pt>
                <c:pt idx="141">
                  <c:v>115.67018002052052</c:v>
                </c:pt>
                <c:pt idx="142">
                  <c:v>115.53493144296245</c:v>
                </c:pt>
                <c:pt idx="143">
                  <c:v>114.97528215651529</c:v>
                </c:pt>
                <c:pt idx="144">
                  <c:v>114.95662718030039</c:v>
                </c:pt>
                <c:pt idx="145">
                  <c:v>114.18710941143553</c:v>
                </c:pt>
                <c:pt idx="146">
                  <c:v>114.52756272735756</c:v>
                </c:pt>
                <c:pt idx="147">
                  <c:v>113.81867363119117</c:v>
                </c:pt>
                <c:pt idx="148">
                  <c:v>112.67605633802822</c:v>
                </c:pt>
                <c:pt idx="149">
                  <c:v>113.07713832664871</c:v>
                </c:pt>
                <c:pt idx="150">
                  <c:v>113.1844044398844</c:v>
                </c:pt>
                <c:pt idx="151">
                  <c:v>113.73938998227784</c:v>
                </c:pt>
                <c:pt idx="152">
                  <c:v>113.27767932095892</c:v>
                </c:pt>
                <c:pt idx="153">
                  <c:v>113.49687529148407</c:v>
                </c:pt>
                <c:pt idx="154">
                  <c:v>114.77940490625882</c:v>
                </c:pt>
                <c:pt idx="155">
                  <c:v>114.84003357895726</c:v>
                </c:pt>
                <c:pt idx="156">
                  <c:v>114.70012125734547</c:v>
                </c:pt>
                <c:pt idx="157">
                  <c:v>115.82874731834724</c:v>
                </c:pt>
                <c:pt idx="158">
                  <c:v>116.00596959238884</c:v>
                </c:pt>
                <c:pt idx="159">
                  <c:v>115.88004850293822</c:v>
                </c:pt>
                <c:pt idx="160">
                  <c:v>115.15250443055692</c:v>
                </c:pt>
                <c:pt idx="161">
                  <c:v>114.73276746572154</c:v>
                </c:pt>
                <c:pt idx="162">
                  <c:v>114.57420016789483</c:v>
                </c:pt>
                <c:pt idx="163">
                  <c:v>114.88200727544078</c:v>
                </c:pt>
                <c:pt idx="164">
                  <c:v>114.92864471597804</c:v>
                </c:pt>
                <c:pt idx="165">
                  <c:v>114.6768025370768</c:v>
                </c:pt>
                <c:pt idx="166">
                  <c:v>113.92127600037314</c:v>
                </c:pt>
                <c:pt idx="167">
                  <c:v>115.01725585299883</c:v>
                </c:pt>
                <c:pt idx="168">
                  <c:v>114.7467586978827</c:v>
                </c:pt>
                <c:pt idx="169">
                  <c:v>114.01921462550139</c:v>
                </c:pt>
                <c:pt idx="170">
                  <c:v>113.56216770823622</c:v>
                </c:pt>
                <c:pt idx="171">
                  <c:v>113.20305941609929</c:v>
                </c:pt>
                <c:pt idx="172">
                  <c:v>114.05652457793123</c:v>
                </c:pt>
                <c:pt idx="173">
                  <c:v>114.41563287006815</c:v>
                </c:pt>
                <c:pt idx="174">
                  <c:v>114.97061841246158</c:v>
                </c:pt>
                <c:pt idx="175">
                  <c:v>114.91465348381686</c:v>
                </c:pt>
                <c:pt idx="176">
                  <c:v>115.45564779404913</c:v>
                </c:pt>
                <c:pt idx="177">
                  <c:v>115.42766532972676</c:v>
                </c:pt>
                <c:pt idx="178">
                  <c:v>116.06193452103354</c:v>
                </c:pt>
                <c:pt idx="179">
                  <c:v>115.56757765133854</c:v>
                </c:pt>
                <c:pt idx="180">
                  <c:v>114.84936106706468</c:v>
                </c:pt>
                <c:pt idx="181">
                  <c:v>114.19177315548926</c:v>
                </c:pt>
                <c:pt idx="182">
                  <c:v>115.04523831732119</c:v>
                </c:pt>
                <c:pt idx="183">
                  <c:v>115.23178807947025</c:v>
                </c:pt>
                <c:pt idx="184">
                  <c:v>115.2597705437926</c:v>
                </c:pt>
                <c:pt idx="185">
                  <c:v>115.63753381214444</c:v>
                </c:pt>
                <c:pt idx="186">
                  <c:v>116.30911295588102</c:v>
                </c:pt>
                <c:pt idx="187">
                  <c:v>117.08795821285331</c:v>
                </c:pt>
                <c:pt idx="188">
                  <c:v>116.49099897397635</c:v>
                </c:pt>
                <c:pt idx="189">
                  <c:v>117.32114541553965</c:v>
                </c:pt>
                <c:pt idx="190">
                  <c:v>117.5403413860648</c:v>
                </c:pt>
                <c:pt idx="191">
                  <c:v>118.08133569629706</c:v>
                </c:pt>
                <c:pt idx="192">
                  <c:v>117.82949351739585</c:v>
                </c:pt>
                <c:pt idx="193">
                  <c:v>117.74554612442877</c:v>
                </c:pt>
                <c:pt idx="194">
                  <c:v>119.09336815595569</c:v>
                </c:pt>
                <c:pt idx="195">
                  <c:v>118.6363212386905</c:v>
                </c:pt>
                <c:pt idx="196">
                  <c:v>118.23523925007004</c:v>
                </c:pt>
                <c:pt idx="197">
                  <c:v>117.55433261822598</c:v>
                </c:pt>
                <c:pt idx="198">
                  <c:v>118.04402574386725</c:v>
                </c:pt>
                <c:pt idx="199">
                  <c:v>118.98143829866623</c:v>
                </c:pt>
                <c:pt idx="200">
                  <c:v>118.98143829866623</c:v>
                </c:pt>
                <c:pt idx="201">
                  <c:v>119.93750582968013</c:v>
                </c:pt>
                <c:pt idx="202">
                  <c:v>119.9001958772503</c:v>
                </c:pt>
                <c:pt idx="203">
                  <c:v>120.8189534558344</c:v>
                </c:pt>
                <c:pt idx="204">
                  <c:v>121.95690700494362</c:v>
                </c:pt>
                <c:pt idx="205">
                  <c:v>121.35994776606665</c:v>
                </c:pt>
                <c:pt idx="206">
                  <c:v>120.81428971178066</c:v>
                </c:pt>
                <c:pt idx="207">
                  <c:v>120.59975748530924</c:v>
                </c:pt>
                <c:pt idx="208">
                  <c:v>120.2732954015484</c:v>
                </c:pt>
                <c:pt idx="209">
                  <c:v>120.46917265180491</c:v>
                </c:pt>
                <c:pt idx="210">
                  <c:v>119.75095606753105</c:v>
                </c:pt>
                <c:pt idx="211">
                  <c:v>119.84423094860558</c:v>
                </c:pt>
                <c:pt idx="212">
                  <c:v>119.36386531107175</c:v>
                </c:pt>
                <c:pt idx="213">
                  <c:v>119.86288592482046</c:v>
                </c:pt>
                <c:pt idx="214">
                  <c:v>120.10540061561422</c:v>
                </c:pt>
                <c:pt idx="215">
                  <c:v>120.99617572987594</c:v>
                </c:pt>
                <c:pt idx="216">
                  <c:v>121.07545937878929</c:v>
                </c:pt>
                <c:pt idx="217">
                  <c:v>122.23673164816714</c:v>
                </c:pt>
                <c:pt idx="218">
                  <c:v>121.85896837981529</c:v>
                </c:pt>
                <c:pt idx="219">
                  <c:v>122.40462643410125</c:v>
                </c:pt>
                <c:pt idx="220">
                  <c:v>122.16677548736121</c:v>
                </c:pt>
                <c:pt idx="221">
                  <c:v>122.00820818953451</c:v>
                </c:pt>
                <c:pt idx="222">
                  <c:v>122.05018188601804</c:v>
                </c:pt>
                <c:pt idx="223">
                  <c:v>121.73304729036464</c:v>
                </c:pt>
                <c:pt idx="224">
                  <c:v>122.46525510679967</c:v>
                </c:pt>
                <c:pt idx="225">
                  <c:v>122.35798899356398</c:v>
                </c:pt>
                <c:pt idx="226">
                  <c:v>122.58651245219659</c:v>
                </c:pt>
                <c:pt idx="227">
                  <c:v>122.42328141031615</c:v>
                </c:pt>
                <c:pt idx="228">
                  <c:v>121.77968473090192</c:v>
                </c:pt>
                <c:pt idx="229">
                  <c:v>121.44855890308736</c:v>
                </c:pt>
                <c:pt idx="230">
                  <c:v>121.04747691446688</c:v>
                </c:pt>
                <c:pt idx="231">
                  <c:v>120.18934800858122</c:v>
                </c:pt>
                <c:pt idx="232">
                  <c:v>119.86288592482038</c:v>
                </c:pt>
                <c:pt idx="233">
                  <c:v>120.10073687156041</c:v>
                </c:pt>
                <c:pt idx="234">
                  <c:v>120.85626340826408</c:v>
                </c:pt>
                <c:pt idx="235">
                  <c:v>120.32459658613929</c:v>
                </c:pt>
                <c:pt idx="236">
                  <c:v>121.07545937878925</c:v>
                </c:pt>
                <c:pt idx="237">
                  <c:v>122.05484563007177</c:v>
                </c:pt>
                <c:pt idx="238">
                  <c:v>122.63314989273383</c:v>
                </c:pt>
                <c:pt idx="239">
                  <c:v>123.23943661971826</c:v>
                </c:pt>
                <c:pt idx="240">
                  <c:v>122.90364704784996</c:v>
                </c:pt>
                <c:pt idx="241">
                  <c:v>123.65917358455363</c:v>
                </c:pt>
                <c:pt idx="242">
                  <c:v>123.78975841805799</c:v>
                </c:pt>
                <c:pt idx="243">
                  <c:v>124.2561328234306</c:v>
                </c:pt>
                <c:pt idx="244">
                  <c:v>125.77651338494539</c:v>
                </c:pt>
                <c:pt idx="245">
                  <c:v>125.18888163417589</c:v>
                </c:pt>
                <c:pt idx="246">
                  <c:v>125.10959798526252</c:v>
                </c:pt>
                <c:pt idx="247">
                  <c:v>125.80915959332147</c:v>
                </c:pt>
                <c:pt idx="248">
                  <c:v>125.45471504523827</c:v>
                </c:pt>
                <c:pt idx="249">
                  <c:v>125.31480272362649</c:v>
                </c:pt>
                <c:pt idx="250">
                  <c:v>127.180300345117</c:v>
                </c:pt>
                <c:pt idx="251">
                  <c:v>127.57205484563003</c:v>
                </c:pt>
                <c:pt idx="252">
                  <c:v>128.08040294748619</c:v>
                </c:pt>
                <c:pt idx="253">
                  <c:v>128.87323943661966</c:v>
                </c:pt>
                <c:pt idx="254">
                  <c:v>129.04579796660755</c:v>
                </c:pt>
                <c:pt idx="255">
                  <c:v>130.14177781923323</c:v>
                </c:pt>
                <c:pt idx="256">
                  <c:v>129.73136834250531</c:v>
                </c:pt>
                <c:pt idx="257">
                  <c:v>128.6820259304169</c:v>
                </c:pt>
                <c:pt idx="258">
                  <c:v>127.97313683425048</c:v>
                </c:pt>
                <c:pt idx="259">
                  <c:v>129.13907284768209</c:v>
                </c:pt>
                <c:pt idx="260">
                  <c:v>128.99916052607031</c:v>
                </c:pt>
                <c:pt idx="261">
                  <c:v>131.39632496968562</c:v>
                </c:pt>
                <c:pt idx="262">
                  <c:v>131.52690980318994</c:v>
                </c:pt>
                <c:pt idx="263">
                  <c:v>132.30575506016226</c:v>
                </c:pt>
                <c:pt idx="264">
                  <c:v>132.5062960544725</c:v>
                </c:pt>
                <c:pt idx="265">
                  <c:v>133.03329913254359</c:v>
                </c:pt>
                <c:pt idx="266">
                  <c:v>132.46898610204272</c:v>
                </c:pt>
                <c:pt idx="267">
                  <c:v>131.57354724372726</c:v>
                </c:pt>
                <c:pt idx="268">
                  <c:v>131.80207070235986</c:v>
                </c:pt>
                <c:pt idx="269">
                  <c:v>134.01268538382615</c:v>
                </c:pt>
                <c:pt idx="270">
                  <c:v>133.4763548176476</c:v>
                </c:pt>
                <c:pt idx="271">
                  <c:v>134.87547803376552</c:v>
                </c:pt>
                <c:pt idx="272">
                  <c:v>135.47243727264251</c:v>
                </c:pt>
                <c:pt idx="273">
                  <c:v>135.00606286726989</c:v>
                </c:pt>
                <c:pt idx="274">
                  <c:v>134.12461524111558</c:v>
                </c:pt>
                <c:pt idx="275">
                  <c:v>135.38382613562172</c:v>
                </c:pt>
                <c:pt idx="276">
                  <c:v>133.4670273295402</c:v>
                </c:pt>
                <c:pt idx="277">
                  <c:v>133.02863538848993</c:v>
                </c:pt>
                <c:pt idx="278">
                  <c:v>133.34576998414335</c:v>
                </c:pt>
                <c:pt idx="279">
                  <c:v>134.2738550508349</c:v>
                </c:pt>
                <c:pt idx="280">
                  <c:v>133.7655069489787</c:v>
                </c:pt>
                <c:pt idx="281">
                  <c:v>133.98936666355758</c:v>
                </c:pt>
                <c:pt idx="282">
                  <c:v>132.47831359015024</c:v>
                </c:pt>
                <c:pt idx="283">
                  <c:v>133.04729036470485</c:v>
                </c:pt>
                <c:pt idx="284">
                  <c:v>130.66878089730443</c:v>
                </c:pt>
                <c:pt idx="285">
                  <c:v>131.59686596399598</c:v>
                </c:pt>
                <c:pt idx="286">
                  <c:v>132.30109131610865</c:v>
                </c:pt>
                <c:pt idx="287">
                  <c:v>132.40835742934436</c:v>
                </c:pt>
                <c:pt idx="288">
                  <c:v>133.51366477007747</c:v>
                </c:pt>
                <c:pt idx="289">
                  <c:v>131.69014084507049</c:v>
                </c:pt>
                <c:pt idx="290">
                  <c:v>131.48959985076027</c:v>
                </c:pt>
                <c:pt idx="291">
                  <c:v>132.40369368529065</c:v>
                </c:pt>
                <c:pt idx="292">
                  <c:v>132.22180766719532</c:v>
                </c:pt>
                <c:pt idx="293">
                  <c:v>131.78341572614505</c:v>
                </c:pt>
                <c:pt idx="294">
                  <c:v>132.03525790504628</c:v>
                </c:pt>
                <c:pt idx="295">
                  <c:v>132.57625221527852</c:v>
                </c:pt>
                <c:pt idx="296">
                  <c:v>133.02863538848999</c:v>
                </c:pt>
                <c:pt idx="297">
                  <c:v>132.65553586419188</c:v>
                </c:pt>
                <c:pt idx="298">
                  <c:v>131.28439511239634</c:v>
                </c:pt>
                <c:pt idx="299">
                  <c:v>130.9952429810653</c:v>
                </c:pt>
                <c:pt idx="300">
                  <c:v>130.55685104001503</c:v>
                </c:pt>
                <c:pt idx="301">
                  <c:v>128.82193825202884</c:v>
                </c:pt>
                <c:pt idx="302">
                  <c:v>127.50209868482426</c:v>
                </c:pt>
                <c:pt idx="303">
                  <c:v>128.91054938904963</c:v>
                </c:pt>
                <c:pt idx="304">
                  <c:v>126.95177688648455</c:v>
                </c:pt>
                <c:pt idx="305">
                  <c:v>128.97584180580179</c:v>
                </c:pt>
                <c:pt idx="306">
                  <c:v>129.53082734819523</c:v>
                </c:pt>
                <c:pt idx="307">
                  <c:v>130.66411715325074</c:v>
                </c:pt>
                <c:pt idx="308">
                  <c:v>132.3197462923236</c:v>
                </c:pt>
                <c:pt idx="309">
                  <c:v>133.56962969872225</c:v>
                </c:pt>
                <c:pt idx="310">
                  <c:v>135.15530267698921</c:v>
                </c:pt>
                <c:pt idx="311">
                  <c:v>138.55517209215569</c:v>
                </c:pt>
                <c:pt idx="312">
                  <c:v>138.74172185430476</c:v>
                </c:pt>
                <c:pt idx="313">
                  <c:v>138.10745266299799</c:v>
                </c:pt>
                <c:pt idx="314">
                  <c:v>138.81167801511066</c:v>
                </c:pt>
                <c:pt idx="315">
                  <c:v>138.55983583620946</c:v>
                </c:pt>
                <c:pt idx="316">
                  <c:v>136.6383732860742</c:v>
                </c:pt>
                <c:pt idx="317">
                  <c:v>136.58240835742947</c:v>
                </c:pt>
                <c:pt idx="318">
                  <c:v>136.130025184218</c:v>
                </c:pt>
                <c:pt idx="319">
                  <c:v>136.93218916145895</c:v>
                </c:pt>
                <c:pt idx="320">
                  <c:v>136.19531760097018</c:v>
                </c:pt>
                <c:pt idx="321">
                  <c:v>134.6003171345958</c:v>
                </c:pt>
                <c:pt idx="322">
                  <c:v>134.67493703945541</c:v>
                </c:pt>
                <c:pt idx="323">
                  <c:v>134.68892827161662</c:v>
                </c:pt>
                <c:pt idx="324">
                  <c:v>137.58511332898067</c:v>
                </c:pt>
                <c:pt idx="325">
                  <c:v>136.31657494636713</c:v>
                </c:pt>
                <c:pt idx="326">
                  <c:v>135.86419177315565</c:v>
                </c:pt>
                <c:pt idx="327">
                  <c:v>135.72894319559759</c:v>
                </c:pt>
                <c:pt idx="328">
                  <c:v>136.6663557503966</c:v>
                </c:pt>
                <c:pt idx="329">
                  <c:v>136.78761309579349</c:v>
                </c:pt>
                <c:pt idx="330">
                  <c:v>137.09542020333942</c:v>
                </c:pt>
                <c:pt idx="331">
                  <c:v>137.51982091222854</c:v>
                </c:pt>
                <c:pt idx="332">
                  <c:v>139.18477753940886</c:v>
                </c:pt>
                <c:pt idx="333">
                  <c:v>139.21276000373123</c:v>
                </c:pt>
                <c:pt idx="334">
                  <c:v>139.49724839100855</c:v>
                </c:pt>
                <c:pt idx="335">
                  <c:v>138.6950844137676</c:v>
                </c:pt>
                <c:pt idx="336">
                  <c:v>138.57849081242443</c:v>
                </c:pt>
                <c:pt idx="337">
                  <c:v>139.1754500513014</c:v>
                </c:pt>
                <c:pt idx="338">
                  <c:v>140.76578677362207</c:v>
                </c:pt>
                <c:pt idx="339">
                  <c:v>141.43736591735865</c:v>
                </c:pt>
                <c:pt idx="340">
                  <c:v>142.8831265740138</c:v>
                </c:pt>
                <c:pt idx="341">
                  <c:v>141.97836022759088</c:v>
                </c:pt>
                <c:pt idx="342">
                  <c:v>142.03432515623561</c:v>
                </c:pt>
                <c:pt idx="343">
                  <c:v>143.31685477101036</c:v>
                </c:pt>
                <c:pt idx="344">
                  <c:v>142.70590429997219</c:v>
                </c:pt>
                <c:pt idx="345">
                  <c:v>144.03040761123043</c:v>
                </c:pt>
                <c:pt idx="346">
                  <c:v>144.19830239716458</c:v>
                </c:pt>
                <c:pt idx="347">
                  <c:v>145.31760097005889</c:v>
                </c:pt>
                <c:pt idx="348">
                  <c:v>145.47616826788558</c:v>
                </c:pt>
                <c:pt idx="349">
                  <c:v>146.87995522805718</c:v>
                </c:pt>
                <c:pt idx="350">
                  <c:v>146.96856636507798</c:v>
                </c:pt>
                <c:pt idx="351">
                  <c:v>147.55153437179379</c:v>
                </c:pt>
                <c:pt idx="352">
                  <c:v>148.25109597985275</c:v>
                </c:pt>
                <c:pt idx="353">
                  <c:v>148.33037962876611</c:v>
                </c:pt>
                <c:pt idx="354">
                  <c:v>147.82203152690991</c:v>
                </c:pt>
                <c:pt idx="355">
                  <c:v>147.91064266393073</c:v>
                </c:pt>
                <c:pt idx="356">
                  <c:v>148.31172465255122</c:v>
                </c:pt>
                <c:pt idx="357">
                  <c:v>148.28840593228259</c:v>
                </c:pt>
                <c:pt idx="358">
                  <c:v>148.843391474676</c:v>
                </c:pt>
                <c:pt idx="359">
                  <c:v>149.83676895811971</c:v>
                </c:pt>
                <c:pt idx="360">
                  <c:v>151.17059975748543</c:v>
                </c:pt>
                <c:pt idx="361">
                  <c:v>150.09327488107465</c:v>
                </c:pt>
                <c:pt idx="362">
                  <c:v>149.73416658893774</c:v>
                </c:pt>
                <c:pt idx="363">
                  <c:v>149.26312843951141</c:v>
                </c:pt>
                <c:pt idx="364">
                  <c:v>147.69611043745934</c:v>
                </c:pt>
                <c:pt idx="365">
                  <c:v>147.61682678854598</c:v>
                </c:pt>
                <c:pt idx="366">
                  <c:v>147.95261636041428</c:v>
                </c:pt>
                <c:pt idx="367">
                  <c:v>149.39371327301569</c:v>
                </c:pt>
                <c:pt idx="368">
                  <c:v>149.15119858222192</c:v>
                </c:pt>
                <c:pt idx="369">
                  <c:v>149.34707583247842</c:v>
                </c:pt>
                <c:pt idx="370">
                  <c:v>149.24913720735015</c:v>
                </c:pt>
                <c:pt idx="371">
                  <c:v>148.50293815875395</c:v>
                </c:pt>
                <c:pt idx="372">
                  <c:v>147.93396138419934</c:v>
                </c:pt>
                <c:pt idx="373">
                  <c:v>149.3610670646396</c:v>
                </c:pt>
                <c:pt idx="374">
                  <c:v>149.34707583247842</c:v>
                </c:pt>
                <c:pt idx="375">
                  <c:v>149.18384479059799</c:v>
                </c:pt>
                <c:pt idx="376">
                  <c:v>149.51963436246629</c:v>
                </c:pt>
                <c:pt idx="377">
                  <c:v>147.91530640798445</c:v>
                </c:pt>
                <c:pt idx="378">
                  <c:v>148.40499953362567</c:v>
                </c:pt>
                <c:pt idx="379">
                  <c:v>148.35369834903472</c:v>
                </c:pt>
                <c:pt idx="380">
                  <c:v>149.11388862979211</c:v>
                </c:pt>
                <c:pt idx="381">
                  <c:v>148.99263128439523</c:v>
                </c:pt>
                <c:pt idx="382">
                  <c:v>149.68752914840042</c:v>
                </c:pt>
                <c:pt idx="383">
                  <c:v>150.018654976215</c:v>
                </c:pt>
                <c:pt idx="384">
                  <c:v>149.28644715977998</c:v>
                </c:pt>
                <c:pt idx="385">
                  <c:v>150.84413767372456</c:v>
                </c:pt>
                <c:pt idx="386">
                  <c:v>149.91138886297929</c:v>
                </c:pt>
                <c:pt idx="387">
                  <c:v>150.08861113702088</c:v>
                </c:pt>
                <c:pt idx="388">
                  <c:v>150.1865497621491</c:v>
                </c:pt>
                <c:pt idx="389">
                  <c:v>150.82081895345587</c:v>
                </c:pt>
                <c:pt idx="390">
                  <c:v>151.77222274041605</c:v>
                </c:pt>
                <c:pt idx="391">
                  <c:v>153.13403600410416</c:v>
                </c:pt>
                <c:pt idx="392">
                  <c:v>153.05008861113708</c:v>
                </c:pt>
                <c:pt idx="393">
                  <c:v>154.42589310698634</c:v>
                </c:pt>
                <c:pt idx="394">
                  <c:v>154.57046917265185</c:v>
                </c:pt>
                <c:pt idx="395">
                  <c:v>155.53120044771947</c:v>
                </c:pt>
                <c:pt idx="396">
                  <c:v>156.59919783602277</c:v>
                </c:pt>
                <c:pt idx="397">
                  <c:v>156.6225165562914</c:v>
                </c:pt>
                <c:pt idx="398">
                  <c:v>157.42934427758607</c:v>
                </c:pt>
                <c:pt idx="399">
                  <c:v>157.32674190840407</c:v>
                </c:pt>
                <c:pt idx="400">
                  <c:v>157.07023598544916</c:v>
                </c:pt>
                <c:pt idx="401">
                  <c:v>156.69247271709733</c:v>
                </c:pt>
                <c:pt idx="402">
                  <c:v>156.91166868762244</c:v>
                </c:pt>
                <c:pt idx="403">
                  <c:v>158.46003171345959</c:v>
                </c:pt>
                <c:pt idx="404">
                  <c:v>159.40210801231234</c:v>
                </c:pt>
                <c:pt idx="405">
                  <c:v>160.98311724652555</c:v>
                </c:pt>
                <c:pt idx="406">
                  <c:v>160.55871653763646</c:v>
                </c:pt>
                <c:pt idx="407">
                  <c:v>160.67997388303334</c:v>
                </c:pt>
                <c:pt idx="408">
                  <c:v>160.51674284115293</c:v>
                </c:pt>
                <c:pt idx="409">
                  <c:v>161.86456487267984</c:v>
                </c:pt>
                <c:pt idx="410">
                  <c:v>159.19690327394841</c:v>
                </c:pt>
                <c:pt idx="411">
                  <c:v>158.21751702266587</c:v>
                </c:pt>
                <c:pt idx="412">
                  <c:v>157.87239996269011</c:v>
                </c:pt>
                <c:pt idx="413">
                  <c:v>156.83238503870913</c:v>
                </c:pt>
                <c:pt idx="414">
                  <c:v>155.65245779311638</c:v>
                </c:pt>
                <c:pt idx="415">
                  <c:v>155.57783788825677</c:v>
                </c:pt>
                <c:pt idx="416">
                  <c:v>155.70375897770739</c:v>
                </c:pt>
                <c:pt idx="417">
                  <c:v>157.09355470571782</c:v>
                </c:pt>
                <c:pt idx="418">
                  <c:v>156.35201940117534</c:v>
                </c:pt>
                <c:pt idx="419">
                  <c:v>156.96763361626722</c:v>
                </c:pt>
                <c:pt idx="420">
                  <c:v>156.6271803003452</c:v>
                </c:pt>
                <c:pt idx="421">
                  <c:v>157.49463669433831</c:v>
                </c:pt>
                <c:pt idx="422">
                  <c:v>156.31004570469185</c:v>
                </c:pt>
                <c:pt idx="423">
                  <c:v>155.76905139445958</c:v>
                </c:pt>
                <c:pt idx="424">
                  <c:v>156.375338121444</c:v>
                </c:pt>
                <c:pt idx="425">
                  <c:v>157.92370114728115</c:v>
                </c:pt>
                <c:pt idx="426">
                  <c:v>157.78845256972309</c:v>
                </c:pt>
                <c:pt idx="427">
                  <c:v>158.00764854024825</c:v>
                </c:pt>
                <c:pt idx="428">
                  <c:v>159.98973976308193</c:v>
                </c:pt>
                <c:pt idx="429">
                  <c:v>158.94506109504721</c:v>
                </c:pt>
                <c:pt idx="430">
                  <c:v>158.34810185617022</c:v>
                </c:pt>
                <c:pt idx="431">
                  <c:v>157.64854024811126</c:v>
                </c:pt>
                <c:pt idx="432">
                  <c:v>159.31349687529158</c:v>
                </c:pt>
                <c:pt idx="433">
                  <c:v>160.14830706090856</c:v>
                </c:pt>
                <c:pt idx="434">
                  <c:v>161.34688928271621</c:v>
                </c:pt>
                <c:pt idx="435">
                  <c:v>162.19102695644068</c:v>
                </c:pt>
                <c:pt idx="436">
                  <c:v>161.77128999160533</c:v>
                </c:pt>
                <c:pt idx="437">
                  <c:v>161.7479712713367</c:v>
                </c:pt>
                <c:pt idx="438">
                  <c:v>161.6593601343159</c:v>
                </c:pt>
                <c:pt idx="439">
                  <c:v>163.22637813636794</c:v>
                </c:pt>
                <c:pt idx="440">
                  <c:v>163.37561794608717</c:v>
                </c:pt>
                <c:pt idx="441">
                  <c:v>163.31965301744248</c:v>
                </c:pt>
                <c:pt idx="442">
                  <c:v>163.45956533905428</c:v>
                </c:pt>
                <c:pt idx="443">
                  <c:v>162.3495942542674</c:v>
                </c:pt>
                <c:pt idx="444">
                  <c:v>163.21705064826048</c:v>
                </c:pt>
                <c:pt idx="445">
                  <c:v>163.9119485122657</c:v>
                </c:pt>
                <c:pt idx="446">
                  <c:v>164.41563287006815</c:v>
                </c:pt>
                <c:pt idx="447">
                  <c:v>165.6981624848429</c:v>
                </c:pt>
                <c:pt idx="448">
                  <c:v>166.26713925939748</c:v>
                </c:pt>
                <c:pt idx="449">
                  <c:v>167.9880608152225</c:v>
                </c:pt>
                <c:pt idx="450">
                  <c:v>169.14933308460039</c:v>
                </c:pt>
                <c:pt idx="451">
                  <c:v>167.84814849361072</c:v>
                </c:pt>
                <c:pt idx="452">
                  <c:v>168.86950844137678</c:v>
                </c:pt>
                <c:pt idx="453">
                  <c:v>168.43111650032651</c:v>
                </c:pt>
                <c:pt idx="454">
                  <c:v>167.92276839847037</c:v>
                </c:pt>
                <c:pt idx="455">
                  <c:v>168.62699375058304</c:v>
                </c:pt>
                <c:pt idx="456">
                  <c:v>167.68491745173034</c:v>
                </c:pt>
                <c:pt idx="457">
                  <c:v>167.0366570282624</c:v>
                </c:pt>
                <c:pt idx="458">
                  <c:v>166.95737337934904</c:v>
                </c:pt>
                <c:pt idx="459">
                  <c:v>167.88545844604056</c:v>
                </c:pt>
                <c:pt idx="460">
                  <c:v>168.61766626247561</c:v>
                </c:pt>
                <c:pt idx="461">
                  <c:v>168.70161365544269</c:v>
                </c:pt>
                <c:pt idx="462">
                  <c:v>168.46842645275638</c:v>
                </c:pt>
                <c:pt idx="463">
                  <c:v>168.0160432795449</c:v>
                </c:pt>
                <c:pt idx="464">
                  <c:v>166.7941423374686</c:v>
                </c:pt>
                <c:pt idx="465">
                  <c:v>167.60097005876324</c:v>
                </c:pt>
                <c:pt idx="466">
                  <c:v>167.95075086279269</c:v>
                </c:pt>
                <c:pt idx="467">
                  <c:v>168.68295867922774</c:v>
                </c:pt>
                <c:pt idx="468">
                  <c:v>167.8061747971272</c:v>
                </c:pt>
                <c:pt idx="469">
                  <c:v>169.14466934054667</c:v>
                </c:pt>
                <c:pt idx="470">
                  <c:v>168.37515157168181</c:v>
                </c:pt>
                <c:pt idx="471">
                  <c:v>169.36852905512555</c:v>
                </c:pt>
                <c:pt idx="472">
                  <c:v>169.01408450704233</c:v>
                </c:pt>
                <c:pt idx="473">
                  <c:v>170.501818860181</c:v>
                </c:pt>
                <c:pt idx="474">
                  <c:v>170.59975748530928</c:v>
                </c:pt>
                <c:pt idx="475">
                  <c:v>170.60908497341671</c:v>
                </c:pt>
                <c:pt idx="476">
                  <c:v>169.96082454994877</c:v>
                </c:pt>
                <c:pt idx="477">
                  <c:v>170.41320772316021</c:v>
                </c:pt>
                <c:pt idx="478">
                  <c:v>170.70702359854496</c:v>
                </c:pt>
                <c:pt idx="479">
                  <c:v>169.69032739483265</c:v>
                </c:pt>
                <c:pt idx="480">
                  <c:v>168.35183285141321</c:v>
                </c:pt>
                <c:pt idx="481">
                  <c:v>169.07937692379454</c:v>
                </c:pt>
                <c:pt idx="482">
                  <c:v>169.44314895998517</c:v>
                </c:pt>
                <c:pt idx="483">
                  <c:v>169.71830985915506</c:v>
                </c:pt>
                <c:pt idx="484">
                  <c:v>170.52513758044969</c:v>
                </c:pt>
                <c:pt idx="485">
                  <c:v>170.58576625314811</c:v>
                </c:pt>
                <c:pt idx="486">
                  <c:v>171.30398283742198</c:v>
                </c:pt>
                <c:pt idx="487">
                  <c:v>171.87762335603034</c:v>
                </c:pt>
                <c:pt idx="488">
                  <c:v>171.83098591549307</c:v>
                </c:pt>
                <c:pt idx="489">
                  <c:v>171.87762335603034</c:v>
                </c:pt>
                <c:pt idx="490">
                  <c:v>171.28532786120707</c:v>
                </c:pt>
                <c:pt idx="491">
                  <c:v>172.86167335136656</c:v>
                </c:pt>
                <c:pt idx="492">
                  <c:v>171.69107359388127</c:v>
                </c:pt>
                <c:pt idx="493">
                  <c:v>171.84964089170799</c:v>
                </c:pt>
                <c:pt idx="494">
                  <c:v>171.77968473090206</c:v>
                </c:pt>
                <c:pt idx="495">
                  <c:v>172.3346702732955</c:v>
                </c:pt>
                <c:pt idx="496">
                  <c:v>172.80570842272186</c:v>
                </c:pt>
                <c:pt idx="497">
                  <c:v>173.57522619158672</c:v>
                </c:pt>
                <c:pt idx="498">
                  <c:v>174.43801884152609</c:v>
                </c:pt>
                <c:pt idx="499">
                  <c:v>174.18151291857114</c:v>
                </c:pt>
                <c:pt idx="500">
                  <c:v>174.33075272829038</c:v>
                </c:pt>
                <c:pt idx="501">
                  <c:v>174.34940770450527</c:v>
                </c:pt>
                <c:pt idx="502">
                  <c:v>172.96893946460227</c:v>
                </c:pt>
                <c:pt idx="503">
                  <c:v>174.44268258557983</c:v>
                </c:pt>
                <c:pt idx="504">
                  <c:v>175.33812144389526</c:v>
                </c:pt>
                <c:pt idx="505">
                  <c:v>175.47337002145332</c:v>
                </c:pt>
                <c:pt idx="506">
                  <c:v>175.2355190747133</c:v>
                </c:pt>
                <c:pt idx="507">
                  <c:v>175.83247831359026</c:v>
                </c:pt>
                <c:pt idx="508">
                  <c:v>176.3874638559837</c:v>
                </c:pt>
                <c:pt idx="509">
                  <c:v>176.11696670086758</c:v>
                </c:pt>
                <c:pt idx="510">
                  <c:v>176.76989086838924</c:v>
                </c:pt>
                <c:pt idx="511">
                  <c:v>176.29885271896288</c:v>
                </c:pt>
                <c:pt idx="512">
                  <c:v>176.06566551627657</c:v>
                </c:pt>
                <c:pt idx="513">
                  <c:v>175.84646954575143</c:v>
                </c:pt>
                <c:pt idx="514">
                  <c:v>176.44809252868214</c:v>
                </c:pt>
                <c:pt idx="515">
                  <c:v>175.92108945061108</c:v>
                </c:pt>
                <c:pt idx="516">
                  <c:v>175.56198115847417</c:v>
                </c:pt>
                <c:pt idx="517">
                  <c:v>176.16826788545859</c:v>
                </c:pt>
                <c:pt idx="518">
                  <c:v>176.13095793302878</c:v>
                </c:pt>
                <c:pt idx="519">
                  <c:v>175.84646954575146</c:v>
                </c:pt>
                <c:pt idx="520">
                  <c:v>175.7811771289993</c:v>
                </c:pt>
                <c:pt idx="521">
                  <c:v>175.63193731928004</c:v>
                </c:pt>
                <c:pt idx="522">
                  <c:v>174.00429064452956</c:v>
                </c:pt>
                <c:pt idx="523">
                  <c:v>174.52662997854691</c:v>
                </c:pt>
                <c:pt idx="524">
                  <c:v>174.48465628206336</c:v>
                </c:pt>
                <c:pt idx="525">
                  <c:v>173.81307713832678</c:v>
                </c:pt>
                <c:pt idx="526">
                  <c:v>173.48195131051222</c:v>
                </c:pt>
                <c:pt idx="527">
                  <c:v>172.96893946460233</c:v>
                </c:pt>
                <c:pt idx="528">
                  <c:v>172.86633709542036</c:v>
                </c:pt>
                <c:pt idx="529">
                  <c:v>172.87566458352782</c:v>
                </c:pt>
                <c:pt idx="530">
                  <c:v>173.56123495942558</c:v>
                </c:pt>
                <c:pt idx="531">
                  <c:v>172.19475795168378</c:v>
                </c:pt>
                <c:pt idx="532">
                  <c:v>172.20874918384496</c:v>
                </c:pt>
                <c:pt idx="533">
                  <c:v>172.94562074433372</c:v>
                </c:pt>
                <c:pt idx="534">
                  <c:v>173.3653577091691</c:v>
                </c:pt>
                <c:pt idx="535">
                  <c:v>174.3540714485591</c:v>
                </c:pt>
                <c:pt idx="536">
                  <c:v>174.00429064452962</c:v>
                </c:pt>
                <c:pt idx="537">
                  <c:v>174.05092808506686</c:v>
                </c:pt>
                <c:pt idx="538">
                  <c:v>174.72717097285718</c:v>
                </c:pt>
                <c:pt idx="539">
                  <c:v>174.36806268072024</c:v>
                </c:pt>
                <c:pt idx="540">
                  <c:v>172.67978733327129</c:v>
                </c:pt>
                <c:pt idx="541">
                  <c:v>171.83564965954682</c:v>
                </c:pt>
                <c:pt idx="542">
                  <c:v>171.79367596306329</c:v>
                </c:pt>
                <c:pt idx="543">
                  <c:v>170.8749183844792</c:v>
                </c:pt>
                <c:pt idx="544">
                  <c:v>171.57914373659187</c:v>
                </c:pt>
                <c:pt idx="545">
                  <c:v>172.63781363678777</c:v>
                </c:pt>
                <c:pt idx="546">
                  <c:v>168.7529148400337</c:v>
                </c:pt>
                <c:pt idx="547">
                  <c:v>168.70627739949646</c:v>
                </c:pt>
                <c:pt idx="548">
                  <c:v>166.75216864098513</c:v>
                </c:pt>
                <c:pt idx="549">
                  <c:v>168.64564872679804</c:v>
                </c:pt>
                <c:pt idx="550">
                  <c:v>169.61104374591937</c:v>
                </c:pt>
                <c:pt idx="551">
                  <c:v>169.96548829400257</c:v>
                </c:pt>
                <c:pt idx="552">
                  <c:v>169.75095606753118</c:v>
                </c:pt>
                <c:pt idx="553">
                  <c:v>170.6790411342227</c:v>
                </c:pt>
                <c:pt idx="554">
                  <c:v>168.65497621490547</c:v>
                </c:pt>
                <c:pt idx="555">
                  <c:v>168.60367503031446</c:v>
                </c:pt>
                <c:pt idx="556">
                  <c:v>169.07004943568708</c:v>
                </c:pt>
                <c:pt idx="557">
                  <c:v>167.59630631470958</c:v>
                </c:pt>
                <c:pt idx="558">
                  <c:v>168.23990299412381</c:v>
                </c:pt>
                <c:pt idx="559">
                  <c:v>169.97481578211</c:v>
                </c:pt>
                <c:pt idx="560">
                  <c:v>171.2293629325624</c:v>
                </c:pt>
                <c:pt idx="561">
                  <c:v>171.52317880794715</c:v>
                </c:pt>
                <c:pt idx="562">
                  <c:v>171.23869042066985</c:v>
                </c:pt>
                <c:pt idx="563">
                  <c:v>172.46525510679987</c:v>
                </c:pt>
                <c:pt idx="564">
                  <c:v>173.28141031620197</c:v>
                </c:pt>
                <c:pt idx="565">
                  <c:v>172.10614681466291</c:v>
                </c:pt>
                <c:pt idx="566">
                  <c:v>171.10344184311174</c:v>
                </c:pt>
                <c:pt idx="567">
                  <c:v>171.69107359388124</c:v>
                </c:pt>
                <c:pt idx="568">
                  <c:v>171.51385131983966</c:v>
                </c:pt>
                <c:pt idx="569">
                  <c:v>171.67241861766638</c:v>
                </c:pt>
                <c:pt idx="570">
                  <c:v>170.80962596772702</c:v>
                </c:pt>
                <c:pt idx="571">
                  <c:v>171.014830706091</c:v>
                </c:pt>
                <c:pt idx="572">
                  <c:v>170.99617572987609</c:v>
                </c:pt>
                <c:pt idx="573">
                  <c:v>170.32459658613951</c:v>
                </c:pt>
                <c:pt idx="574">
                  <c:v>170.52980132450344</c:v>
                </c:pt>
                <c:pt idx="575">
                  <c:v>171.73304729036482</c:v>
                </c:pt>
                <c:pt idx="576">
                  <c:v>171.86829586792288</c:v>
                </c:pt>
                <c:pt idx="577">
                  <c:v>172.92230202406503</c:v>
                </c:pt>
                <c:pt idx="578">
                  <c:v>173.25809159593334</c:v>
                </c:pt>
                <c:pt idx="579">
                  <c:v>173.5892174237479</c:v>
                </c:pt>
                <c:pt idx="580">
                  <c:v>173.64051860833888</c:v>
                </c:pt>
                <c:pt idx="581">
                  <c:v>173.65450984050008</c:v>
                </c:pt>
                <c:pt idx="582">
                  <c:v>174.69452476448103</c:v>
                </c:pt>
                <c:pt idx="583">
                  <c:v>173.69181979292989</c:v>
                </c:pt>
                <c:pt idx="584">
                  <c:v>174.96035817554346</c:v>
                </c:pt>
                <c:pt idx="585">
                  <c:v>174.03693685290565</c:v>
                </c:pt>
                <c:pt idx="586">
                  <c:v>174.40070888909631</c:v>
                </c:pt>
                <c:pt idx="587">
                  <c:v>174.41936386531123</c:v>
                </c:pt>
                <c:pt idx="588">
                  <c:v>176.03301930790053</c:v>
                </c:pt>
                <c:pt idx="589">
                  <c:v>175.34744893200278</c:v>
                </c:pt>
                <c:pt idx="590">
                  <c:v>175.92108945061108</c:v>
                </c:pt>
                <c:pt idx="591">
                  <c:v>176.56934987407905</c:v>
                </c:pt>
                <c:pt idx="592">
                  <c:v>176.56002238597159</c:v>
                </c:pt>
                <c:pt idx="593">
                  <c:v>177.28290271429918</c:v>
                </c:pt>
                <c:pt idx="594">
                  <c:v>177.04038802350541</c:v>
                </c:pt>
                <c:pt idx="595">
                  <c:v>177.73062214345691</c:v>
                </c:pt>
                <c:pt idx="596">
                  <c:v>176.91913067810856</c:v>
                </c:pt>
                <c:pt idx="597">
                  <c:v>176.89581195783992</c:v>
                </c:pt>
                <c:pt idx="598">
                  <c:v>177.05437925566662</c:v>
                </c:pt>
                <c:pt idx="599">
                  <c:v>178.09439417964759</c:v>
                </c:pt>
                <c:pt idx="600">
                  <c:v>177.13832664863369</c:v>
                </c:pt>
                <c:pt idx="601">
                  <c:v>178.1783415726147</c:v>
                </c:pt>
                <c:pt idx="602">
                  <c:v>178.25296147747432</c:v>
                </c:pt>
                <c:pt idx="603">
                  <c:v>178.22031526909822</c:v>
                </c:pt>
                <c:pt idx="604">
                  <c:v>177.88918944128366</c:v>
                </c:pt>
                <c:pt idx="605">
                  <c:v>178.50946740042929</c:v>
                </c:pt>
                <c:pt idx="606">
                  <c:v>179.162391567951</c:v>
                </c:pt>
                <c:pt idx="607">
                  <c:v>178.27161645368926</c:v>
                </c:pt>
                <c:pt idx="608">
                  <c:v>178.98983303796314</c:v>
                </c:pt>
                <c:pt idx="609">
                  <c:v>177.66066598265112</c:v>
                </c:pt>
                <c:pt idx="610">
                  <c:v>175.96772689114846</c:v>
                </c:pt>
                <c:pt idx="611">
                  <c:v>175.94907191493354</c:v>
                </c:pt>
                <c:pt idx="612">
                  <c:v>176.12163044492141</c:v>
                </c:pt>
                <c:pt idx="613">
                  <c:v>176.33616267139286</c:v>
                </c:pt>
                <c:pt idx="614">
                  <c:v>177.78192332804801</c:v>
                </c:pt>
                <c:pt idx="615">
                  <c:v>178.80794701986781</c:v>
                </c:pt>
                <c:pt idx="616">
                  <c:v>178.01511053073435</c:v>
                </c:pt>
                <c:pt idx="617">
                  <c:v>176.94244939837728</c:v>
                </c:pt>
                <c:pt idx="618">
                  <c:v>176.36880887976895</c:v>
                </c:pt>
                <c:pt idx="619">
                  <c:v>176.26154276653324</c:v>
                </c:pt>
                <c:pt idx="620">
                  <c:v>176.25221527842578</c:v>
                </c:pt>
                <c:pt idx="621">
                  <c:v>177.17097285700984</c:v>
                </c:pt>
                <c:pt idx="622">
                  <c:v>175.73920343251586</c:v>
                </c:pt>
                <c:pt idx="623">
                  <c:v>177.65133849454367</c:v>
                </c:pt>
                <c:pt idx="624">
                  <c:v>176.91913067810862</c:v>
                </c:pt>
                <c:pt idx="625">
                  <c:v>176.39212760003753</c:v>
                </c:pt>
                <c:pt idx="626">
                  <c:v>177.24092901781572</c:v>
                </c:pt>
                <c:pt idx="627">
                  <c:v>178.04309299505664</c:v>
                </c:pt>
                <c:pt idx="628">
                  <c:v>178.5700960731277</c:v>
                </c:pt>
                <c:pt idx="629">
                  <c:v>178.37888256692494</c:v>
                </c:pt>
                <c:pt idx="630">
                  <c:v>179.37692379442237</c:v>
                </c:pt>
                <c:pt idx="631">
                  <c:v>177.7539408637256</c:v>
                </c:pt>
                <c:pt idx="632">
                  <c:v>177.46945247644831</c:v>
                </c:pt>
                <c:pt idx="633">
                  <c:v>176.89581195783998</c:v>
                </c:pt>
                <c:pt idx="634">
                  <c:v>177.68864844697345</c:v>
                </c:pt>
                <c:pt idx="635">
                  <c:v>175.1982091222836</c:v>
                </c:pt>
                <c:pt idx="636">
                  <c:v>175.54332618225934</c:v>
                </c:pt>
                <c:pt idx="637">
                  <c:v>177.56272735752287</c:v>
                </c:pt>
                <c:pt idx="638">
                  <c:v>177.71196716724211</c:v>
                </c:pt>
                <c:pt idx="639">
                  <c:v>178.38821005503243</c:v>
                </c:pt>
                <c:pt idx="640">
                  <c:v>177.32021266672908</c:v>
                </c:pt>
                <c:pt idx="641">
                  <c:v>178.5607685850203</c:v>
                </c:pt>
                <c:pt idx="642">
                  <c:v>178.39287379908615</c:v>
                </c:pt>
                <c:pt idx="643">
                  <c:v>177.13366290458004</c:v>
                </c:pt>
                <c:pt idx="644">
                  <c:v>176.83051954108785</c:v>
                </c:pt>
                <c:pt idx="645">
                  <c:v>177.34353138699774</c:v>
                </c:pt>
                <c:pt idx="646">
                  <c:v>175.46870627739975</c:v>
                </c:pt>
                <c:pt idx="647">
                  <c:v>175.87911575412764</c:v>
                </c:pt>
                <c:pt idx="648">
                  <c:v>173.40266766159894</c:v>
                </c:pt>
                <c:pt idx="649">
                  <c:v>174.19550415073243</c:v>
                </c:pt>
                <c:pt idx="650">
                  <c:v>175.2541740509283</c:v>
                </c:pt>
                <c:pt idx="651">
                  <c:v>173.21145415539618</c:v>
                </c:pt>
                <c:pt idx="652">
                  <c:v>173.94832571588495</c:v>
                </c:pt>
                <c:pt idx="653">
                  <c:v>173.89702453129397</c:v>
                </c:pt>
                <c:pt idx="654">
                  <c:v>174.02294562074457</c:v>
                </c:pt>
                <c:pt idx="655">
                  <c:v>174.79712713366314</c:v>
                </c:pt>
                <c:pt idx="656">
                  <c:v>175.4966887417221</c:v>
                </c:pt>
                <c:pt idx="657">
                  <c:v>175.24484656282087</c:v>
                </c:pt>
                <c:pt idx="658">
                  <c:v>175.41274134875505</c:v>
                </c:pt>
                <c:pt idx="659">
                  <c:v>176.97975935080711</c:v>
                </c:pt>
                <c:pt idx="660">
                  <c:v>175.84180580169789</c:v>
                </c:pt>
                <c:pt idx="661">
                  <c:v>176.45275627273602</c:v>
                </c:pt>
                <c:pt idx="662">
                  <c:v>176.45742001678974</c:v>
                </c:pt>
                <c:pt idx="663">
                  <c:v>177.36218636321266</c:v>
                </c:pt>
                <c:pt idx="664">
                  <c:v>176.40145508814501</c:v>
                </c:pt>
                <c:pt idx="665">
                  <c:v>177.96847309019705</c:v>
                </c:pt>
                <c:pt idx="666">
                  <c:v>177.5020986848244</c:v>
                </c:pt>
                <c:pt idx="667">
                  <c:v>178.36489133476377</c:v>
                </c:pt>
                <c:pt idx="668">
                  <c:v>177.45546124428714</c:v>
                </c:pt>
                <c:pt idx="669">
                  <c:v>177.13832664863375</c:v>
                </c:pt>
                <c:pt idx="670">
                  <c:v>174.71784348474978</c:v>
                </c:pt>
                <c:pt idx="671">
                  <c:v>175.24484656282084</c:v>
                </c:pt>
                <c:pt idx="672">
                  <c:v>175.53399869415188</c:v>
                </c:pt>
                <c:pt idx="673">
                  <c:v>175.65991978360248</c:v>
                </c:pt>
                <c:pt idx="674">
                  <c:v>175.68323850387111</c:v>
                </c:pt>
                <c:pt idx="675">
                  <c:v>177.0963529521502</c:v>
                </c:pt>
                <c:pt idx="676">
                  <c:v>176.15894039735119</c:v>
                </c:pt>
                <c:pt idx="677">
                  <c:v>176.09831172465272</c:v>
                </c:pt>
                <c:pt idx="678">
                  <c:v>175.86978826602015</c:v>
                </c:pt>
                <c:pt idx="679">
                  <c:v>177.32021266672902</c:v>
                </c:pt>
                <c:pt idx="680">
                  <c:v>177.87519820912243</c:v>
                </c:pt>
                <c:pt idx="681">
                  <c:v>177.25958399403055</c:v>
                </c:pt>
                <c:pt idx="682">
                  <c:v>177.90784441749852</c:v>
                </c:pt>
                <c:pt idx="683">
                  <c:v>179.5914560208937</c:v>
                </c:pt>
                <c:pt idx="684">
                  <c:v>180.58949724839115</c:v>
                </c:pt>
                <c:pt idx="685">
                  <c:v>180.76205577837902</c:v>
                </c:pt>
                <c:pt idx="686">
                  <c:v>180.47290364704801</c:v>
                </c:pt>
                <c:pt idx="687">
                  <c:v>180.57550601622998</c:v>
                </c:pt>
                <c:pt idx="688">
                  <c:v>180.86465814756102</c:v>
                </c:pt>
                <c:pt idx="689">
                  <c:v>183.09859154929595</c:v>
                </c:pt>
                <c:pt idx="690">
                  <c:v>182.44100363772051</c:v>
                </c:pt>
                <c:pt idx="691">
                  <c:v>183.76550694897875</c:v>
                </c:pt>
                <c:pt idx="692">
                  <c:v>185.17862139725784</c:v>
                </c:pt>
                <c:pt idx="693">
                  <c:v>185.10866523645194</c:v>
                </c:pt>
                <c:pt idx="694">
                  <c:v>183.8960917824831</c:v>
                </c:pt>
                <c:pt idx="695">
                  <c:v>185.69163324316776</c:v>
                </c:pt>
                <c:pt idx="696">
                  <c:v>186.08338774368073</c:v>
                </c:pt>
                <c:pt idx="697">
                  <c:v>185.71961570749008</c:v>
                </c:pt>
                <c:pt idx="698">
                  <c:v>184.43708609271533</c:v>
                </c:pt>
                <c:pt idx="699">
                  <c:v>184.84283182538948</c:v>
                </c:pt>
                <c:pt idx="700">
                  <c:v>186.84357802443807</c:v>
                </c:pt>
                <c:pt idx="701">
                  <c:v>187.48251095979859</c:v>
                </c:pt>
                <c:pt idx="702">
                  <c:v>187.96754034138615</c:v>
                </c:pt>
                <c:pt idx="703">
                  <c:v>188.50387090756468</c:v>
                </c:pt>
                <c:pt idx="704">
                  <c:v>189.87501165936018</c:v>
                </c:pt>
                <c:pt idx="705">
                  <c:v>191.09691260143649</c:v>
                </c:pt>
                <c:pt idx="706">
                  <c:v>188.68575692565997</c:v>
                </c:pt>
                <c:pt idx="707">
                  <c:v>188.54118085999445</c:v>
                </c:pt>
                <c:pt idx="708">
                  <c:v>190.60255573174149</c:v>
                </c:pt>
                <c:pt idx="709">
                  <c:v>189.51590336722327</c:v>
                </c:pt>
                <c:pt idx="710">
                  <c:v>190.71914933308466</c:v>
                </c:pt>
                <c:pt idx="711">
                  <c:v>190.77977800578307</c:v>
                </c:pt>
                <c:pt idx="712">
                  <c:v>190.58390075552657</c:v>
                </c:pt>
                <c:pt idx="713">
                  <c:v>189.51123962316953</c:v>
                </c:pt>
                <c:pt idx="714">
                  <c:v>189.15213133103259</c:v>
                </c:pt>
                <c:pt idx="715">
                  <c:v>188.88163417591647</c:v>
                </c:pt>
                <c:pt idx="716">
                  <c:v>190.29474862419553</c:v>
                </c:pt>
                <c:pt idx="717">
                  <c:v>190.45797966607597</c:v>
                </c:pt>
                <c:pt idx="718">
                  <c:v>188.68109318160623</c:v>
                </c:pt>
                <c:pt idx="719">
                  <c:v>187.76233560302217</c:v>
                </c:pt>
                <c:pt idx="720">
                  <c:v>188.19140005596498</c:v>
                </c:pt>
                <c:pt idx="721">
                  <c:v>186.88088797686788</c:v>
                </c:pt>
                <c:pt idx="722">
                  <c:v>188.3033299132544</c:v>
                </c:pt>
                <c:pt idx="723">
                  <c:v>184.56767092621962</c:v>
                </c:pt>
                <c:pt idx="724">
                  <c:v>181.54090103535123</c:v>
                </c:pt>
                <c:pt idx="725">
                  <c:v>180.92062307620563</c:v>
                </c:pt>
                <c:pt idx="726">
                  <c:v>181.18645648726803</c:v>
                </c:pt>
                <c:pt idx="727">
                  <c:v>180.12312284301845</c:v>
                </c:pt>
                <c:pt idx="728">
                  <c:v>178.44417498367696</c:v>
                </c:pt>
                <c:pt idx="729">
                  <c:v>179.51217237198031</c:v>
                </c:pt>
                <c:pt idx="730">
                  <c:v>180.3936199981346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59-4C94-BDB6-F57A146136EF}"/>
            </c:ext>
          </c:extLst>
        </c:ser>
        <c:ser>
          <c:idx val="2"/>
          <c:order val="2"/>
          <c:tx>
            <c:strRef>
              <c:f>Index!$R$1</c:f>
              <c:strCache>
                <c:ptCount val="1"/>
                <c:pt idx="0">
                  <c:v>MSCI Word Real Estate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Index!$R$2:$R$732</c:f>
              <c:numCache>
                <c:formatCode>General</c:formatCode>
                <c:ptCount val="731"/>
                <c:pt idx="0">
                  <c:v>100</c:v>
                </c:pt>
                <c:pt idx="1">
                  <c:v>99.642362713428696</c:v>
                </c:pt>
                <c:pt idx="2">
                  <c:v>99.68850946008304</c:v>
                </c:pt>
                <c:pt idx="3">
                  <c:v>98.41947392708812</c:v>
                </c:pt>
                <c:pt idx="4">
                  <c:v>96.446700507614182</c:v>
                </c:pt>
                <c:pt idx="5">
                  <c:v>96.077526534379302</c:v>
                </c:pt>
                <c:pt idx="6">
                  <c:v>95.189201661282851</c:v>
                </c:pt>
                <c:pt idx="7">
                  <c:v>96.83894785417624</c:v>
                </c:pt>
                <c:pt idx="8">
                  <c:v>95.627595754499268</c:v>
                </c:pt>
                <c:pt idx="9">
                  <c:v>94.266266728195617</c:v>
                </c:pt>
                <c:pt idx="10">
                  <c:v>90.655283802491894</c:v>
                </c:pt>
                <c:pt idx="11">
                  <c:v>94.531610521458219</c:v>
                </c:pt>
                <c:pt idx="12">
                  <c:v>93.677895708352551</c:v>
                </c:pt>
                <c:pt idx="13">
                  <c:v>92.443470235348386</c:v>
                </c:pt>
                <c:pt idx="14">
                  <c:v>91.243654822335017</c:v>
                </c:pt>
                <c:pt idx="15">
                  <c:v>92.593447161975078</c:v>
                </c:pt>
                <c:pt idx="16">
                  <c:v>92.985694508537136</c:v>
                </c:pt>
                <c:pt idx="17">
                  <c:v>95.696815874480833</c:v>
                </c:pt>
                <c:pt idx="18">
                  <c:v>98.615597600369156</c:v>
                </c:pt>
                <c:pt idx="19">
                  <c:v>100.32302722658049</c:v>
                </c:pt>
                <c:pt idx="20">
                  <c:v>102.16889709275493</c:v>
                </c:pt>
                <c:pt idx="21">
                  <c:v>102.11121365943698</c:v>
                </c:pt>
                <c:pt idx="22">
                  <c:v>105.32994923857865</c:v>
                </c:pt>
                <c:pt idx="23">
                  <c:v>106.21827411167509</c:v>
                </c:pt>
                <c:pt idx="24">
                  <c:v>106.18366405168433</c:v>
                </c:pt>
                <c:pt idx="25">
                  <c:v>103.73788647900319</c:v>
                </c:pt>
                <c:pt idx="26">
                  <c:v>105.79141670512224</c:v>
                </c:pt>
                <c:pt idx="27">
                  <c:v>105.89524688509456</c:v>
                </c:pt>
                <c:pt idx="28">
                  <c:v>105.68758652514994</c:v>
                </c:pt>
                <c:pt idx="29">
                  <c:v>107.46423627134284</c:v>
                </c:pt>
                <c:pt idx="30">
                  <c:v>108.30641439778492</c:v>
                </c:pt>
                <c:pt idx="31">
                  <c:v>106.99123211813563</c:v>
                </c:pt>
                <c:pt idx="32">
                  <c:v>109.18320258421777</c:v>
                </c:pt>
                <c:pt idx="33">
                  <c:v>112.04430087678814</c:v>
                </c:pt>
                <c:pt idx="34">
                  <c:v>112.65574526995843</c:v>
                </c:pt>
                <c:pt idx="35">
                  <c:v>114.35163820950621</c:v>
                </c:pt>
                <c:pt idx="36">
                  <c:v>114.4670050761421</c:v>
                </c:pt>
                <c:pt idx="37">
                  <c:v>116.03599446239038</c:v>
                </c:pt>
                <c:pt idx="38">
                  <c:v>116.67051222888784</c:v>
                </c:pt>
                <c:pt idx="39">
                  <c:v>122.21965851407474</c:v>
                </c:pt>
                <c:pt idx="40">
                  <c:v>124.23857868020303</c:v>
                </c:pt>
                <c:pt idx="41">
                  <c:v>123.93862482694971</c:v>
                </c:pt>
                <c:pt idx="42">
                  <c:v>121.27365020766035</c:v>
                </c:pt>
                <c:pt idx="43">
                  <c:v>122.04660821412091</c:v>
                </c:pt>
                <c:pt idx="44">
                  <c:v>122.88878634056297</c:v>
                </c:pt>
                <c:pt idx="45">
                  <c:v>122.7503461005999</c:v>
                </c:pt>
                <c:pt idx="46">
                  <c:v>120.50069220119981</c:v>
                </c:pt>
                <c:pt idx="47">
                  <c:v>123.68481772035071</c:v>
                </c:pt>
                <c:pt idx="48">
                  <c:v>125.58837101984309</c:v>
                </c:pt>
                <c:pt idx="49">
                  <c:v>126.84586986617443</c:v>
                </c:pt>
                <c:pt idx="50">
                  <c:v>126.93816335948314</c:v>
                </c:pt>
                <c:pt idx="51">
                  <c:v>127.99953853253344</c:v>
                </c:pt>
                <c:pt idx="52">
                  <c:v>130.42224273188737</c:v>
                </c:pt>
                <c:pt idx="53">
                  <c:v>135.26765113059525</c:v>
                </c:pt>
                <c:pt idx="54">
                  <c:v>135.07152745731423</c:v>
                </c:pt>
                <c:pt idx="55">
                  <c:v>139.25934471619746</c:v>
                </c:pt>
                <c:pt idx="56">
                  <c:v>136.89432395016146</c:v>
                </c:pt>
                <c:pt idx="57">
                  <c:v>139.582371942778</c:v>
                </c:pt>
                <c:pt idx="58">
                  <c:v>141.53207198892477</c:v>
                </c:pt>
                <c:pt idx="59">
                  <c:v>140.64374711582832</c:v>
                </c:pt>
                <c:pt idx="60">
                  <c:v>141.37055837563452</c:v>
                </c:pt>
                <c:pt idx="61">
                  <c:v>144.20858329487771</c:v>
                </c:pt>
                <c:pt idx="62">
                  <c:v>139.20166128287954</c:v>
                </c:pt>
                <c:pt idx="63">
                  <c:v>142.95108444854637</c:v>
                </c:pt>
                <c:pt idx="64">
                  <c:v>142.39732348869404</c:v>
                </c:pt>
                <c:pt idx="65">
                  <c:v>145.91601292108905</c:v>
                </c:pt>
                <c:pt idx="66">
                  <c:v>142.46654360867558</c:v>
                </c:pt>
                <c:pt idx="67">
                  <c:v>137.2519612367328</c:v>
                </c:pt>
                <c:pt idx="68">
                  <c:v>134.06783571758189</c:v>
                </c:pt>
                <c:pt idx="69">
                  <c:v>131.5759113982464</c:v>
                </c:pt>
                <c:pt idx="70">
                  <c:v>128.73788647900321</c:v>
                </c:pt>
                <c:pt idx="71">
                  <c:v>124.91924319335484</c:v>
                </c:pt>
                <c:pt idx="72">
                  <c:v>129.25703737886477</c:v>
                </c:pt>
                <c:pt idx="73">
                  <c:v>136.10982925703735</c:v>
                </c:pt>
                <c:pt idx="74">
                  <c:v>134.25242270419932</c:v>
                </c:pt>
                <c:pt idx="75">
                  <c:v>135.7983387171204</c:v>
                </c:pt>
                <c:pt idx="76">
                  <c:v>135.5791416705122</c:v>
                </c:pt>
                <c:pt idx="77">
                  <c:v>136.55976003691737</c:v>
                </c:pt>
                <c:pt idx="78">
                  <c:v>138.80941393631747</c:v>
                </c:pt>
                <c:pt idx="79">
                  <c:v>139.73234886940472</c:v>
                </c:pt>
                <c:pt idx="80">
                  <c:v>141.19750807568067</c:v>
                </c:pt>
                <c:pt idx="81">
                  <c:v>137.69035532994923</c:v>
                </c:pt>
                <c:pt idx="82">
                  <c:v>137.64420858329487</c:v>
                </c:pt>
                <c:pt idx="83">
                  <c:v>139.57083525611444</c:v>
                </c:pt>
                <c:pt idx="84">
                  <c:v>138.71712044300875</c:v>
                </c:pt>
                <c:pt idx="85">
                  <c:v>142.36271342870327</c:v>
                </c:pt>
                <c:pt idx="86">
                  <c:v>144.53161052145822</c:v>
                </c:pt>
                <c:pt idx="87">
                  <c:v>146.30826026765112</c:v>
                </c:pt>
                <c:pt idx="88">
                  <c:v>147.80802953391787</c:v>
                </c:pt>
                <c:pt idx="89">
                  <c:v>147.38117212736503</c:v>
                </c:pt>
                <c:pt idx="90">
                  <c:v>145.66220581449008</c:v>
                </c:pt>
                <c:pt idx="91">
                  <c:v>147.39270881402862</c:v>
                </c:pt>
                <c:pt idx="92">
                  <c:v>148.98477157360406</c:v>
                </c:pt>
                <c:pt idx="93">
                  <c:v>149.42316566682052</c:v>
                </c:pt>
                <c:pt idx="94">
                  <c:v>149.33087217351178</c:v>
                </c:pt>
                <c:pt idx="95">
                  <c:v>151.25749884633134</c:v>
                </c:pt>
                <c:pt idx="96">
                  <c:v>154.96077526534376</c:v>
                </c:pt>
                <c:pt idx="97">
                  <c:v>158.98707891093673</c:v>
                </c:pt>
                <c:pt idx="98">
                  <c:v>158.74480849100132</c:v>
                </c:pt>
                <c:pt idx="99">
                  <c:v>162.54037840332248</c:v>
                </c:pt>
                <c:pt idx="100">
                  <c:v>165.47069681587442</c:v>
                </c:pt>
                <c:pt idx="101">
                  <c:v>163.2671896631287</c:v>
                </c:pt>
                <c:pt idx="102">
                  <c:v>165.06691278264879</c:v>
                </c:pt>
                <c:pt idx="103">
                  <c:v>168.1818181818181</c:v>
                </c:pt>
                <c:pt idx="104">
                  <c:v>170.59298569450846</c:v>
                </c:pt>
                <c:pt idx="105">
                  <c:v>163.02491924319327</c:v>
                </c:pt>
                <c:pt idx="106">
                  <c:v>163.87863405629895</c:v>
                </c:pt>
                <c:pt idx="107">
                  <c:v>163.99400092293484</c:v>
                </c:pt>
                <c:pt idx="108">
                  <c:v>163.05952930318404</c:v>
                </c:pt>
                <c:pt idx="109">
                  <c:v>164.70927549607742</c:v>
                </c:pt>
                <c:pt idx="110">
                  <c:v>166.97046608214106</c:v>
                </c:pt>
                <c:pt idx="111">
                  <c:v>167.91647438855549</c:v>
                </c:pt>
                <c:pt idx="112">
                  <c:v>165.27457314259328</c:v>
                </c:pt>
                <c:pt idx="113">
                  <c:v>167.01661282879542</c:v>
                </c:pt>
                <c:pt idx="114">
                  <c:v>165.78218735579125</c:v>
                </c:pt>
                <c:pt idx="115">
                  <c:v>165.67835717581897</c:v>
                </c:pt>
                <c:pt idx="116">
                  <c:v>160.70604522381157</c:v>
                </c:pt>
                <c:pt idx="117">
                  <c:v>160.50992155053052</c:v>
                </c:pt>
                <c:pt idx="118">
                  <c:v>160.9252422704198</c:v>
                </c:pt>
                <c:pt idx="119">
                  <c:v>161.05214582371926</c:v>
                </c:pt>
                <c:pt idx="120">
                  <c:v>162.85186894323934</c:v>
                </c:pt>
                <c:pt idx="121">
                  <c:v>165.30918320258405</c:v>
                </c:pt>
                <c:pt idx="122">
                  <c:v>165.70143054914612</c:v>
                </c:pt>
                <c:pt idx="123">
                  <c:v>164.29395477618812</c:v>
                </c:pt>
                <c:pt idx="124">
                  <c:v>166.28980156898922</c:v>
                </c:pt>
                <c:pt idx="125">
                  <c:v>165.56299030918305</c:v>
                </c:pt>
                <c:pt idx="126">
                  <c:v>167.84725426857392</c:v>
                </c:pt>
                <c:pt idx="127">
                  <c:v>169.40470696815859</c:v>
                </c:pt>
                <c:pt idx="128">
                  <c:v>173.02722658052591</c:v>
                </c:pt>
                <c:pt idx="129">
                  <c:v>171.52745731425921</c:v>
                </c:pt>
                <c:pt idx="130">
                  <c:v>171.55053068758636</c:v>
                </c:pt>
                <c:pt idx="131">
                  <c:v>172.50807568066435</c:v>
                </c:pt>
                <c:pt idx="132">
                  <c:v>174.53853253345622</c:v>
                </c:pt>
                <c:pt idx="133">
                  <c:v>177.38809413936301</c:v>
                </c:pt>
                <c:pt idx="134">
                  <c:v>179.63774803876311</c:v>
                </c:pt>
                <c:pt idx="135">
                  <c:v>178.06875865251482</c:v>
                </c:pt>
                <c:pt idx="136">
                  <c:v>179.32625749884616</c:v>
                </c:pt>
                <c:pt idx="137">
                  <c:v>176.37286571296707</c:v>
                </c:pt>
                <c:pt idx="138">
                  <c:v>176.49976926626658</c:v>
                </c:pt>
                <c:pt idx="139">
                  <c:v>181.7835717581909</c:v>
                </c:pt>
                <c:pt idx="140">
                  <c:v>183.8947854176279</c:v>
                </c:pt>
                <c:pt idx="141">
                  <c:v>182.24503922473448</c:v>
                </c:pt>
                <c:pt idx="142">
                  <c:v>179.19935394554668</c:v>
                </c:pt>
                <c:pt idx="143">
                  <c:v>182.16428241808936</c:v>
                </c:pt>
                <c:pt idx="144">
                  <c:v>175.77295800646041</c:v>
                </c:pt>
                <c:pt idx="145">
                  <c:v>174.4808491001383</c:v>
                </c:pt>
                <c:pt idx="146">
                  <c:v>172.95800646054437</c:v>
                </c:pt>
                <c:pt idx="147">
                  <c:v>175.03461005999063</c:v>
                </c:pt>
                <c:pt idx="148">
                  <c:v>176.36132902630351</c:v>
                </c:pt>
                <c:pt idx="149">
                  <c:v>180.12228887863392</c:v>
                </c:pt>
                <c:pt idx="150">
                  <c:v>181.77203507152734</c:v>
                </c:pt>
                <c:pt idx="151">
                  <c:v>183.62944162436534</c:v>
                </c:pt>
                <c:pt idx="152">
                  <c:v>183.79095523765562</c:v>
                </c:pt>
                <c:pt idx="153">
                  <c:v>184.07937240424536</c:v>
                </c:pt>
                <c:pt idx="154">
                  <c:v>187.45962159667729</c:v>
                </c:pt>
                <c:pt idx="155">
                  <c:v>190.29764651592046</c:v>
                </c:pt>
                <c:pt idx="156">
                  <c:v>190.06691278264867</c:v>
                </c:pt>
                <c:pt idx="157">
                  <c:v>196.38901707429611</c:v>
                </c:pt>
                <c:pt idx="158">
                  <c:v>196.86202122750333</c:v>
                </c:pt>
                <c:pt idx="159">
                  <c:v>195.66220581448997</c:v>
                </c:pt>
                <c:pt idx="160">
                  <c:v>201.02676511305941</c:v>
                </c:pt>
                <c:pt idx="161">
                  <c:v>200.05768343331783</c:v>
                </c:pt>
                <c:pt idx="162">
                  <c:v>198.71942778034136</c:v>
                </c:pt>
                <c:pt idx="163">
                  <c:v>199.13474850023061</c:v>
                </c:pt>
                <c:pt idx="164">
                  <c:v>204.70696815874467</c:v>
                </c:pt>
                <c:pt idx="165">
                  <c:v>204.74157821873547</c:v>
                </c:pt>
                <c:pt idx="166">
                  <c:v>205.92985694508528</c:v>
                </c:pt>
                <c:pt idx="167">
                  <c:v>212.36732810336861</c:v>
                </c:pt>
                <c:pt idx="168">
                  <c:v>210.20996769727722</c:v>
                </c:pt>
                <c:pt idx="169">
                  <c:v>212.93262574988449</c:v>
                </c:pt>
                <c:pt idx="170">
                  <c:v>211.82510383017987</c:v>
                </c:pt>
                <c:pt idx="171">
                  <c:v>206.64513151822786</c:v>
                </c:pt>
                <c:pt idx="172">
                  <c:v>212.07891093677884</c:v>
                </c:pt>
                <c:pt idx="173">
                  <c:v>212.88647900323014</c:v>
                </c:pt>
                <c:pt idx="174">
                  <c:v>217.30502999538521</c:v>
                </c:pt>
                <c:pt idx="175">
                  <c:v>214.92847254268563</c:v>
                </c:pt>
                <c:pt idx="176">
                  <c:v>204.53391785879083</c:v>
                </c:pt>
                <c:pt idx="177">
                  <c:v>205.81449007844935</c:v>
                </c:pt>
                <c:pt idx="178">
                  <c:v>208.44485463774791</c:v>
                </c:pt>
                <c:pt idx="179">
                  <c:v>204.32625749884622</c:v>
                </c:pt>
                <c:pt idx="180">
                  <c:v>203.42639593908618</c:v>
                </c:pt>
                <c:pt idx="181">
                  <c:v>201.54591601292094</c:v>
                </c:pt>
                <c:pt idx="182">
                  <c:v>209.91001384402384</c:v>
                </c:pt>
                <c:pt idx="183">
                  <c:v>211.94047069681574</c:v>
                </c:pt>
                <c:pt idx="184">
                  <c:v>206.58744808490985</c:v>
                </c:pt>
                <c:pt idx="185">
                  <c:v>208.34102445777557</c:v>
                </c:pt>
                <c:pt idx="186">
                  <c:v>217.18966312874926</c:v>
                </c:pt>
                <c:pt idx="187">
                  <c:v>220.23534840793707</c:v>
                </c:pt>
                <c:pt idx="188">
                  <c:v>216.69358560221488</c:v>
                </c:pt>
                <c:pt idx="189">
                  <c:v>220.74296262113504</c:v>
                </c:pt>
                <c:pt idx="190">
                  <c:v>219.20858329487751</c:v>
                </c:pt>
                <c:pt idx="191">
                  <c:v>223.85786802030435</c:v>
                </c:pt>
                <c:pt idx="192">
                  <c:v>223.35025380710638</c:v>
                </c:pt>
                <c:pt idx="193">
                  <c:v>226.66128287955675</c:v>
                </c:pt>
                <c:pt idx="194">
                  <c:v>225.62298107983364</c:v>
                </c:pt>
                <c:pt idx="195">
                  <c:v>227.66497461928913</c:v>
                </c:pt>
                <c:pt idx="196">
                  <c:v>232.53345639132419</c:v>
                </c:pt>
                <c:pt idx="197">
                  <c:v>234.29856945085348</c:v>
                </c:pt>
                <c:pt idx="198">
                  <c:v>237.22888786340536</c:v>
                </c:pt>
                <c:pt idx="199">
                  <c:v>239.70927549607728</c:v>
                </c:pt>
                <c:pt idx="200">
                  <c:v>237.19427780341462</c:v>
                </c:pt>
                <c:pt idx="201">
                  <c:v>239.08629441624342</c:v>
                </c:pt>
                <c:pt idx="202">
                  <c:v>241.55514536225172</c:v>
                </c:pt>
                <c:pt idx="203">
                  <c:v>251.4190124596214</c:v>
                </c:pt>
                <c:pt idx="204">
                  <c:v>252.81495154591579</c:v>
                </c:pt>
                <c:pt idx="205">
                  <c:v>253.55329949238561</c:v>
                </c:pt>
                <c:pt idx="206">
                  <c:v>254.86848177203487</c:v>
                </c:pt>
                <c:pt idx="207">
                  <c:v>253.04568527918764</c:v>
                </c:pt>
                <c:pt idx="208">
                  <c:v>259.32164282418074</c:v>
                </c:pt>
                <c:pt idx="209">
                  <c:v>256.51822796492831</c:v>
                </c:pt>
                <c:pt idx="210">
                  <c:v>260.44070143054898</c:v>
                </c:pt>
                <c:pt idx="211">
                  <c:v>267.27041993539439</c:v>
                </c:pt>
                <c:pt idx="212">
                  <c:v>269.90078449469291</c:v>
                </c:pt>
                <c:pt idx="213">
                  <c:v>278.72634979233942</c:v>
                </c:pt>
                <c:pt idx="214">
                  <c:v>281.88740193816318</c:v>
                </c:pt>
                <c:pt idx="215">
                  <c:v>283.83710198430992</c:v>
                </c:pt>
                <c:pt idx="216">
                  <c:v>286.64051684356235</c:v>
                </c:pt>
                <c:pt idx="217">
                  <c:v>268.49330872173493</c:v>
                </c:pt>
                <c:pt idx="218">
                  <c:v>272.08121827411151</c:v>
                </c:pt>
                <c:pt idx="219">
                  <c:v>266.82048915551434</c:v>
                </c:pt>
                <c:pt idx="220">
                  <c:v>277.15736040609113</c:v>
                </c:pt>
                <c:pt idx="221">
                  <c:v>274.907706506691</c:v>
                </c:pt>
                <c:pt idx="222">
                  <c:v>277.48038763267164</c:v>
                </c:pt>
                <c:pt idx="223">
                  <c:v>275.49607752653412</c:v>
                </c:pt>
                <c:pt idx="224">
                  <c:v>278.42639593908604</c:v>
                </c:pt>
                <c:pt idx="225">
                  <c:v>278.39178587909527</c:v>
                </c:pt>
                <c:pt idx="226">
                  <c:v>279.79926165205325</c:v>
                </c:pt>
                <c:pt idx="227">
                  <c:v>280.43377941855073</c:v>
                </c:pt>
                <c:pt idx="228">
                  <c:v>271.15828334102417</c:v>
                </c:pt>
                <c:pt idx="229">
                  <c:v>268.30872173511739</c:v>
                </c:pt>
                <c:pt idx="230">
                  <c:v>279.33779418550967</c:v>
                </c:pt>
                <c:pt idx="231">
                  <c:v>267.91647438855534</c:v>
                </c:pt>
                <c:pt idx="232">
                  <c:v>266.45131518227942</c:v>
                </c:pt>
                <c:pt idx="233">
                  <c:v>261.5251499769264</c:v>
                </c:pt>
                <c:pt idx="234">
                  <c:v>257.98338717120419</c:v>
                </c:pt>
                <c:pt idx="235">
                  <c:v>264.01707429626185</c:v>
                </c:pt>
                <c:pt idx="236">
                  <c:v>263.78634056299006</c:v>
                </c:pt>
                <c:pt idx="237">
                  <c:v>259.69081679741555</c:v>
                </c:pt>
                <c:pt idx="238">
                  <c:v>241.09367789570814</c:v>
                </c:pt>
                <c:pt idx="239">
                  <c:v>241.63590216889691</c:v>
                </c:pt>
                <c:pt idx="240">
                  <c:v>244.10475311490521</c:v>
                </c:pt>
                <c:pt idx="241">
                  <c:v>231.610521458237</c:v>
                </c:pt>
                <c:pt idx="242">
                  <c:v>246.82741116751248</c:v>
                </c:pt>
                <c:pt idx="243">
                  <c:v>249.28472542685722</c:v>
                </c:pt>
                <c:pt idx="244">
                  <c:v>243.75865251499749</c:v>
                </c:pt>
                <c:pt idx="245">
                  <c:v>250.93447161975058</c:v>
                </c:pt>
                <c:pt idx="246">
                  <c:v>256.72588832487287</c:v>
                </c:pt>
                <c:pt idx="247">
                  <c:v>265.53991693585573</c:v>
                </c:pt>
                <c:pt idx="248">
                  <c:v>272.3580987540376</c:v>
                </c:pt>
                <c:pt idx="249">
                  <c:v>271.6312874942314</c:v>
                </c:pt>
                <c:pt idx="250">
                  <c:v>258.75634517766474</c:v>
                </c:pt>
                <c:pt idx="251">
                  <c:v>268.05491462851842</c:v>
                </c:pt>
                <c:pt idx="252">
                  <c:v>262.02122750346075</c:v>
                </c:pt>
                <c:pt idx="253">
                  <c:v>252.4111675126901</c:v>
                </c:pt>
                <c:pt idx="254">
                  <c:v>245.26995846792778</c:v>
                </c:pt>
                <c:pt idx="255">
                  <c:v>241.69358560221482</c:v>
                </c:pt>
                <c:pt idx="256">
                  <c:v>252.93031841255169</c:v>
                </c:pt>
                <c:pt idx="257">
                  <c:v>256.806645131518</c:v>
                </c:pt>
                <c:pt idx="258">
                  <c:v>239.98615597600349</c:v>
                </c:pt>
                <c:pt idx="259">
                  <c:v>235.80987540378382</c:v>
                </c:pt>
                <c:pt idx="260">
                  <c:v>236.12136594370074</c:v>
                </c:pt>
                <c:pt idx="261">
                  <c:v>230.53760959852312</c:v>
                </c:pt>
                <c:pt idx="262">
                  <c:v>221.34287032764172</c:v>
                </c:pt>
                <c:pt idx="263">
                  <c:v>216.70512228887844</c:v>
                </c:pt>
                <c:pt idx="264">
                  <c:v>227.57268112598041</c:v>
                </c:pt>
                <c:pt idx="265">
                  <c:v>231.42593447161954</c:v>
                </c:pt>
                <c:pt idx="266">
                  <c:v>217.03968620212257</c:v>
                </c:pt>
                <c:pt idx="267">
                  <c:v>220.35071527457293</c:v>
                </c:pt>
                <c:pt idx="268">
                  <c:v>215.75911398246404</c:v>
                </c:pt>
                <c:pt idx="269">
                  <c:v>219.7738809413934</c:v>
                </c:pt>
                <c:pt idx="270">
                  <c:v>207.29118597138881</c:v>
                </c:pt>
                <c:pt idx="271">
                  <c:v>206.31056760498367</c:v>
                </c:pt>
                <c:pt idx="272">
                  <c:v>210.20996769727716</c:v>
                </c:pt>
                <c:pt idx="273">
                  <c:v>216.56668204891534</c:v>
                </c:pt>
                <c:pt idx="274">
                  <c:v>229.69543147208097</c:v>
                </c:pt>
                <c:pt idx="275">
                  <c:v>222.72727272727249</c:v>
                </c:pt>
                <c:pt idx="276">
                  <c:v>227.83802491924297</c:v>
                </c:pt>
                <c:pt idx="277">
                  <c:v>232.83341024457749</c:v>
                </c:pt>
                <c:pt idx="278">
                  <c:v>238.32487309644645</c:v>
                </c:pt>
                <c:pt idx="279">
                  <c:v>230.28380249192409</c:v>
                </c:pt>
                <c:pt idx="280">
                  <c:v>236.27134287032737</c:v>
                </c:pt>
                <c:pt idx="281">
                  <c:v>226.75357637286547</c:v>
                </c:pt>
                <c:pt idx="282">
                  <c:v>228.23027226580504</c:v>
                </c:pt>
                <c:pt idx="283">
                  <c:v>224.36548223350229</c:v>
                </c:pt>
                <c:pt idx="284">
                  <c:v>212.42501153668644</c:v>
                </c:pt>
                <c:pt idx="285">
                  <c:v>210.2791878172587</c:v>
                </c:pt>
                <c:pt idx="286">
                  <c:v>200.33456391324393</c:v>
                </c:pt>
                <c:pt idx="287">
                  <c:v>195.68527918781706</c:v>
                </c:pt>
                <c:pt idx="288">
                  <c:v>193.2741116751267</c:v>
                </c:pt>
                <c:pt idx="289">
                  <c:v>194.78541762805705</c:v>
                </c:pt>
                <c:pt idx="290">
                  <c:v>201.09598523304086</c:v>
                </c:pt>
                <c:pt idx="291">
                  <c:v>199.67697277341927</c:v>
                </c:pt>
                <c:pt idx="292">
                  <c:v>198.90401476695871</c:v>
                </c:pt>
                <c:pt idx="293">
                  <c:v>194.78541762805702</c:v>
                </c:pt>
                <c:pt idx="294">
                  <c:v>190.27457314259325</c:v>
                </c:pt>
                <c:pt idx="295">
                  <c:v>195.33917858790934</c:v>
                </c:pt>
                <c:pt idx="296">
                  <c:v>186.58283341024438</c:v>
                </c:pt>
                <c:pt idx="297">
                  <c:v>194.12782648823239</c:v>
                </c:pt>
                <c:pt idx="298">
                  <c:v>191.58975542224252</c:v>
                </c:pt>
                <c:pt idx="299">
                  <c:v>183.32948777111196</c:v>
                </c:pt>
                <c:pt idx="300">
                  <c:v>161.27134287032749</c:v>
                </c:pt>
                <c:pt idx="301">
                  <c:v>134.86386709736954</c:v>
                </c:pt>
                <c:pt idx="302">
                  <c:v>132.62574988463302</c:v>
                </c:pt>
                <c:pt idx="303">
                  <c:v>116.95892939547753</c:v>
                </c:pt>
                <c:pt idx="304">
                  <c:v>128.77249653899389</c:v>
                </c:pt>
                <c:pt idx="305">
                  <c:v>126.83433317951074</c:v>
                </c:pt>
                <c:pt idx="306">
                  <c:v>110.31379787724956</c:v>
                </c:pt>
                <c:pt idx="307">
                  <c:v>94.370096908167881</c:v>
                </c:pt>
                <c:pt idx="308">
                  <c:v>111.52514997692653</c:v>
                </c:pt>
                <c:pt idx="309">
                  <c:v>105.68758652514988</c:v>
                </c:pt>
                <c:pt idx="310">
                  <c:v>111.99815413013373</c:v>
                </c:pt>
                <c:pt idx="311">
                  <c:v>121.20443008767872</c:v>
                </c:pt>
                <c:pt idx="312">
                  <c:v>118.41255191508988</c:v>
                </c:pt>
                <c:pt idx="313">
                  <c:v>120.70835256114432</c:v>
                </c:pt>
                <c:pt idx="314">
                  <c:v>119.32395016151352</c:v>
                </c:pt>
                <c:pt idx="315">
                  <c:v>108.90632210429156</c:v>
                </c:pt>
                <c:pt idx="316">
                  <c:v>104.3724042455006</c:v>
                </c:pt>
                <c:pt idx="317">
                  <c:v>105.66451315182272</c:v>
                </c:pt>
                <c:pt idx="318">
                  <c:v>104.08398707891085</c:v>
                </c:pt>
                <c:pt idx="319">
                  <c:v>97.588832487309574</c:v>
                </c:pt>
                <c:pt idx="320">
                  <c:v>89.455468389478483</c:v>
                </c:pt>
                <c:pt idx="321">
                  <c:v>86.605906783571683</c:v>
                </c:pt>
                <c:pt idx="322">
                  <c:v>78.368712505768286</c:v>
                </c:pt>
                <c:pt idx="323">
                  <c:v>87.459621596677366</c:v>
                </c:pt>
                <c:pt idx="324">
                  <c:v>89.017074296262038</c:v>
                </c:pt>
                <c:pt idx="325">
                  <c:v>95.916012921088992</c:v>
                </c:pt>
                <c:pt idx="326">
                  <c:v>103.39178587909545</c:v>
                </c:pt>
                <c:pt idx="327">
                  <c:v>106.50669127826481</c:v>
                </c:pt>
                <c:pt idx="328">
                  <c:v>110.23304107060444</c:v>
                </c:pt>
                <c:pt idx="329">
                  <c:v>109.31010613751722</c:v>
                </c:pt>
                <c:pt idx="330">
                  <c:v>108.90632210429158</c:v>
                </c:pt>
                <c:pt idx="331">
                  <c:v>117.90493770189192</c:v>
                </c:pt>
                <c:pt idx="332">
                  <c:v>111.06368251038292</c:v>
                </c:pt>
                <c:pt idx="333">
                  <c:v>114.10936778957074</c:v>
                </c:pt>
                <c:pt idx="334">
                  <c:v>124.55006922011988</c:v>
                </c:pt>
                <c:pt idx="335">
                  <c:v>126.75357637286561</c:v>
                </c:pt>
                <c:pt idx="336">
                  <c:v>127.13428703276409</c:v>
                </c:pt>
                <c:pt idx="337">
                  <c:v>121.29672358098745</c:v>
                </c:pt>
                <c:pt idx="338">
                  <c:v>124.51545916012911</c:v>
                </c:pt>
                <c:pt idx="339">
                  <c:v>121.15828334102434</c:v>
                </c:pt>
                <c:pt idx="340">
                  <c:v>116.72819566220571</c:v>
                </c:pt>
                <c:pt idx="341">
                  <c:v>124.41162898015678</c:v>
                </c:pt>
                <c:pt idx="342">
                  <c:v>130.57221965851394</c:v>
                </c:pt>
                <c:pt idx="343">
                  <c:v>135.93677895708339</c:v>
                </c:pt>
                <c:pt idx="344">
                  <c:v>140.98984771573589</c:v>
                </c:pt>
                <c:pt idx="345">
                  <c:v>141.78587909552363</c:v>
                </c:pt>
                <c:pt idx="346">
                  <c:v>140.56299030918305</c:v>
                </c:pt>
                <c:pt idx="347">
                  <c:v>144.00092293493293</c:v>
                </c:pt>
                <c:pt idx="348">
                  <c:v>140.35532994923841</c:v>
                </c:pt>
                <c:pt idx="349">
                  <c:v>149.51545916012901</c:v>
                </c:pt>
                <c:pt idx="350">
                  <c:v>154.00323027226563</c:v>
                </c:pt>
                <c:pt idx="351">
                  <c:v>147.70419935394537</c:v>
                </c:pt>
                <c:pt idx="352">
                  <c:v>143.21642824180879</c:v>
                </c:pt>
                <c:pt idx="353">
                  <c:v>150.47300415320703</c:v>
                </c:pt>
                <c:pt idx="354">
                  <c:v>150.78449469312395</c:v>
                </c:pt>
                <c:pt idx="355">
                  <c:v>153.17258883248715</c:v>
                </c:pt>
                <c:pt idx="356">
                  <c:v>147.76188278726335</c:v>
                </c:pt>
                <c:pt idx="357">
                  <c:v>146.27365020766018</c:v>
                </c:pt>
                <c:pt idx="358">
                  <c:v>150.74988463313318</c:v>
                </c:pt>
                <c:pt idx="359">
                  <c:v>148.30410706045208</c:v>
                </c:pt>
                <c:pt idx="360">
                  <c:v>144.49700046146731</c:v>
                </c:pt>
                <c:pt idx="361">
                  <c:v>153.2302722658051</c:v>
                </c:pt>
                <c:pt idx="362">
                  <c:v>150.87678818643269</c:v>
                </c:pt>
                <c:pt idx="363">
                  <c:v>149.57314259344702</c:v>
                </c:pt>
                <c:pt idx="364">
                  <c:v>152.72265805260713</c:v>
                </c:pt>
                <c:pt idx="365">
                  <c:v>153.3341024457774</c:v>
                </c:pt>
                <c:pt idx="366">
                  <c:v>154.92616520535285</c:v>
                </c:pt>
                <c:pt idx="367">
                  <c:v>153.50715274573125</c:v>
                </c:pt>
                <c:pt idx="368">
                  <c:v>147.86571296723562</c:v>
                </c:pt>
                <c:pt idx="369">
                  <c:v>144.10475311490524</c:v>
                </c:pt>
                <c:pt idx="370">
                  <c:v>142.36271342870313</c:v>
                </c:pt>
                <c:pt idx="371">
                  <c:v>143.25103830179958</c:v>
                </c:pt>
                <c:pt idx="372">
                  <c:v>144.646977388094</c:v>
                </c:pt>
                <c:pt idx="373">
                  <c:v>147.90032302722645</c:v>
                </c:pt>
                <c:pt idx="374">
                  <c:v>151.77664974619279</c:v>
                </c:pt>
                <c:pt idx="375">
                  <c:v>155.02999538532524</c:v>
                </c:pt>
                <c:pt idx="376">
                  <c:v>156.87586525149965</c:v>
                </c:pt>
                <c:pt idx="377">
                  <c:v>156.97969543147195</c:v>
                </c:pt>
                <c:pt idx="378">
                  <c:v>157.78726349792328</c:v>
                </c:pt>
                <c:pt idx="379">
                  <c:v>160.35994462390389</c:v>
                </c:pt>
                <c:pt idx="380">
                  <c:v>159.1485925242269</c:v>
                </c:pt>
                <c:pt idx="381">
                  <c:v>160.10613751730492</c:v>
                </c:pt>
                <c:pt idx="382">
                  <c:v>159.88694047069671</c:v>
                </c:pt>
                <c:pt idx="383">
                  <c:v>149.04245500692193</c:v>
                </c:pt>
                <c:pt idx="384">
                  <c:v>151.39593908629433</c:v>
                </c:pt>
                <c:pt idx="385">
                  <c:v>143.17028149515451</c:v>
                </c:pt>
                <c:pt idx="386">
                  <c:v>145.67374250115361</c:v>
                </c:pt>
                <c:pt idx="387">
                  <c:v>142.42039686202116</c:v>
                </c:pt>
                <c:pt idx="388">
                  <c:v>146.63128749423157</c:v>
                </c:pt>
                <c:pt idx="389">
                  <c:v>150.20766035994453</c:v>
                </c:pt>
                <c:pt idx="390">
                  <c:v>148.53484079372396</c:v>
                </c:pt>
                <c:pt idx="391">
                  <c:v>141.56668204891545</c:v>
                </c:pt>
                <c:pt idx="392">
                  <c:v>148.02722658052599</c:v>
                </c:pt>
                <c:pt idx="393">
                  <c:v>147.7964928472542</c:v>
                </c:pt>
                <c:pt idx="394">
                  <c:v>153.78403322565754</c:v>
                </c:pt>
                <c:pt idx="395">
                  <c:v>155.26072911859708</c:v>
                </c:pt>
                <c:pt idx="396">
                  <c:v>159.85233041070597</c:v>
                </c:pt>
                <c:pt idx="397">
                  <c:v>154.1532071988924</c:v>
                </c:pt>
                <c:pt idx="398">
                  <c:v>154.34933087217343</c:v>
                </c:pt>
                <c:pt idx="399">
                  <c:v>155.16843562528837</c:v>
                </c:pt>
                <c:pt idx="400">
                  <c:v>162.217351176742</c:v>
                </c:pt>
                <c:pt idx="401">
                  <c:v>162.14813105676046</c:v>
                </c:pt>
                <c:pt idx="402">
                  <c:v>164.42085832948771</c:v>
                </c:pt>
                <c:pt idx="403">
                  <c:v>167.81264420858324</c:v>
                </c:pt>
                <c:pt idx="404">
                  <c:v>169.75080756806639</c:v>
                </c:pt>
                <c:pt idx="405">
                  <c:v>175.11536686663584</c:v>
                </c:pt>
                <c:pt idx="406">
                  <c:v>177.46885094600827</c:v>
                </c:pt>
                <c:pt idx="407">
                  <c:v>177.33041070604517</c:v>
                </c:pt>
                <c:pt idx="408">
                  <c:v>174.46931241347477</c:v>
                </c:pt>
                <c:pt idx="409">
                  <c:v>184.03322565759109</c:v>
                </c:pt>
                <c:pt idx="410">
                  <c:v>176.07291185971383</c:v>
                </c:pt>
                <c:pt idx="411">
                  <c:v>172.78495616059061</c:v>
                </c:pt>
                <c:pt idx="412">
                  <c:v>169.55468389478534</c:v>
                </c:pt>
                <c:pt idx="413">
                  <c:v>174.5385325334563</c:v>
                </c:pt>
                <c:pt idx="414">
                  <c:v>173.39640055376088</c:v>
                </c:pt>
                <c:pt idx="415">
                  <c:v>172.27734194739264</c:v>
                </c:pt>
                <c:pt idx="416">
                  <c:v>176.75357637286564</c:v>
                </c:pt>
                <c:pt idx="417">
                  <c:v>179.39547761882778</c:v>
                </c:pt>
                <c:pt idx="418">
                  <c:v>180.08767881864318</c:v>
                </c:pt>
                <c:pt idx="419">
                  <c:v>182.55652976465151</c:v>
                </c:pt>
                <c:pt idx="420">
                  <c:v>181.49515459160119</c:v>
                </c:pt>
                <c:pt idx="421">
                  <c:v>182.34886940470687</c:v>
                </c:pt>
                <c:pt idx="422">
                  <c:v>185.01384402399623</c:v>
                </c:pt>
                <c:pt idx="423">
                  <c:v>182.64882325796023</c:v>
                </c:pt>
                <c:pt idx="424">
                  <c:v>185.85602215043829</c:v>
                </c:pt>
                <c:pt idx="425">
                  <c:v>184.13705583756337</c:v>
                </c:pt>
                <c:pt idx="426">
                  <c:v>185.02538071065979</c:v>
                </c:pt>
                <c:pt idx="427">
                  <c:v>182.49884633133354</c:v>
                </c:pt>
                <c:pt idx="428">
                  <c:v>177.58421781264411</c:v>
                </c:pt>
                <c:pt idx="429">
                  <c:v>180.80295339178576</c:v>
                </c:pt>
                <c:pt idx="430">
                  <c:v>183.20258421781253</c:v>
                </c:pt>
                <c:pt idx="431">
                  <c:v>183.64097831102893</c:v>
                </c:pt>
                <c:pt idx="432">
                  <c:v>184.34471619750789</c:v>
                </c:pt>
                <c:pt idx="433">
                  <c:v>186.84817720350699</c:v>
                </c:pt>
                <c:pt idx="434">
                  <c:v>190.21688970927531</c:v>
                </c:pt>
                <c:pt idx="435">
                  <c:v>187.12505768343311</c:v>
                </c:pt>
                <c:pt idx="436">
                  <c:v>185.26765113059511</c:v>
                </c:pt>
                <c:pt idx="437">
                  <c:v>186.20212275034595</c:v>
                </c:pt>
                <c:pt idx="438">
                  <c:v>186.89432395016135</c:v>
                </c:pt>
                <c:pt idx="439">
                  <c:v>185.45223811721257</c:v>
                </c:pt>
                <c:pt idx="440">
                  <c:v>180.61836640516827</c:v>
                </c:pt>
                <c:pt idx="441">
                  <c:v>180.2261190586062</c:v>
                </c:pt>
                <c:pt idx="442">
                  <c:v>179.91462851868926</c:v>
                </c:pt>
                <c:pt idx="443">
                  <c:v>186.34056299030902</c:v>
                </c:pt>
                <c:pt idx="444">
                  <c:v>189.45546838947837</c:v>
                </c:pt>
                <c:pt idx="445">
                  <c:v>184.64467005076125</c:v>
                </c:pt>
                <c:pt idx="446">
                  <c:v>189.0632210429163</c:v>
                </c:pt>
                <c:pt idx="447">
                  <c:v>185.10613751730486</c:v>
                </c:pt>
                <c:pt idx="448">
                  <c:v>167.93954776188264</c:v>
                </c:pt>
                <c:pt idx="449">
                  <c:v>165.85140747577279</c:v>
                </c:pt>
                <c:pt idx="450">
                  <c:v>162.25196123673265</c:v>
                </c:pt>
                <c:pt idx="451">
                  <c:v>165.94370096908156</c:v>
                </c:pt>
                <c:pt idx="452">
                  <c:v>169.27780341485911</c:v>
                </c:pt>
                <c:pt idx="453">
                  <c:v>165.45916012921074</c:v>
                </c:pt>
                <c:pt idx="454">
                  <c:v>166.67051222888773</c:v>
                </c:pt>
                <c:pt idx="455">
                  <c:v>154.10706045223802</c:v>
                </c:pt>
                <c:pt idx="456">
                  <c:v>153.10336871250567</c:v>
                </c:pt>
                <c:pt idx="457">
                  <c:v>153.62251961236723</c:v>
                </c:pt>
                <c:pt idx="458">
                  <c:v>161.92893401015218</c:v>
                </c:pt>
                <c:pt idx="459">
                  <c:v>163.19796954314711</c:v>
                </c:pt>
                <c:pt idx="460">
                  <c:v>174.46931241347474</c:v>
                </c:pt>
                <c:pt idx="461">
                  <c:v>168.66635902168886</c:v>
                </c:pt>
                <c:pt idx="462">
                  <c:v>166.65897554222417</c:v>
                </c:pt>
                <c:pt idx="463">
                  <c:v>159.52930318412541</c:v>
                </c:pt>
                <c:pt idx="464">
                  <c:v>152.11121365943688</c:v>
                </c:pt>
                <c:pt idx="465">
                  <c:v>162.36732810336858</c:v>
                </c:pt>
                <c:pt idx="466">
                  <c:v>160.70604522381157</c:v>
                </c:pt>
                <c:pt idx="467">
                  <c:v>157.83341024457761</c:v>
                </c:pt>
                <c:pt idx="468">
                  <c:v>162.4250115366865</c:v>
                </c:pt>
                <c:pt idx="469">
                  <c:v>161.59437009690799</c:v>
                </c:pt>
                <c:pt idx="470">
                  <c:v>161.7328103368711</c:v>
                </c:pt>
                <c:pt idx="471">
                  <c:v>165.21688970927536</c:v>
                </c:pt>
                <c:pt idx="472">
                  <c:v>171.74665436086744</c:v>
                </c:pt>
                <c:pt idx="473">
                  <c:v>175.69220119981529</c:v>
                </c:pt>
                <c:pt idx="474">
                  <c:v>177.9303184125518</c:v>
                </c:pt>
                <c:pt idx="475">
                  <c:v>176.18827872634969</c:v>
                </c:pt>
                <c:pt idx="476">
                  <c:v>180.61836640516833</c:v>
                </c:pt>
                <c:pt idx="477">
                  <c:v>180.46838947854167</c:v>
                </c:pt>
                <c:pt idx="478">
                  <c:v>180.58375634517756</c:v>
                </c:pt>
                <c:pt idx="479">
                  <c:v>179.26857406552827</c:v>
                </c:pt>
                <c:pt idx="480">
                  <c:v>183.50253807106589</c:v>
                </c:pt>
                <c:pt idx="481">
                  <c:v>179.63774803876316</c:v>
                </c:pt>
                <c:pt idx="482">
                  <c:v>180.67604983848631</c:v>
                </c:pt>
                <c:pt idx="483">
                  <c:v>178.02261190586054</c:v>
                </c:pt>
                <c:pt idx="484">
                  <c:v>177.5957544993077</c:v>
                </c:pt>
                <c:pt idx="485">
                  <c:v>180.96446700507607</c:v>
                </c:pt>
                <c:pt idx="486">
                  <c:v>183.7332718043377</c:v>
                </c:pt>
                <c:pt idx="487">
                  <c:v>182.36040609137046</c:v>
                </c:pt>
                <c:pt idx="488">
                  <c:v>179.24550069220112</c:v>
                </c:pt>
                <c:pt idx="489">
                  <c:v>168.9893862482694</c:v>
                </c:pt>
                <c:pt idx="490">
                  <c:v>171.89663128749413</c:v>
                </c:pt>
                <c:pt idx="491">
                  <c:v>168.89709275496068</c:v>
                </c:pt>
                <c:pt idx="492">
                  <c:v>173.83479464697729</c:v>
                </c:pt>
                <c:pt idx="493">
                  <c:v>176.25749884633123</c:v>
                </c:pt>
                <c:pt idx="494">
                  <c:v>176.31518227964918</c:v>
                </c:pt>
                <c:pt idx="495">
                  <c:v>183.04107060452225</c:v>
                </c:pt>
                <c:pt idx="496">
                  <c:v>185.38301799723106</c:v>
                </c:pt>
                <c:pt idx="497">
                  <c:v>185.64836179049362</c:v>
                </c:pt>
                <c:pt idx="498">
                  <c:v>186.77895708352548</c:v>
                </c:pt>
                <c:pt idx="499">
                  <c:v>188.56714351638198</c:v>
                </c:pt>
                <c:pt idx="500">
                  <c:v>191.13982464236261</c:v>
                </c:pt>
                <c:pt idx="501">
                  <c:v>189.67466543608666</c:v>
                </c:pt>
                <c:pt idx="502">
                  <c:v>190.63221042916464</c:v>
                </c:pt>
                <c:pt idx="503">
                  <c:v>190.15920627595744</c:v>
                </c:pt>
                <c:pt idx="504">
                  <c:v>189.79003230272255</c:v>
                </c:pt>
                <c:pt idx="505">
                  <c:v>193.59713890170732</c:v>
                </c:pt>
                <c:pt idx="506">
                  <c:v>198.37332718043365</c:v>
                </c:pt>
                <c:pt idx="507">
                  <c:v>194.28934010152273</c:v>
                </c:pt>
                <c:pt idx="508">
                  <c:v>193.00876788186423</c:v>
                </c:pt>
                <c:pt idx="509">
                  <c:v>194.53161052145811</c:v>
                </c:pt>
                <c:pt idx="510">
                  <c:v>192.789570835256</c:v>
                </c:pt>
                <c:pt idx="511">
                  <c:v>195.89293954776176</c:v>
                </c:pt>
                <c:pt idx="512">
                  <c:v>193.64328564836165</c:v>
                </c:pt>
                <c:pt idx="513">
                  <c:v>196.08906322104281</c:v>
                </c:pt>
                <c:pt idx="514">
                  <c:v>192.23580987540367</c:v>
                </c:pt>
                <c:pt idx="515">
                  <c:v>189.7323488694046</c:v>
                </c:pt>
                <c:pt idx="516">
                  <c:v>194.39317028149503</c:v>
                </c:pt>
                <c:pt idx="517">
                  <c:v>195.26995846792786</c:v>
                </c:pt>
                <c:pt idx="518">
                  <c:v>197.55422242731873</c:v>
                </c:pt>
                <c:pt idx="519">
                  <c:v>197.94646977388081</c:v>
                </c:pt>
                <c:pt idx="520">
                  <c:v>201.49976926626658</c:v>
                </c:pt>
                <c:pt idx="521">
                  <c:v>201.03830179972297</c:v>
                </c:pt>
                <c:pt idx="522">
                  <c:v>204.82233502538057</c:v>
                </c:pt>
                <c:pt idx="523">
                  <c:v>206.34517766497447</c:v>
                </c:pt>
                <c:pt idx="524">
                  <c:v>207.371942778034</c:v>
                </c:pt>
                <c:pt idx="525">
                  <c:v>208.80249192431921</c:v>
                </c:pt>
                <c:pt idx="526">
                  <c:v>207.64882325796017</c:v>
                </c:pt>
                <c:pt idx="527">
                  <c:v>206.87586525149959</c:v>
                </c:pt>
                <c:pt idx="528">
                  <c:v>206.2874942316565</c:v>
                </c:pt>
                <c:pt idx="529">
                  <c:v>206.35671435163803</c:v>
                </c:pt>
                <c:pt idx="530">
                  <c:v>209.25242270419915</c:v>
                </c:pt>
                <c:pt idx="531">
                  <c:v>210.68297185048434</c:v>
                </c:pt>
                <c:pt idx="532">
                  <c:v>211.84817720350694</c:v>
                </c:pt>
                <c:pt idx="533">
                  <c:v>209.56391324411609</c:v>
                </c:pt>
                <c:pt idx="534">
                  <c:v>212.18274111675106</c:v>
                </c:pt>
                <c:pt idx="535">
                  <c:v>218.23950161513594</c:v>
                </c:pt>
                <c:pt idx="536">
                  <c:v>224.98846331333624</c:v>
                </c:pt>
                <c:pt idx="537">
                  <c:v>223.76557452699566</c:v>
                </c:pt>
                <c:pt idx="538">
                  <c:v>224.99999999999983</c:v>
                </c:pt>
                <c:pt idx="539">
                  <c:v>227.23811721273631</c:v>
                </c:pt>
                <c:pt idx="540">
                  <c:v>226.58052607291168</c:v>
                </c:pt>
                <c:pt idx="541">
                  <c:v>227.12275034610042</c:v>
                </c:pt>
                <c:pt idx="542">
                  <c:v>217.14351638209487</c:v>
                </c:pt>
                <c:pt idx="543">
                  <c:v>207.69497000461448</c:v>
                </c:pt>
                <c:pt idx="544">
                  <c:v>205.4453161052144</c:v>
                </c:pt>
                <c:pt idx="545">
                  <c:v>204.17628057221944</c:v>
                </c:pt>
                <c:pt idx="546">
                  <c:v>193.6432856483616</c:v>
                </c:pt>
                <c:pt idx="547">
                  <c:v>201.24596215966756</c:v>
                </c:pt>
                <c:pt idx="548">
                  <c:v>202.38809413936301</c:v>
                </c:pt>
                <c:pt idx="549">
                  <c:v>207.60267651130579</c:v>
                </c:pt>
                <c:pt idx="550">
                  <c:v>208.4217812644207</c:v>
                </c:pt>
                <c:pt idx="551">
                  <c:v>207.01430549146269</c:v>
                </c:pt>
                <c:pt idx="552">
                  <c:v>203.89940009229335</c:v>
                </c:pt>
                <c:pt idx="553">
                  <c:v>203.84171665897537</c:v>
                </c:pt>
                <c:pt idx="554">
                  <c:v>196.26211352099662</c:v>
                </c:pt>
                <c:pt idx="555">
                  <c:v>196.55053068758639</c:v>
                </c:pt>
                <c:pt idx="556">
                  <c:v>194.19704660821401</c:v>
                </c:pt>
                <c:pt idx="557">
                  <c:v>196.98892478080285</c:v>
                </c:pt>
                <c:pt idx="558">
                  <c:v>202.0996769727733</c:v>
                </c:pt>
                <c:pt idx="559">
                  <c:v>208.45639132441147</c:v>
                </c:pt>
                <c:pt idx="560">
                  <c:v>207.12967235809859</c:v>
                </c:pt>
                <c:pt idx="561">
                  <c:v>204.21089063221027</c:v>
                </c:pt>
                <c:pt idx="562">
                  <c:v>208.02953391785863</c:v>
                </c:pt>
                <c:pt idx="563">
                  <c:v>213.17489616981985</c:v>
                </c:pt>
                <c:pt idx="564">
                  <c:v>213.50946008306397</c:v>
                </c:pt>
                <c:pt idx="565">
                  <c:v>209.1139824642361</c:v>
                </c:pt>
                <c:pt idx="566">
                  <c:v>203.98015689893847</c:v>
                </c:pt>
                <c:pt idx="567">
                  <c:v>207.53345639132425</c:v>
                </c:pt>
                <c:pt idx="568">
                  <c:v>203.04568527918769</c:v>
                </c:pt>
                <c:pt idx="569">
                  <c:v>202.16889709275483</c:v>
                </c:pt>
                <c:pt idx="570">
                  <c:v>199.98846331333627</c:v>
                </c:pt>
                <c:pt idx="571">
                  <c:v>196.65436086755872</c:v>
                </c:pt>
                <c:pt idx="572">
                  <c:v>199.75772958006448</c:v>
                </c:pt>
                <c:pt idx="573">
                  <c:v>200.65759113982452</c:v>
                </c:pt>
                <c:pt idx="574">
                  <c:v>201.68435625288402</c:v>
                </c:pt>
                <c:pt idx="575">
                  <c:v>202.56114443931688</c:v>
                </c:pt>
                <c:pt idx="576">
                  <c:v>203.16105214582356</c:v>
                </c:pt>
                <c:pt idx="577">
                  <c:v>200.04614674665422</c:v>
                </c:pt>
                <c:pt idx="578">
                  <c:v>199.03091832025828</c:v>
                </c:pt>
                <c:pt idx="579">
                  <c:v>200.08075680664498</c:v>
                </c:pt>
                <c:pt idx="580">
                  <c:v>203.25334563913228</c:v>
                </c:pt>
                <c:pt idx="581">
                  <c:v>205.21458237194261</c:v>
                </c:pt>
                <c:pt idx="582">
                  <c:v>205.47992616520523</c:v>
                </c:pt>
                <c:pt idx="583">
                  <c:v>206.51822796492831</c:v>
                </c:pt>
                <c:pt idx="584">
                  <c:v>202.46885094600816</c:v>
                </c:pt>
                <c:pt idx="585">
                  <c:v>200.71527457314244</c:v>
                </c:pt>
                <c:pt idx="586">
                  <c:v>203.27641901245948</c:v>
                </c:pt>
                <c:pt idx="587">
                  <c:v>207.96031379787709</c:v>
                </c:pt>
                <c:pt idx="588">
                  <c:v>206.10290724503906</c:v>
                </c:pt>
                <c:pt idx="589">
                  <c:v>209.41393631748949</c:v>
                </c:pt>
                <c:pt idx="590">
                  <c:v>209.0101522842638</c:v>
                </c:pt>
                <c:pt idx="591">
                  <c:v>212.13659437009676</c:v>
                </c:pt>
                <c:pt idx="592">
                  <c:v>214.21319796954299</c:v>
                </c:pt>
                <c:pt idx="593">
                  <c:v>217.1089063221041</c:v>
                </c:pt>
                <c:pt idx="594">
                  <c:v>216.50899861559739</c:v>
                </c:pt>
                <c:pt idx="595">
                  <c:v>218.42408860175337</c:v>
                </c:pt>
                <c:pt idx="596">
                  <c:v>220.83525611444372</c:v>
                </c:pt>
                <c:pt idx="597">
                  <c:v>217.58191047531128</c:v>
                </c:pt>
                <c:pt idx="598">
                  <c:v>219.84310106137497</c:v>
                </c:pt>
                <c:pt idx="599">
                  <c:v>220.35071527457296</c:v>
                </c:pt>
                <c:pt idx="600">
                  <c:v>220.09690816797396</c:v>
                </c:pt>
                <c:pt idx="601">
                  <c:v>220.80064605445295</c:v>
                </c:pt>
                <c:pt idx="602">
                  <c:v>223.20027688047975</c:v>
                </c:pt>
                <c:pt idx="603">
                  <c:v>222.84263959390844</c:v>
                </c:pt>
                <c:pt idx="604">
                  <c:v>221.11213659436993</c:v>
                </c:pt>
                <c:pt idx="605">
                  <c:v>218.73557914167034</c:v>
                </c:pt>
                <c:pt idx="606">
                  <c:v>223.75403784033207</c:v>
                </c:pt>
                <c:pt idx="607">
                  <c:v>225.84217812644189</c:v>
                </c:pt>
                <c:pt idx="608">
                  <c:v>225.726811259806</c:v>
                </c:pt>
                <c:pt idx="609">
                  <c:v>227.13428703276401</c:v>
                </c:pt>
                <c:pt idx="610">
                  <c:v>218.29718504845391</c:v>
                </c:pt>
                <c:pt idx="611">
                  <c:v>215.87448084909997</c:v>
                </c:pt>
                <c:pt idx="612">
                  <c:v>213.26718966312859</c:v>
                </c:pt>
                <c:pt idx="613">
                  <c:v>209.47161975080741</c:v>
                </c:pt>
                <c:pt idx="614">
                  <c:v>211.21365943700954</c:v>
                </c:pt>
                <c:pt idx="615">
                  <c:v>212.26349792339624</c:v>
                </c:pt>
                <c:pt idx="616">
                  <c:v>218.42408860175343</c:v>
                </c:pt>
                <c:pt idx="617">
                  <c:v>224.5962159667742</c:v>
                </c:pt>
                <c:pt idx="618">
                  <c:v>221.94277803414843</c:v>
                </c:pt>
                <c:pt idx="619">
                  <c:v>224.3424088601752</c:v>
                </c:pt>
                <c:pt idx="620">
                  <c:v>224.49238578680189</c:v>
                </c:pt>
                <c:pt idx="621">
                  <c:v>226.69589293954763</c:v>
                </c:pt>
                <c:pt idx="622">
                  <c:v>224.50392247346548</c:v>
                </c:pt>
                <c:pt idx="623">
                  <c:v>222.51961236732797</c:v>
                </c:pt>
                <c:pt idx="624">
                  <c:v>224.16935856022135</c:v>
                </c:pt>
                <c:pt idx="625">
                  <c:v>226.77664974619276</c:v>
                </c:pt>
                <c:pt idx="626">
                  <c:v>225.99215505306861</c:v>
                </c:pt>
                <c:pt idx="627">
                  <c:v>230.06460544531595</c:v>
                </c:pt>
                <c:pt idx="628">
                  <c:v>234.43700969081667</c:v>
                </c:pt>
                <c:pt idx="629">
                  <c:v>237.73650207660344</c:v>
                </c:pt>
                <c:pt idx="630">
                  <c:v>234.43700969081667</c:v>
                </c:pt>
                <c:pt idx="631">
                  <c:v>235.08306414397771</c:v>
                </c:pt>
                <c:pt idx="632">
                  <c:v>236.07521919704647</c:v>
                </c:pt>
                <c:pt idx="633">
                  <c:v>235.64836179049362</c:v>
                </c:pt>
                <c:pt idx="634">
                  <c:v>233.99861559760026</c:v>
                </c:pt>
                <c:pt idx="635">
                  <c:v>227.87263497923388</c:v>
                </c:pt>
                <c:pt idx="636">
                  <c:v>227.99953853253336</c:v>
                </c:pt>
                <c:pt idx="637">
                  <c:v>236.6866635902168</c:v>
                </c:pt>
                <c:pt idx="638">
                  <c:v>233.77941855099203</c:v>
                </c:pt>
                <c:pt idx="639">
                  <c:v>234.79464697738803</c:v>
                </c:pt>
                <c:pt idx="640">
                  <c:v>235.38301799723112</c:v>
                </c:pt>
                <c:pt idx="641">
                  <c:v>233.90632210429155</c:v>
                </c:pt>
                <c:pt idx="642">
                  <c:v>234.92155053068751</c:v>
                </c:pt>
                <c:pt idx="643">
                  <c:v>230.71065989847708</c:v>
                </c:pt>
                <c:pt idx="644">
                  <c:v>231.01061375173043</c:v>
                </c:pt>
                <c:pt idx="645">
                  <c:v>233.54868481772024</c:v>
                </c:pt>
                <c:pt idx="646">
                  <c:v>231.35671435163809</c:v>
                </c:pt>
                <c:pt idx="647">
                  <c:v>227.21504383940919</c:v>
                </c:pt>
                <c:pt idx="648">
                  <c:v>220.60452238117202</c:v>
                </c:pt>
                <c:pt idx="649">
                  <c:v>222.10429164743877</c:v>
                </c:pt>
                <c:pt idx="650">
                  <c:v>222.94646977388084</c:v>
                </c:pt>
                <c:pt idx="651">
                  <c:v>219.86617443470226</c:v>
                </c:pt>
                <c:pt idx="652">
                  <c:v>218.49330872173499</c:v>
                </c:pt>
                <c:pt idx="653">
                  <c:v>219.02399630826017</c:v>
                </c:pt>
                <c:pt idx="654">
                  <c:v>223.76557452699575</c:v>
                </c:pt>
                <c:pt idx="655">
                  <c:v>221.65436086755872</c:v>
                </c:pt>
                <c:pt idx="656">
                  <c:v>223.5348407937239</c:v>
                </c:pt>
                <c:pt idx="657">
                  <c:v>223.97323488694033</c:v>
                </c:pt>
                <c:pt idx="658">
                  <c:v>225.20766035994453</c:v>
                </c:pt>
                <c:pt idx="659">
                  <c:v>218.29718504845397</c:v>
                </c:pt>
                <c:pt idx="660">
                  <c:v>212.44808491001373</c:v>
                </c:pt>
                <c:pt idx="661">
                  <c:v>203.05722196585128</c:v>
                </c:pt>
                <c:pt idx="662">
                  <c:v>207.57960313797867</c:v>
                </c:pt>
                <c:pt idx="663">
                  <c:v>211.8251038301799</c:v>
                </c:pt>
                <c:pt idx="664">
                  <c:v>210.89063221042909</c:v>
                </c:pt>
                <c:pt idx="665">
                  <c:v>213.14028610982916</c:v>
                </c:pt>
                <c:pt idx="666">
                  <c:v>219.67005076142121</c:v>
                </c:pt>
                <c:pt idx="667">
                  <c:v>222.47346562067361</c:v>
                </c:pt>
                <c:pt idx="668">
                  <c:v>224.80387632671884</c:v>
                </c:pt>
                <c:pt idx="669">
                  <c:v>223.40793724042442</c:v>
                </c:pt>
                <c:pt idx="670">
                  <c:v>217.1781264420857</c:v>
                </c:pt>
                <c:pt idx="671">
                  <c:v>212.96723580987526</c:v>
                </c:pt>
                <c:pt idx="672">
                  <c:v>220.67374250115353</c:v>
                </c:pt>
                <c:pt idx="673">
                  <c:v>219.71619750807554</c:v>
                </c:pt>
                <c:pt idx="674">
                  <c:v>218.35486848177192</c:v>
                </c:pt>
                <c:pt idx="675">
                  <c:v>213.79787724965377</c:v>
                </c:pt>
                <c:pt idx="676">
                  <c:v>216.13982464236258</c:v>
                </c:pt>
                <c:pt idx="677">
                  <c:v>219.6815874480848</c:v>
                </c:pt>
                <c:pt idx="678">
                  <c:v>219.00092293493299</c:v>
                </c:pt>
                <c:pt idx="679">
                  <c:v>210.44070143054904</c:v>
                </c:pt>
                <c:pt idx="680">
                  <c:v>204.91462851868934</c:v>
                </c:pt>
                <c:pt idx="681">
                  <c:v>204.77618827872627</c:v>
                </c:pt>
                <c:pt idx="682">
                  <c:v>208.71019843101053</c:v>
                </c:pt>
                <c:pt idx="683">
                  <c:v>204.89155514536216</c:v>
                </c:pt>
                <c:pt idx="684">
                  <c:v>196.26211352099668</c:v>
                </c:pt>
                <c:pt idx="685">
                  <c:v>206.05676049838479</c:v>
                </c:pt>
                <c:pt idx="686">
                  <c:v>208.73327180433773</c:v>
                </c:pt>
                <c:pt idx="687">
                  <c:v>217.17812644208576</c:v>
                </c:pt>
                <c:pt idx="688">
                  <c:v>220.40839870789102</c:v>
                </c:pt>
                <c:pt idx="689">
                  <c:v>225.8191047531148</c:v>
                </c:pt>
                <c:pt idx="690">
                  <c:v>222.4850023073372</c:v>
                </c:pt>
                <c:pt idx="691">
                  <c:v>226.29210890632197</c:v>
                </c:pt>
                <c:pt idx="692">
                  <c:v>227.23811721273634</c:v>
                </c:pt>
                <c:pt idx="693">
                  <c:v>229.0609137055836</c:v>
                </c:pt>
                <c:pt idx="694">
                  <c:v>227.37655745269942</c:v>
                </c:pt>
                <c:pt idx="695">
                  <c:v>227.39963082602659</c:v>
                </c:pt>
                <c:pt idx="696">
                  <c:v>229.58006460544513</c:v>
                </c:pt>
                <c:pt idx="697">
                  <c:v>226.58052607291168</c:v>
                </c:pt>
                <c:pt idx="698">
                  <c:v>223.80018458698646</c:v>
                </c:pt>
                <c:pt idx="699">
                  <c:v>227.13428703276398</c:v>
                </c:pt>
                <c:pt idx="700">
                  <c:v>229.28011075219177</c:v>
                </c:pt>
                <c:pt idx="701">
                  <c:v>229.59160129210869</c:v>
                </c:pt>
                <c:pt idx="702">
                  <c:v>227.24965389939987</c:v>
                </c:pt>
                <c:pt idx="703">
                  <c:v>225.8075680664511</c:v>
                </c:pt>
                <c:pt idx="704">
                  <c:v>234.99077065066888</c:v>
                </c:pt>
                <c:pt idx="705">
                  <c:v>234.85233041070578</c:v>
                </c:pt>
                <c:pt idx="706">
                  <c:v>238.05952930318384</c:v>
                </c:pt>
                <c:pt idx="707">
                  <c:v>241.94739270881371</c:v>
                </c:pt>
                <c:pt idx="708">
                  <c:v>244.41624365482204</c:v>
                </c:pt>
                <c:pt idx="709">
                  <c:v>240.22842639593878</c:v>
                </c:pt>
                <c:pt idx="710">
                  <c:v>241.69358560221477</c:v>
                </c:pt>
                <c:pt idx="711">
                  <c:v>237.67881864328538</c:v>
                </c:pt>
                <c:pt idx="712">
                  <c:v>237.22888786340533</c:v>
                </c:pt>
                <c:pt idx="713">
                  <c:v>238.08260267651102</c:v>
                </c:pt>
                <c:pt idx="714">
                  <c:v>233.52561144439287</c:v>
                </c:pt>
                <c:pt idx="715">
                  <c:v>229.38394093216402</c:v>
                </c:pt>
                <c:pt idx="716">
                  <c:v>237.39040147669564</c:v>
                </c:pt>
                <c:pt idx="717">
                  <c:v>234.6100599907704</c:v>
                </c:pt>
                <c:pt idx="718">
                  <c:v>223.40793724042427</c:v>
                </c:pt>
                <c:pt idx="719">
                  <c:v>223.65020766035965</c:v>
                </c:pt>
                <c:pt idx="720">
                  <c:v>225.56529764651563</c:v>
                </c:pt>
                <c:pt idx="721">
                  <c:v>220.14305491462821</c:v>
                </c:pt>
                <c:pt idx="722">
                  <c:v>218.50484540839841</c:v>
                </c:pt>
                <c:pt idx="723">
                  <c:v>213.08260267651099</c:v>
                </c:pt>
                <c:pt idx="724">
                  <c:v>211.81356714351608</c:v>
                </c:pt>
                <c:pt idx="725">
                  <c:v>214.44393170281464</c:v>
                </c:pt>
                <c:pt idx="726">
                  <c:v>214.04014766958898</c:v>
                </c:pt>
                <c:pt idx="727">
                  <c:v>220.29303184125484</c:v>
                </c:pt>
                <c:pt idx="728">
                  <c:v>216.65897554222397</c:v>
                </c:pt>
                <c:pt idx="729">
                  <c:v>216.94739270881374</c:v>
                </c:pt>
                <c:pt idx="730">
                  <c:v>219.30087678818614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59-4C94-BDB6-F57A146136EF}"/>
            </c:ext>
          </c:extLst>
        </c:ser>
        <c:ser>
          <c:idx val="3"/>
          <c:order val="3"/>
          <c:tx>
            <c:strRef>
              <c:f>Index!$S$1</c:f>
              <c:strCache>
                <c:ptCount val="1"/>
                <c:pt idx="0">
                  <c:v>Dow Jones Europe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Index!$S$2:$S$732</c:f>
              <c:numCache>
                <c:formatCode>General</c:formatCode>
                <c:ptCount val="731"/>
                <c:pt idx="0">
                  <c:v>100</c:v>
                </c:pt>
                <c:pt idx="1">
                  <c:v>99.764506311430424</c:v>
                </c:pt>
                <c:pt idx="2">
                  <c:v>100.17163099336426</c:v>
                </c:pt>
                <c:pt idx="3">
                  <c:v>99.342413810307832</c:v>
                </c:pt>
                <c:pt idx="4">
                  <c:v>96.758968218330594</c:v>
                </c:pt>
                <c:pt idx="5">
                  <c:v>96.039515042658294</c:v>
                </c:pt>
                <c:pt idx="6">
                  <c:v>97.13815297111212</c:v>
                </c:pt>
                <c:pt idx="7">
                  <c:v>97.727885047148646</c:v>
                </c:pt>
                <c:pt idx="8">
                  <c:v>97.688968717257907</c:v>
                </c:pt>
                <c:pt idx="9">
                  <c:v>97.601157511350607</c:v>
                </c:pt>
                <c:pt idx="10">
                  <c:v>95.754128623459579</c:v>
                </c:pt>
                <c:pt idx="11">
                  <c:v>97.354687422042616</c:v>
                </c:pt>
                <c:pt idx="12">
                  <c:v>96.942573467045861</c:v>
                </c:pt>
                <c:pt idx="13">
                  <c:v>98.175921768198393</c:v>
                </c:pt>
                <c:pt idx="14">
                  <c:v>98.773636681135571</c:v>
                </c:pt>
                <c:pt idx="15">
                  <c:v>99.853315371950302</c:v>
                </c:pt>
                <c:pt idx="16">
                  <c:v>99.913186648705278</c:v>
                </c:pt>
                <c:pt idx="17">
                  <c:v>101.97874569675199</c:v>
                </c:pt>
                <c:pt idx="18">
                  <c:v>103.26697600159657</c:v>
                </c:pt>
                <c:pt idx="19">
                  <c:v>105.67879060020955</c:v>
                </c:pt>
                <c:pt idx="20">
                  <c:v>106.76645212792496</c:v>
                </c:pt>
                <c:pt idx="21">
                  <c:v>105.48420895075587</c:v>
                </c:pt>
                <c:pt idx="22">
                  <c:v>107.73736466596817</c:v>
                </c:pt>
                <c:pt idx="23">
                  <c:v>108.65040163648156</c:v>
                </c:pt>
                <c:pt idx="24">
                  <c:v>108.74020855161403</c:v>
                </c:pt>
                <c:pt idx="25">
                  <c:v>106.2834904954348</c:v>
                </c:pt>
                <c:pt idx="26">
                  <c:v>106.26952053085866</c:v>
                </c:pt>
                <c:pt idx="27">
                  <c:v>104.96931597066309</c:v>
                </c:pt>
                <c:pt idx="28">
                  <c:v>100.65958189891734</c:v>
                </c:pt>
                <c:pt idx="29">
                  <c:v>103.98543132265628</c:v>
                </c:pt>
                <c:pt idx="30">
                  <c:v>100.09080476974505</c:v>
                </c:pt>
                <c:pt idx="31">
                  <c:v>100.80027939929151</c:v>
                </c:pt>
                <c:pt idx="32">
                  <c:v>100.55380930998354</c:v>
                </c:pt>
                <c:pt idx="33">
                  <c:v>97.996307937933437</c:v>
                </c:pt>
                <c:pt idx="34">
                  <c:v>97.214987776280992</c:v>
                </c:pt>
                <c:pt idx="35">
                  <c:v>98.408421892930193</c:v>
                </c:pt>
                <c:pt idx="36">
                  <c:v>100.0409120391159</c:v>
                </c:pt>
                <c:pt idx="37">
                  <c:v>102.9027590680038</c:v>
                </c:pt>
                <c:pt idx="38">
                  <c:v>103.67410068353043</c:v>
                </c:pt>
                <c:pt idx="39">
                  <c:v>103.6411714813152</c:v>
                </c:pt>
                <c:pt idx="40">
                  <c:v>104.57516339869282</c:v>
                </c:pt>
                <c:pt idx="41">
                  <c:v>105.11899416255052</c:v>
                </c:pt>
                <c:pt idx="42">
                  <c:v>106.08491742753083</c:v>
                </c:pt>
                <c:pt idx="43">
                  <c:v>105.66881205408373</c:v>
                </c:pt>
                <c:pt idx="44">
                  <c:v>106.79239634785212</c:v>
                </c:pt>
                <c:pt idx="45">
                  <c:v>107.94491842538541</c:v>
                </c:pt>
                <c:pt idx="46">
                  <c:v>109.58139999002145</c:v>
                </c:pt>
                <c:pt idx="47">
                  <c:v>110.97340717457463</c:v>
                </c:pt>
                <c:pt idx="48">
                  <c:v>111.9353390211046</c:v>
                </c:pt>
                <c:pt idx="49">
                  <c:v>113.91608042708174</c:v>
                </c:pt>
                <c:pt idx="50">
                  <c:v>115.84493339320458</c:v>
                </c:pt>
                <c:pt idx="51">
                  <c:v>117.40857157112204</c:v>
                </c:pt>
                <c:pt idx="52">
                  <c:v>120.56079429227158</c:v>
                </c:pt>
                <c:pt idx="53">
                  <c:v>121.61652447238434</c:v>
                </c:pt>
                <c:pt idx="54">
                  <c:v>119.9052038118046</c:v>
                </c:pt>
                <c:pt idx="55">
                  <c:v>122.05957192037116</c:v>
                </c:pt>
                <c:pt idx="56">
                  <c:v>120.89507558748686</c:v>
                </c:pt>
                <c:pt idx="57">
                  <c:v>124.6490046400239</c:v>
                </c:pt>
                <c:pt idx="58">
                  <c:v>127.69944619068995</c:v>
                </c:pt>
                <c:pt idx="59">
                  <c:v>128.25225764606091</c:v>
                </c:pt>
                <c:pt idx="60">
                  <c:v>128.8559596866736</c:v>
                </c:pt>
                <c:pt idx="61">
                  <c:v>129.98952252656784</c:v>
                </c:pt>
                <c:pt idx="62">
                  <c:v>125.06610786808358</c:v>
                </c:pt>
                <c:pt idx="63">
                  <c:v>127.35718205857401</c:v>
                </c:pt>
                <c:pt idx="64">
                  <c:v>124.19498079129865</c:v>
                </c:pt>
                <c:pt idx="65">
                  <c:v>128.45282642319009</c:v>
                </c:pt>
                <c:pt idx="66">
                  <c:v>129.32594920920019</c:v>
                </c:pt>
                <c:pt idx="67">
                  <c:v>128.26622761063712</c:v>
                </c:pt>
                <c:pt idx="68">
                  <c:v>126.01406975003739</c:v>
                </c:pt>
                <c:pt idx="69">
                  <c:v>125.63887641570621</c:v>
                </c:pt>
                <c:pt idx="70">
                  <c:v>127.19852317517335</c:v>
                </c:pt>
                <c:pt idx="71">
                  <c:v>125.0241979743551</c:v>
                </c:pt>
                <c:pt idx="72">
                  <c:v>126.97600159656736</c:v>
                </c:pt>
                <c:pt idx="73">
                  <c:v>130.54931896422687</c:v>
                </c:pt>
                <c:pt idx="74">
                  <c:v>131.6898667864092</c:v>
                </c:pt>
                <c:pt idx="75">
                  <c:v>129.38681834056777</c:v>
                </c:pt>
                <c:pt idx="76">
                  <c:v>131.55316070448532</c:v>
                </c:pt>
                <c:pt idx="77">
                  <c:v>130.8057675996607</c:v>
                </c:pt>
                <c:pt idx="78">
                  <c:v>131.10612183804818</c:v>
                </c:pt>
                <c:pt idx="79">
                  <c:v>133.29242129421741</c:v>
                </c:pt>
                <c:pt idx="80">
                  <c:v>134.73332335478719</c:v>
                </c:pt>
                <c:pt idx="81">
                  <c:v>130.73891134061765</c:v>
                </c:pt>
                <c:pt idx="82">
                  <c:v>130.60220525869377</c:v>
                </c:pt>
                <c:pt idx="83">
                  <c:v>134.34216434665464</c:v>
                </c:pt>
                <c:pt idx="84">
                  <c:v>134.70837698947258</c:v>
                </c:pt>
                <c:pt idx="85">
                  <c:v>134.16654193484004</c:v>
                </c:pt>
                <c:pt idx="86">
                  <c:v>134.88300154667459</c:v>
                </c:pt>
                <c:pt idx="87">
                  <c:v>135.87686474080721</c:v>
                </c:pt>
                <c:pt idx="88">
                  <c:v>138.0192585940228</c:v>
                </c:pt>
                <c:pt idx="89">
                  <c:v>137.84762760065854</c:v>
                </c:pt>
                <c:pt idx="90">
                  <c:v>138.755675298109</c:v>
                </c:pt>
                <c:pt idx="91">
                  <c:v>141.12657785760607</c:v>
                </c:pt>
                <c:pt idx="92">
                  <c:v>141.30918525170875</c:v>
                </c:pt>
                <c:pt idx="93">
                  <c:v>141.80212543032471</c:v>
                </c:pt>
                <c:pt idx="94">
                  <c:v>144.18999151823573</c:v>
                </c:pt>
                <c:pt idx="95">
                  <c:v>146.0280397146135</c:v>
                </c:pt>
                <c:pt idx="96">
                  <c:v>149.50456518485248</c:v>
                </c:pt>
                <c:pt idx="97">
                  <c:v>147.86608791099127</c:v>
                </c:pt>
                <c:pt idx="98">
                  <c:v>149.75802025644853</c:v>
                </c:pt>
                <c:pt idx="99">
                  <c:v>155.09255101531696</c:v>
                </c:pt>
                <c:pt idx="100">
                  <c:v>159.82936686124822</c:v>
                </c:pt>
                <c:pt idx="101">
                  <c:v>158.61797136157253</c:v>
                </c:pt>
                <c:pt idx="102">
                  <c:v>161.61752232699689</c:v>
                </c:pt>
                <c:pt idx="103">
                  <c:v>164.81764206955037</c:v>
                </c:pt>
                <c:pt idx="104">
                  <c:v>165.83445591977238</c:v>
                </c:pt>
                <c:pt idx="105">
                  <c:v>161.06071945317555</c:v>
                </c:pt>
                <c:pt idx="106">
                  <c:v>163.54837100234485</c:v>
                </c:pt>
                <c:pt idx="107">
                  <c:v>164.1420944968317</c:v>
                </c:pt>
                <c:pt idx="108">
                  <c:v>166.83630195080565</c:v>
                </c:pt>
                <c:pt idx="109">
                  <c:v>171.63997405577993</c:v>
                </c:pt>
                <c:pt idx="110">
                  <c:v>171.37155116499514</c:v>
                </c:pt>
                <c:pt idx="111">
                  <c:v>172.53804320710458</c:v>
                </c:pt>
                <c:pt idx="112">
                  <c:v>167.82417801726274</c:v>
                </c:pt>
                <c:pt idx="113">
                  <c:v>167.24043306890172</c:v>
                </c:pt>
                <c:pt idx="114">
                  <c:v>163.6202165344508</c:v>
                </c:pt>
                <c:pt idx="115">
                  <c:v>163.82078531157998</c:v>
                </c:pt>
                <c:pt idx="116">
                  <c:v>160.73541884947349</c:v>
                </c:pt>
                <c:pt idx="117">
                  <c:v>162.1513745447287</c:v>
                </c:pt>
                <c:pt idx="118">
                  <c:v>164.29476625255688</c:v>
                </c:pt>
                <c:pt idx="119">
                  <c:v>165.26867235443785</c:v>
                </c:pt>
                <c:pt idx="120">
                  <c:v>165.34051788654384</c:v>
                </c:pt>
                <c:pt idx="121">
                  <c:v>164.31971261787146</c:v>
                </c:pt>
                <c:pt idx="122">
                  <c:v>164.62006685625892</c:v>
                </c:pt>
                <c:pt idx="123">
                  <c:v>163.34181509754018</c:v>
                </c:pt>
                <c:pt idx="124">
                  <c:v>162.91173975951691</c:v>
                </c:pt>
                <c:pt idx="125">
                  <c:v>165.37444494337163</c:v>
                </c:pt>
                <c:pt idx="126">
                  <c:v>165.51115102529553</c:v>
                </c:pt>
                <c:pt idx="127">
                  <c:v>164.55620416105364</c:v>
                </c:pt>
                <c:pt idx="128">
                  <c:v>164.14009878760655</c:v>
                </c:pt>
                <c:pt idx="129">
                  <c:v>164.48136506510991</c:v>
                </c:pt>
                <c:pt idx="130">
                  <c:v>166.35633388215328</c:v>
                </c:pt>
                <c:pt idx="131">
                  <c:v>161.85501172479161</c:v>
                </c:pt>
                <c:pt idx="132">
                  <c:v>162.25914284288771</c:v>
                </c:pt>
                <c:pt idx="133">
                  <c:v>162.84288779124876</c:v>
                </c:pt>
                <c:pt idx="134">
                  <c:v>163.84074240383168</c:v>
                </c:pt>
                <c:pt idx="135">
                  <c:v>165.91727785261679</c:v>
                </c:pt>
                <c:pt idx="136">
                  <c:v>167.95888838996152</c:v>
                </c:pt>
                <c:pt idx="137">
                  <c:v>165.21279249613323</c:v>
                </c:pt>
                <c:pt idx="138">
                  <c:v>168.15646360325294</c:v>
                </c:pt>
                <c:pt idx="139">
                  <c:v>174.60958938282684</c:v>
                </c:pt>
                <c:pt idx="140">
                  <c:v>175.6593324352641</c:v>
                </c:pt>
                <c:pt idx="141">
                  <c:v>174.25934241381023</c:v>
                </c:pt>
                <c:pt idx="142">
                  <c:v>172.88230304844575</c:v>
                </c:pt>
                <c:pt idx="143">
                  <c:v>171.88644414508798</c:v>
                </c:pt>
                <c:pt idx="144">
                  <c:v>169.29202215237231</c:v>
                </c:pt>
                <c:pt idx="145">
                  <c:v>165.70673052936181</c:v>
                </c:pt>
                <c:pt idx="146">
                  <c:v>162.04161053734464</c:v>
                </c:pt>
                <c:pt idx="147">
                  <c:v>163.21708327096732</c:v>
                </c:pt>
                <c:pt idx="148">
                  <c:v>163.43261986728521</c:v>
                </c:pt>
                <c:pt idx="149">
                  <c:v>164.93439105922255</c:v>
                </c:pt>
                <c:pt idx="150">
                  <c:v>165.26867235443783</c:v>
                </c:pt>
                <c:pt idx="151">
                  <c:v>167.1366561891931</c:v>
                </c:pt>
                <c:pt idx="152">
                  <c:v>167.96088409918661</c:v>
                </c:pt>
                <c:pt idx="153">
                  <c:v>170.46549917676981</c:v>
                </c:pt>
                <c:pt idx="154">
                  <c:v>174.46589831861485</c:v>
                </c:pt>
                <c:pt idx="155">
                  <c:v>172.4971311679887</c:v>
                </c:pt>
                <c:pt idx="156">
                  <c:v>171.2448236291971</c:v>
                </c:pt>
                <c:pt idx="157">
                  <c:v>176.63623210098274</c:v>
                </c:pt>
                <c:pt idx="158">
                  <c:v>176.1053734470886</c:v>
                </c:pt>
                <c:pt idx="159">
                  <c:v>177.79573916080412</c:v>
                </c:pt>
                <c:pt idx="160">
                  <c:v>179.64775732175806</c:v>
                </c:pt>
                <c:pt idx="161">
                  <c:v>181.19143840742387</c:v>
                </c:pt>
                <c:pt idx="162">
                  <c:v>184.30175123484491</c:v>
                </c:pt>
                <c:pt idx="163">
                  <c:v>186.21164496332867</c:v>
                </c:pt>
                <c:pt idx="164">
                  <c:v>189.20321309185235</c:v>
                </c:pt>
                <c:pt idx="165">
                  <c:v>188.23928553609724</c:v>
                </c:pt>
                <c:pt idx="166">
                  <c:v>184.75777079279533</c:v>
                </c:pt>
                <c:pt idx="167">
                  <c:v>190.81375043656124</c:v>
                </c:pt>
                <c:pt idx="168">
                  <c:v>188.40393154717341</c:v>
                </c:pt>
                <c:pt idx="169">
                  <c:v>186.49004640023932</c:v>
                </c:pt>
                <c:pt idx="170">
                  <c:v>188.73023000548804</c:v>
                </c:pt>
                <c:pt idx="171">
                  <c:v>186.71755725190826</c:v>
                </c:pt>
                <c:pt idx="172">
                  <c:v>195.14443945517127</c:v>
                </c:pt>
                <c:pt idx="173">
                  <c:v>198.17991318664858</c:v>
                </c:pt>
                <c:pt idx="174">
                  <c:v>202.25415356982478</c:v>
                </c:pt>
                <c:pt idx="175">
                  <c:v>200.74539739559935</c:v>
                </c:pt>
                <c:pt idx="176">
                  <c:v>195.22426782417793</c:v>
                </c:pt>
                <c:pt idx="177">
                  <c:v>198.93029985531095</c:v>
                </c:pt>
                <c:pt idx="178">
                  <c:v>204.34665469241119</c:v>
                </c:pt>
                <c:pt idx="179">
                  <c:v>198.30763857705921</c:v>
                </c:pt>
                <c:pt idx="180">
                  <c:v>197.9514044803671</c:v>
                </c:pt>
                <c:pt idx="181">
                  <c:v>198.04620066856251</c:v>
                </c:pt>
                <c:pt idx="182">
                  <c:v>201.73027989821873</c:v>
                </c:pt>
                <c:pt idx="183">
                  <c:v>204.56418699795427</c:v>
                </c:pt>
                <c:pt idx="184">
                  <c:v>198.42738113056916</c:v>
                </c:pt>
                <c:pt idx="185">
                  <c:v>202.58444344658972</c:v>
                </c:pt>
                <c:pt idx="186">
                  <c:v>209.22915731177955</c:v>
                </c:pt>
                <c:pt idx="187">
                  <c:v>212.66377288829005</c:v>
                </c:pt>
                <c:pt idx="188">
                  <c:v>212.56498528164434</c:v>
                </c:pt>
                <c:pt idx="189">
                  <c:v>213.43112308536635</c:v>
                </c:pt>
                <c:pt idx="190">
                  <c:v>213.62869829865775</c:v>
                </c:pt>
                <c:pt idx="191">
                  <c:v>219.57890535348986</c:v>
                </c:pt>
                <c:pt idx="192">
                  <c:v>215.19932145886327</c:v>
                </c:pt>
                <c:pt idx="193">
                  <c:v>220.65658833507939</c:v>
                </c:pt>
                <c:pt idx="194">
                  <c:v>223.52542034625537</c:v>
                </c:pt>
                <c:pt idx="195">
                  <c:v>225.52611884448419</c:v>
                </c:pt>
                <c:pt idx="196">
                  <c:v>228.17242927705416</c:v>
                </c:pt>
                <c:pt idx="197">
                  <c:v>227.64855560544814</c:v>
                </c:pt>
                <c:pt idx="198">
                  <c:v>229.38083121289208</c:v>
                </c:pt>
                <c:pt idx="199">
                  <c:v>231.55715212293552</c:v>
                </c:pt>
                <c:pt idx="200">
                  <c:v>231.90540338272692</c:v>
                </c:pt>
                <c:pt idx="201">
                  <c:v>241.49678191887421</c:v>
                </c:pt>
                <c:pt idx="202">
                  <c:v>244.88350047398072</c:v>
                </c:pt>
                <c:pt idx="203">
                  <c:v>249.92466197674975</c:v>
                </c:pt>
                <c:pt idx="204">
                  <c:v>251.57710921518711</c:v>
                </c:pt>
                <c:pt idx="205">
                  <c:v>255.42683231053218</c:v>
                </c:pt>
                <c:pt idx="206">
                  <c:v>256.87272364416486</c:v>
                </c:pt>
                <c:pt idx="207">
                  <c:v>252.11794641520714</c:v>
                </c:pt>
                <c:pt idx="208">
                  <c:v>253.12478171930334</c:v>
                </c:pt>
                <c:pt idx="209">
                  <c:v>245.87536795888823</c:v>
                </c:pt>
                <c:pt idx="210">
                  <c:v>249.75802025644848</c:v>
                </c:pt>
                <c:pt idx="211">
                  <c:v>250.77383625205795</c:v>
                </c:pt>
                <c:pt idx="212">
                  <c:v>251.48430873621697</c:v>
                </c:pt>
                <c:pt idx="213">
                  <c:v>259.36536446639707</c:v>
                </c:pt>
                <c:pt idx="214">
                  <c:v>263.25101032779503</c:v>
                </c:pt>
                <c:pt idx="215">
                  <c:v>264.1081674400038</c:v>
                </c:pt>
                <c:pt idx="216">
                  <c:v>263.49947612632815</c:v>
                </c:pt>
                <c:pt idx="217">
                  <c:v>254.38507209499554</c:v>
                </c:pt>
                <c:pt idx="218">
                  <c:v>257.87057825674776</c:v>
                </c:pt>
                <c:pt idx="219">
                  <c:v>259.10093299406253</c:v>
                </c:pt>
                <c:pt idx="220">
                  <c:v>268.60749388814025</c:v>
                </c:pt>
                <c:pt idx="221">
                  <c:v>271.83255999600834</c:v>
                </c:pt>
                <c:pt idx="222">
                  <c:v>278.51319662725109</c:v>
                </c:pt>
                <c:pt idx="223">
                  <c:v>279.26757471436378</c:v>
                </c:pt>
                <c:pt idx="224">
                  <c:v>279.80142693209569</c:v>
                </c:pt>
                <c:pt idx="225">
                  <c:v>275.83196128324073</c:v>
                </c:pt>
                <c:pt idx="226">
                  <c:v>278.32559996008547</c:v>
                </c:pt>
                <c:pt idx="227">
                  <c:v>277.13615726188664</c:v>
                </c:pt>
                <c:pt idx="228">
                  <c:v>280.51090156164213</c:v>
                </c:pt>
                <c:pt idx="229">
                  <c:v>282.2421793144735</c:v>
                </c:pt>
                <c:pt idx="230">
                  <c:v>284.00439056029506</c:v>
                </c:pt>
                <c:pt idx="231">
                  <c:v>268.01476824826591</c:v>
                </c:pt>
                <c:pt idx="232">
                  <c:v>275.44778725739627</c:v>
                </c:pt>
                <c:pt idx="233">
                  <c:v>269.95459761512711</c:v>
                </c:pt>
                <c:pt idx="234">
                  <c:v>271.80062864840556</c:v>
                </c:pt>
                <c:pt idx="235">
                  <c:v>274.27630594222381</c:v>
                </c:pt>
                <c:pt idx="236">
                  <c:v>274.28329092451196</c:v>
                </c:pt>
                <c:pt idx="237">
                  <c:v>277.69994511799592</c:v>
                </c:pt>
                <c:pt idx="238">
                  <c:v>263.66112857356649</c:v>
                </c:pt>
                <c:pt idx="239">
                  <c:v>266.21364067255365</c:v>
                </c:pt>
                <c:pt idx="240">
                  <c:v>261.80212543032445</c:v>
                </c:pt>
                <c:pt idx="241">
                  <c:v>252.02215237239898</c:v>
                </c:pt>
                <c:pt idx="242">
                  <c:v>261.90490445542048</c:v>
                </c:pt>
                <c:pt idx="243">
                  <c:v>268.18340567779239</c:v>
                </c:pt>
                <c:pt idx="244">
                  <c:v>262.06056977498343</c:v>
                </c:pt>
                <c:pt idx="245">
                  <c:v>265.59297510352707</c:v>
                </c:pt>
                <c:pt idx="246">
                  <c:v>274.07873072893244</c:v>
                </c:pt>
                <c:pt idx="247">
                  <c:v>279.68268223319831</c:v>
                </c:pt>
                <c:pt idx="248">
                  <c:v>282.7680486953048</c:v>
                </c:pt>
                <c:pt idx="249">
                  <c:v>288.08860948959705</c:v>
                </c:pt>
                <c:pt idx="250">
                  <c:v>287.26138801576582</c:v>
                </c:pt>
                <c:pt idx="251">
                  <c:v>293.85820485955168</c:v>
                </c:pt>
                <c:pt idx="252">
                  <c:v>296.39375343012489</c:v>
                </c:pt>
                <c:pt idx="253">
                  <c:v>294.65149927655506</c:v>
                </c:pt>
                <c:pt idx="254">
                  <c:v>294.74429975552528</c:v>
                </c:pt>
                <c:pt idx="255">
                  <c:v>295.14044803672067</c:v>
                </c:pt>
                <c:pt idx="256">
                  <c:v>303.36277004440416</c:v>
                </c:pt>
                <c:pt idx="257">
                  <c:v>303.82577458464266</c:v>
                </c:pt>
                <c:pt idx="258">
                  <c:v>301.75921768198339</c:v>
                </c:pt>
                <c:pt idx="259">
                  <c:v>295.288130519383</c:v>
                </c:pt>
                <c:pt idx="260">
                  <c:v>298.82851868482726</c:v>
                </c:pt>
                <c:pt idx="261">
                  <c:v>293.19762510602175</c:v>
                </c:pt>
                <c:pt idx="262">
                  <c:v>289.72708676345826</c:v>
                </c:pt>
                <c:pt idx="263">
                  <c:v>287.32624856558368</c:v>
                </c:pt>
                <c:pt idx="264">
                  <c:v>277.16509504565153</c:v>
                </c:pt>
                <c:pt idx="265">
                  <c:v>282.96263034475845</c:v>
                </c:pt>
                <c:pt idx="266">
                  <c:v>274.01885945217748</c:v>
                </c:pt>
                <c:pt idx="267">
                  <c:v>281.81908895873835</c:v>
                </c:pt>
                <c:pt idx="268">
                  <c:v>280.11275757122155</c:v>
                </c:pt>
                <c:pt idx="269">
                  <c:v>284.94935887841103</c:v>
                </c:pt>
                <c:pt idx="270">
                  <c:v>279.80841191438367</c:v>
                </c:pt>
                <c:pt idx="271">
                  <c:v>282.37888539639732</c:v>
                </c:pt>
                <c:pt idx="272">
                  <c:v>271.41346105872327</c:v>
                </c:pt>
                <c:pt idx="273">
                  <c:v>277.86858254752235</c:v>
                </c:pt>
                <c:pt idx="274">
                  <c:v>284.63204111160957</c:v>
                </c:pt>
                <c:pt idx="275">
                  <c:v>281.35109514543683</c:v>
                </c:pt>
                <c:pt idx="276">
                  <c:v>285.38841490794744</c:v>
                </c:pt>
                <c:pt idx="277">
                  <c:v>287.45896322905702</c:v>
                </c:pt>
                <c:pt idx="278">
                  <c:v>285.50217033378186</c:v>
                </c:pt>
                <c:pt idx="279">
                  <c:v>281.71032280596665</c:v>
                </c:pt>
                <c:pt idx="280">
                  <c:v>287.11370553310331</c:v>
                </c:pt>
                <c:pt idx="281">
                  <c:v>289.8807563737958</c:v>
                </c:pt>
                <c:pt idx="282">
                  <c:v>293.77937434515735</c:v>
                </c:pt>
                <c:pt idx="283">
                  <c:v>286.2954647507853</c:v>
                </c:pt>
                <c:pt idx="284">
                  <c:v>273.79933143740908</c:v>
                </c:pt>
                <c:pt idx="285">
                  <c:v>270.41560644614032</c:v>
                </c:pt>
                <c:pt idx="286">
                  <c:v>261.39599860300308</c:v>
                </c:pt>
                <c:pt idx="287">
                  <c:v>253.50995359976008</c:v>
                </c:pt>
                <c:pt idx="288">
                  <c:v>247.84014369106379</c:v>
                </c:pt>
                <c:pt idx="289">
                  <c:v>255.2532056079425</c:v>
                </c:pt>
                <c:pt idx="290">
                  <c:v>256.61128573566793</c:v>
                </c:pt>
                <c:pt idx="291">
                  <c:v>247.95988624457377</c:v>
                </c:pt>
                <c:pt idx="292">
                  <c:v>248.01875966671616</c:v>
                </c:pt>
                <c:pt idx="293">
                  <c:v>245.88335079578866</c:v>
                </c:pt>
                <c:pt idx="294">
                  <c:v>247.35418849473595</c:v>
                </c:pt>
                <c:pt idx="295">
                  <c:v>244.74579653744411</c:v>
                </c:pt>
                <c:pt idx="296">
                  <c:v>226.57486404230869</c:v>
                </c:pt>
                <c:pt idx="297">
                  <c:v>231.58808561592542</c:v>
                </c:pt>
                <c:pt idx="298">
                  <c:v>238.75367958888356</c:v>
                </c:pt>
                <c:pt idx="299">
                  <c:v>232.81345108017726</c:v>
                </c:pt>
                <c:pt idx="300">
                  <c:v>222.15835952701659</c:v>
                </c:pt>
                <c:pt idx="301">
                  <c:v>173.14673452078006</c:v>
                </c:pt>
                <c:pt idx="302">
                  <c:v>193.76640223519402</c:v>
                </c:pt>
                <c:pt idx="303">
                  <c:v>175.64835603452551</c:v>
                </c:pt>
                <c:pt idx="304">
                  <c:v>190.43256997455444</c:v>
                </c:pt>
                <c:pt idx="305">
                  <c:v>191.33662625355458</c:v>
                </c:pt>
                <c:pt idx="306">
                  <c:v>181.49678191887415</c:v>
                </c:pt>
                <c:pt idx="307">
                  <c:v>162.18729731078156</c:v>
                </c:pt>
                <c:pt idx="308">
                  <c:v>174.86404230903531</c:v>
                </c:pt>
                <c:pt idx="309">
                  <c:v>160.28638427381105</c:v>
                </c:pt>
                <c:pt idx="310">
                  <c:v>174.43197126178688</c:v>
                </c:pt>
                <c:pt idx="311">
                  <c:v>183.32485156912611</c:v>
                </c:pt>
                <c:pt idx="312">
                  <c:v>180.33627700444018</c:v>
                </c:pt>
                <c:pt idx="313">
                  <c:v>184.55520630644085</c:v>
                </c:pt>
                <c:pt idx="314">
                  <c:v>183.32884298757642</c:v>
                </c:pt>
                <c:pt idx="315">
                  <c:v>171.27675497679959</c:v>
                </c:pt>
                <c:pt idx="316">
                  <c:v>158.83051439405253</c:v>
                </c:pt>
                <c:pt idx="317">
                  <c:v>163.30689018609959</c:v>
                </c:pt>
                <c:pt idx="318">
                  <c:v>169.00264431472306</c:v>
                </c:pt>
                <c:pt idx="319">
                  <c:v>164.66297460459984</c:v>
                </c:pt>
                <c:pt idx="320">
                  <c:v>156.22511600059843</c:v>
                </c:pt>
                <c:pt idx="321">
                  <c:v>154.14658484258817</c:v>
                </c:pt>
                <c:pt idx="322">
                  <c:v>142.57945417352667</c:v>
                </c:pt>
                <c:pt idx="323">
                  <c:v>142.78102080526844</c:v>
                </c:pt>
                <c:pt idx="324">
                  <c:v>153.13875168387938</c:v>
                </c:pt>
                <c:pt idx="325">
                  <c:v>150.93948011774657</c:v>
                </c:pt>
                <c:pt idx="326">
                  <c:v>153.98094097689938</c:v>
                </c:pt>
                <c:pt idx="327">
                  <c:v>154.41001846031006</c:v>
                </c:pt>
                <c:pt idx="328">
                  <c:v>157.6310931497278</c:v>
                </c:pt>
                <c:pt idx="329">
                  <c:v>158.88838996158231</c:v>
                </c:pt>
                <c:pt idx="330">
                  <c:v>163.82677243925528</c:v>
                </c:pt>
                <c:pt idx="331">
                  <c:v>172.45621912887259</c:v>
                </c:pt>
                <c:pt idx="332">
                  <c:v>174.2922716160252</c:v>
                </c:pt>
                <c:pt idx="333">
                  <c:v>180.77932445242692</c:v>
                </c:pt>
                <c:pt idx="334">
                  <c:v>184.78670857656002</c:v>
                </c:pt>
                <c:pt idx="335">
                  <c:v>179.05303597265842</c:v>
                </c:pt>
                <c:pt idx="336">
                  <c:v>179.35239235643331</c:v>
                </c:pt>
                <c:pt idx="337">
                  <c:v>177.37464451429389</c:v>
                </c:pt>
                <c:pt idx="338">
                  <c:v>178.7486903158206</c:v>
                </c:pt>
                <c:pt idx="339">
                  <c:v>178.0232500124728</c:v>
                </c:pt>
                <c:pt idx="340">
                  <c:v>173.38821533702503</c:v>
                </c:pt>
                <c:pt idx="341">
                  <c:v>181.55565534101646</c:v>
                </c:pt>
                <c:pt idx="342">
                  <c:v>184.92640822232164</c:v>
                </c:pt>
                <c:pt idx="343">
                  <c:v>185.75762111460321</c:v>
                </c:pt>
                <c:pt idx="344">
                  <c:v>187.17158110063323</c:v>
                </c:pt>
                <c:pt idx="345">
                  <c:v>187.10173127775241</c:v>
                </c:pt>
                <c:pt idx="346">
                  <c:v>190.93049942623315</c:v>
                </c:pt>
                <c:pt idx="347">
                  <c:v>192.37040363219035</c:v>
                </c:pt>
                <c:pt idx="348">
                  <c:v>190.14618570074296</c:v>
                </c:pt>
                <c:pt idx="349">
                  <c:v>203.24202963628153</c:v>
                </c:pt>
                <c:pt idx="350">
                  <c:v>206.06496033527867</c:v>
                </c:pt>
                <c:pt idx="351">
                  <c:v>202.10746894177473</c:v>
                </c:pt>
                <c:pt idx="352">
                  <c:v>202.04460410118199</c:v>
                </c:pt>
                <c:pt idx="353">
                  <c:v>207.1825575013716</c:v>
                </c:pt>
                <c:pt idx="354">
                  <c:v>207.32026143790804</c:v>
                </c:pt>
                <c:pt idx="355">
                  <c:v>207.96287980841149</c:v>
                </c:pt>
                <c:pt idx="356">
                  <c:v>202.27810208052648</c:v>
                </c:pt>
                <c:pt idx="357">
                  <c:v>207.38512198772597</c:v>
                </c:pt>
                <c:pt idx="358">
                  <c:v>213.20161652447194</c:v>
                </c:pt>
                <c:pt idx="359">
                  <c:v>213.79035074589589</c:v>
                </c:pt>
                <c:pt idx="360">
                  <c:v>214.89996507508815</c:v>
                </c:pt>
                <c:pt idx="361">
                  <c:v>217.4235393903104</c:v>
                </c:pt>
                <c:pt idx="362">
                  <c:v>212.65179863293878</c:v>
                </c:pt>
                <c:pt idx="363">
                  <c:v>209.70912538043166</c:v>
                </c:pt>
                <c:pt idx="364">
                  <c:v>213.51095145437264</c:v>
                </c:pt>
                <c:pt idx="365">
                  <c:v>217.42254153569783</c:v>
                </c:pt>
                <c:pt idx="366">
                  <c:v>216.64720850172088</c:v>
                </c:pt>
                <c:pt idx="367">
                  <c:v>216.47358179913144</c:v>
                </c:pt>
                <c:pt idx="368">
                  <c:v>211.86349348899824</c:v>
                </c:pt>
                <c:pt idx="369">
                  <c:v>206.89218180911001</c:v>
                </c:pt>
                <c:pt idx="370">
                  <c:v>197.74385072094958</c:v>
                </c:pt>
                <c:pt idx="371">
                  <c:v>200.05987127675459</c:v>
                </c:pt>
                <c:pt idx="372">
                  <c:v>203.05143940527827</c:v>
                </c:pt>
                <c:pt idx="373">
                  <c:v>203.05443296911602</c:v>
                </c:pt>
                <c:pt idx="374">
                  <c:v>208.20835204310691</c:v>
                </c:pt>
                <c:pt idx="375">
                  <c:v>210.76385770593185</c:v>
                </c:pt>
                <c:pt idx="376">
                  <c:v>208.27121688369968</c:v>
                </c:pt>
                <c:pt idx="377">
                  <c:v>206.59581898917293</c:v>
                </c:pt>
                <c:pt idx="378">
                  <c:v>212.65978146983949</c:v>
                </c:pt>
                <c:pt idx="379">
                  <c:v>213.59377338721714</c:v>
                </c:pt>
                <c:pt idx="380">
                  <c:v>212.71266776430636</c:v>
                </c:pt>
                <c:pt idx="381">
                  <c:v>207.51384523274925</c:v>
                </c:pt>
                <c:pt idx="382">
                  <c:v>199.22865838447308</c:v>
                </c:pt>
                <c:pt idx="383">
                  <c:v>176.965524123135</c:v>
                </c:pt>
                <c:pt idx="384">
                  <c:v>180.59072993064882</c:v>
                </c:pt>
                <c:pt idx="385">
                  <c:v>174.19647757321729</c:v>
                </c:pt>
                <c:pt idx="386">
                  <c:v>173.74345157910463</c:v>
                </c:pt>
                <c:pt idx="387">
                  <c:v>171.10512398343533</c:v>
                </c:pt>
                <c:pt idx="388">
                  <c:v>175.22925709724063</c:v>
                </c:pt>
                <c:pt idx="389">
                  <c:v>181.86898168936753</c:v>
                </c:pt>
                <c:pt idx="390">
                  <c:v>177.12917227959855</c:v>
                </c:pt>
                <c:pt idx="391">
                  <c:v>177.56523474529732</c:v>
                </c:pt>
                <c:pt idx="392">
                  <c:v>185.02918724741775</c:v>
                </c:pt>
                <c:pt idx="393">
                  <c:v>188.78710771840514</c:v>
                </c:pt>
                <c:pt idx="394">
                  <c:v>190.77184054283259</c:v>
                </c:pt>
                <c:pt idx="395">
                  <c:v>196.26004091203879</c:v>
                </c:pt>
                <c:pt idx="396">
                  <c:v>202.21324153070867</c:v>
                </c:pt>
                <c:pt idx="397">
                  <c:v>194.50980392156833</c:v>
                </c:pt>
                <c:pt idx="398">
                  <c:v>190.32679738562064</c:v>
                </c:pt>
                <c:pt idx="399">
                  <c:v>194.60460010976374</c:v>
                </c:pt>
                <c:pt idx="400">
                  <c:v>199.66372299555928</c:v>
                </c:pt>
                <c:pt idx="401">
                  <c:v>201.21538691812574</c:v>
                </c:pt>
                <c:pt idx="402">
                  <c:v>202.66626752482134</c:v>
                </c:pt>
                <c:pt idx="403">
                  <c:v>206.77643067405049</c:v>
                </c:pt>
                <c:pt idx="404">
                  <c:v>207.31826572868303</c:v>
                </c:pt>
                <c:pt idx="405">
                  <c:v>215.78107069799898</c:v>
                </c:pt>
                <c:pt idx="406">
                  <c:v>219.46315421843008</c:v>
                </c:pt>
                <c:pt idx="407">
                  <c:v>219.94112657785732</c:v>
                </c:pt>
                <c:pt idx="408">
                  <c:v>224.23589283041431</c:v>
                </c:pt>
                <c:pt idx="409">
                  <c:v>226.86025046150749</c:v>
                </c:pt>
                <c:pt idx="410">
                  <c:v>220.44504315721173</c:v>
                </c:pt>
                <c:pt idx="411">
                  <c:v>218.27870079329415</c:v>
                </c:pt>
                <c:pt idx="412">
                  <c:v>209.37085266676621</c:v>
                </c:pt>
                <c:pt idx="413">
                  <c:v>209.60933991917352</c:v>
                </c:pt>
                <c:pt idx="414">
                  <c:v>208.9727086763456</c:v>
                </c:pt>
                <c:pt idx="415">
                  <c:v>207.40208551614006</c:v>
                </c:pt>
                <c:pt idx="416">
                  <c:v>210.68901860998832</c:v>
                </c:pt>
                <c:pt idx="417">
                  <c:v>210.18709773985907</c:v>
                </c:pt>
                <c:pt idx="418">
                  <c:v>208.93878161951784</c:v>
                </c:pt>
                <c:pt idx="419">
                  <c:v>210.44953350296839</c:v>
                </c:pt>
                <c:pt idx="420">
                  <c:v>215.33902110462483</c:v>
                </c:pt>
                <c:pt idx="421">
                  <c:v>215.72419298508186</c:v>
                </c:pt>
                <c:pt idx="422">
                  <c:v>219.88225315571498</c:v>
                </c:pt>
                <c:pt idx="423">
                  <c:v>223.60225515142417</c:v>
                </c:pt>
                <c:pt idx="424">
                  <c:v>226.3094347153617</c:v>
                </c:pt>
                <c:pt idx="425">
                  <c:v>224.47637579204684</c:v>
                </c:pt>
                <c:pt idx="426">
                  <c:v>228.59152821433889</c:v>
                </c:pt>
                <c:pt idx="427">
                  <c:v>223.22107468941749</c:v>
                </c:pt>
                <c:pt idx="428">
                  <c:v>224.53524921418918</c:v>
                </c:pt>
                <c:pt idx="429">
                  <c:v>229.35488699296482</c:v>
                </c:pt>
                <c:pt idx="430">
                  <c:v>233.89811904405499</c:v>
                </c:pt>
                <c:pt idx="431">
                  <c:v>237.85361472833381</c:v>
                </c:pt>
                <c:pt idx="432">
                  <c:v>238.26872224716828</c:v>
                </c:pt>
                <c:pt idx="433">
                  <c:v>242.46769445691731</c:v>
                </c:pt>
                <c:pt idx="434">
                  <c:v>249.7201017811702</c:v>
                </c:pt>
                <c:pt idx="435">
                  <c:v>244.51030284887463</c:v>
                </c:pt>
                <c:pt idx="436">
                  <c:v>240.53385221773161</c:v>
                </c:pt>
                <c:pt idx="437">
                  <c:v>240.89307987826149</c:v>
                </c:pt>
                <c:pt idx="438">
                  <c:v>241.92386369305967</c:v>
                </c:pt>
                <c:pt idx="439">
                  <c:v>241.41196427680461</c:v>
                </c:pt>
                <c:pt idx="440">
                  <c:v>236.23409669211173</c:v>
                </c:pt>
                <c:pt idx="441">
                  <c:v>233.69954597615106</c:v>
                </c:pt>
                <c:pt idx="442">
                  <c:v>228.1035773087859</c:v>
                </c:pt>
                <c:pt idx="443">
                  <c:v>241.12458214838071</c:v>
                </c:pt>
                <c:pt idx="444">
                  <c:v>235.57152122935665</c:v>
                </c:pt>
                <c:pt idx="445">
                  <c:v>229.6342862844881</c:v>
                </c:pt>
                <c:pt idx="446">
                  <c:v>238.55510652097959</c:v>
                </c:pt>
                <c:pt idx="447">
                  <c:v>234.41400987876037</c:v>
                </c:pt>
                <c:pt idx="448">
                  <c:v>218.82851868482734</c:v>
                </c:pt>
                <c:pt idx="449">
                  <c:v>219.45716709075461</c:v>
                </c:pt>
                <c:pt idx="450">
                  <c:v>212.9272065060118</c:v>
                </c:pt>
                <c:pt idx="451">
                  <c:v>214.84807663523398</c:v>
                </c:pt>
                <c:pt idx="452">
                  <c:v>220.27041860000975</c:v>
                </c:pt>
                <c:pt idx="453">
                  <c:v>211.45736666167716</c:v>
                </c:pt>
                <c:pt idx="454">
                  <c:v>213.99990021453851</c:v>
                </c:pt>
                <c:pt idx="455">
                  <c:v>204.63902609389788</c:v>
                </c:pt>
                <c:pt idx="456">
                  <c:v>213.95499675697226</c:v>
                </c:pt>
                <c:pt idx="457">
                  <c:v>216.64421493788328</c:v>
                </c:pt>
                <c:pt idx="458">
                  <c:v>222.50261936835773</c:v>
                </c:pt>
                <c:pt idx="459">
                  <c:v>224.98328593523894</c:v>
                </c:pt>
                <c:pt idx="460">
                  <c:v>227.56373796337843</c:v>
                </c:pt>
                <c:pt idx="461">
                  <c:v>219.40727436012543</c:v>
                </c:pt>
                <c:pt idx="462">
                  <c:v>220.15566531956262</c:v>
                </c:pt>
                <c:pt idx="463">
                  <c:v>214.16654193483978</c:v>
                </c:pt>
                <c:pt idx="464">
                  <c:v>202.25515142443717</c:v>
                </c:pt>
                <c:pt idx="465">
                  <c:v>210.03741954797155</c:v>
                </c:pt>
                <c:pt idx="466">
                  <c:v>208.70628149478594</c:v>
                </c:pt>
                <c:pt idx="467">
                  <c:v>203.57930449533475</c:v>
                </c:pt>
                <c:pt idx="468">
                  <c:v>207.94591627999768</c:v>
                </c:pt>
                <c:pt idx="469">
                  <c:v>208.70129222172301</c:v>
                </c:pt>
                <c:pt idx="470">
                  <c:v>204.12912238686798</c:v>
                </c:pt>
                <c:pt idx="471">
                  <c:v>204.63603253006013</c:v>
                </c:pt>
                <c:pt idx="472">
                  <c:v>208.13750436561367</c:v>
                </c:pt>
                <c:pt idx="473">
                  <c:v>212.04011375542561</c:v>
                </c:pt>
                <c:pt idx="474">
                  <c:v>218.38846480067829</c:v>
                </c:pt>
                <c:pt idx="475">
                  <c:v>216.38078132016142</c:v>
                </c:pt>
                <c:pt idx="476">
                  <c:v>219.45517138152948</c:v>
                </c:pt>
                <c:pt idx="477">
                  <c:v>222.65828468792071</c:v>
                </c:pt>
                <c:pt idx="478">
                  <c:v>224.231901411964</c:v>
                </c:pt>
                <c:pt idx="479">
                  <c:v>220.1726288479766</c:v>
                </c:pt>
                <c:pt idx="480">
                  <c:v>221.6424686923113</c:v>
                </c:pt>
                <c:pt idx="481">
                  <c:v>220.87012922217207</c:v>
                </c:pt>
                <c:pt idx="482">
                  <c:v>221.08466796387742</c:v>
                </c:pt>
                <c:pt idx="483">
                  <c:v>214.5038167938929</c:v>
                </c:pt>
                <c:pt idx="484">
                  <c:v>214.49583395699224</c:v>
                </c:pt>
                <c:pt idx="485">
                  <c:v>220.11475328044682</c:v>
                </c:pt>
                <c:pt idx="486">
                  <c:v>223.75293119792426</c:v>
                </c:pt>
                <c:pt idx="487">
                  <c:v>220.21154517786735</c:v>
                </c:pt>
                <c:pt idx="488">
                  <c:v>219.82138402434742</c:v>
                </c:pt>
                <c:pt idx="489">
                  <c:v>208.82602404829592</c:v>
                </c:pt>
                <c:pt idx="490">
                  <c:v>208.4937384623058</c:v>
                </c:pt>
                <c:pt idx="491">
                  <c:v>199.69465648854938</c:v>
                </c:pt>
                <c:pt idx="492">
                  <c:v>206.36531457366638</c:v>
                </c:pt>
                <c:pt idx="493">
                  <c:v>208.11754727336202</c:v>
                </c:pt>
                <c:pt idx="494">
                  <c:v>208.23429626303425</c:v>
                </c:pt>
                <c:pt idx="495">
                  <c:v>216.496532455221</c:v>
                </c:pt>
                <c:pt idx="496">
                  <c:v>212.36042508606471</c:v>
                </c:pt>
                <c:pt idx="497">
                  <c:v>215.52262635334006</c:v>
                </c:pt>
                <c:pt idx="498">
                  <c:v>210.10128224317691</c:v>
                </c:pt>
                <c:pt idx="499">
                  <c:v>212.10297859601832</c:v>
                </c:pt>
                <c:pt idx="500">
                  <c:v>213.54388065658813</c:v>
                </c:pt>
                <c:pt idx="501">
                  <c:v>214.71336626253532</c:v>
                </c:pt>
                <c:pt idx="502">
                  <c:v>220.958938282692</c:v>
                </c:pt>
                <c:pt idx="503">
                  <c:v>221.74923913585772</c:v>
                </c:pt>
                <c:pt idx="504">
                  <c:v>221.08666367310261</c:v>
                </c:pt>
                <c:pt idx="505">
                  <c:v>227.91398493239512</c:v>
                </c:pt>
                <c:pt idx="506">
                  <c:v>233.0170134211443</c:v>
                </c:pt>
                <c:pt idx="507">
                  <c:v>235.31307688469767</c:v>
                </c:pt>
                <c:pt idx="508">
                  <c:v>229.50456518485234</c:v>
                </c:pt>
                <c:pt idx="509">
                  <c:v>236.18619967070777</c:v>
                </c:pt>
                <c:pt idx="510">
                  <c:v>230.99136855760096</c:v>
                </c:pt>
                <c:pt idx="511">
                  <c:v>234.18051189941608</c:v>
                </c:pt>
                <c:pt idx="512">
                  <c:v>232.29157311779653</c:v>
                </c:pt>
                <c:pt idx="513">
                  <c:v>231.73077882552494</c:v>
                </c:pt>
                <c:pt idx="514">
                  <c:v>223.87367160604686</c:v>
                </c:pt>
                <c:pt idx="515">
                  <c:v>220.5368457815695</c:v>
                </c:pt>
                <c:pt idx="516">
                  <c:v>230.13520930000485</c:v>
                </c:pt>
                <c:pt idx="517">
                  <c:v>232.18580052886276</c:v>
                </c:pt>
                <c:pt idx="518">
                  <c:v>231.46534949857789</c:v>
                </c:pt>
                <c:pt idx="519">
                  <c:v>235.58848475777057</c:v>
                </c:pt>
                <c:pt idx="520">
                  <c:v>237.46245572020138</c:v>
                </c:pt>
                <c:pt idx="521">
                  <c:v>237.21997704934373</c:v>
                </c:pt>
                <c:pt idx="522">
                  <c:v>238.79459162799955</c:v>
                </c:pt>
                <c:pt idx="523">
                  <c:v>239.13186648705258</c:v>
                </c:pt>
                <c:pt idx="524">
                  <c:v>238.19587886044977</c:v>
                </c:pt>
                <c:pt idx="525">
                  <c:v>244.3855710223018</c:v>
                </c:pt>
                <c:pt idx="526">
                  <c:v>245.74265329541461</c:v>
                </c:pt>
                <c:pt idx="527">
                  <c:v>241.10462505612909</c:v>
                </c:pt>
                <c:pt idx="528">
                  <c:v>239.80342264132094</c:v>
                </c:pt>
                <c:pt idx="529">
                  <c:v>242.67624607094723</c:v>
                </c:pt>
                <c:pt idx="530">
                  <c:v>238.12403332834384</c:v>
                </c:pt>
                <c:pt idx="531">
                  <c:v>239.86429177268849</c:v>
                </c:pt>
                <c:pt idx="532">
                  <c:v>241.00084817642048</c:v>
                </c:pt>
                <c:pt idx="533">
                  <c:v>243.98343561343088</c:v>
                </c:pt>
                <c:pt idx="534">
                  <c:v>241.11061218380459</c:v>
                </c:pt>
                <c:pt idx="535">
                  <c:v>243.52043107319241</c:v>
                </c:pt>
                <c:pt idx="536">
                  <c:v>249.78396447637556</c:v>
                </c:pt>
                <c:pt idx="537">
                  <c:v>247.5767100733421</c:v>
                </c:pt>
                <c:pt idx="538">
                  <c:v>252.82642319014093</c:v>
                </c:pt>
                <c:pt idx="539">
                  <c:v>258.18689816893652</c:v>
                </c:pt>
                <c:pt idx="540">
                  <c:v>255.43281943820762</c:v>
                </c:pt>
                <c:pt idx="541">
                  <c:v>255.06960035922739</c:v>
                </c:pt>
                <c:pt idx="542">
                  <c:v>254.43197126178688</c:v>
                </c:pt>
                <c:pt idx="543">
                  <c:v>248.55660330289848</c:v>
                </c:pt>
                <c:pt idx="544">
                  <c:v>248.17642069550439</c:v>
                </c:pt>
                <c:pt idx="545">
                  <c:v>247.31926358329568</c:v>
                </c:pt>
                <c:pt idx="546">
                  <c:v>234.40902060569752</c:v>
                </c:pt>
                <c:pt idx="547">
                  <c:v>237.37564236890663</c:v>
                </c:pt>
                <c:pt idx="548">
                  <c:v>235.47971860499905</c:v>
                </c:pt>
                <c:pt idx="549">
                  <c:v>239.61881953799312</c:v>
                </c:pt>
                <c:pt idx="550">
                  <c:v>245.97515342014646</c:v>
                </c:pt>
                <c:pt idx="551">
                  <c:v>246.59482113456048</c:v>
                </c:pt>
                <c:pt idx="552">
                  <c:v>250.08431871476301</c:v>
                </c:pt>
                <c:pt idx="553">
                  <c:v>251.15601456867711</c:v>
                </c:pt>
                <c:pt idx="554">
                  <c:v>246.84328693309359</c:v>
                </c:pt>
                <c:pt idx="555">
                  <c:v>247.96886693608718</c:v>
                </c:pt>
                <c:pt idx="556">
                  <c:v>241.32614878012251</c:v>
                </c:pt>
                <c:pt idx="557">
                  <c:v>245.17088260240465</c:v>
                </c:pt>
                <c:pt idx="558">
                  <c:v>249.06351344609067</c:v>
                </c:pt>
                <c:pt idx="559">
                  <c:v>258.0891084169034</c:v>
                </c:pt>
                <c:pt idx="560">
                  <c:v>256.5494187496879</c:v>
                </c:pt>
                <c:pt idx="561">
                  <c:v>259.18375492690689</c:v>
                </c:pt>
                <c:pt idx="562">
                  <c:v>260.34625555056607</c:v>
                </c:pt>
                <c:pt idx="563">
                  <c:v>268.20436062465677</c:v>
                </c:pt>
                <c:pt idx="564">
                  <c:v>272.22571471336602</c:v>
                </c:pt>
                <c:pt idx="565">
                  <c:v>266.97201017811682</c:v>
                </c:pt>
                <c:pt idx="566">
                  <c:v>265.05812503118273</c:v>
                </c:pt>
                <c:pt idx="567">
                  <c:v>267.0189093449082</c:v>
                </c:pt>
                <c:pt idx="568">
                  <c:v>265.37644065259667</c:v>
                </c:pt>
                <c:pt idx="569">
                  <c:v>269.71910392655764</c:v>
                </c:pt>
                <c:pt idx="570">
                  <c:v>263.91059222671237</c:v>
                </c:pt>
                <c:pt idx="571">
                  <c:v>264.31871476325875</c:v>
                </c:pt>
                <c:pt idx="572">
                  <c:v>270.88360025944195</c:v>
                </c:pt>
                <c:pt idx="573">
                  <c:v>277.5193334331185</c:v>
                </c:pt>
                <c:pt idx="574">
                  <c:v>276.3368757172077</c:v>
                </c:pt>
                <c:pt idx="575">
                  <c:v>278.39345407374117</c:v>
                </c:pt>
                <c:pt idx="576">
                  <c:v>282.08451828568548</c:v>
                </c:pt>
                <c:pt idx="577">
                  <c:v>281.34909943621187</c:v>
                </c:pt>
                <c:pt idx="578">
                  <c:v>279.02110462505584</c:v>
                </c:pt>
                <c:pt idx="579">
                  <c:v>283.95449782966597</c:v>
                </c:pt>
                <c:pt idx="580">
                  <c:v>292.65279648755154</c:v>
                </c:pt>
                <c:pt idx="581">
                  <c:v>296.38277702938655</c:v>
                </c:pt>
                <c:pt idx="582">
                  <c:v>301.40398143990393</c:v>
                </c:pt>
                <c:pt idx="583">
                  <c:v>301.41495784064233</c:v>
                </c:pt>
                <c:pt idx="584">
                  <c:v>298.13002045601928</c:v>
                </c:pt>
                <c:pt idx="585">
                  <c:v>301.14254353140723</c:v>
                </c:pt>
                <c:pt idx="586">
                  <c:v>304.74380082821904</c:v>
                </c:pt>
                <c:pt idx="587">
                  <c:v>303.88265229756001</c:v>
                </c:pt>
                <c:pt idx="588">
                  <c:v>300.97091253804291</c:v>
                </c:pt>
                <c:pt idx="589">
                  <c:v>302.90774834106645</c:v>
                </c:pt>
                <c:pt idx="590">
                  <c:v>304.46939080975869</c:v>
                </c:pt>
                <c:pt idx="591">
                  <c:v>309.64426483061391</c:v>
                </c:pt>
                <c:pt idx="592">
                  <c:v>311.70084318714743</c:v>
                </c:pt>
                <c:pt idx="593">
                  <c:v>311.59507059821362</c:v>
                </c:pt>
                <c:pt idx="594">
                  <c:v>310.73691563139226</c:v>
                </c:pt>
                <c:pt idx="595">
                  <c:v>317.51035274160529</c:v>
                </c:pt>
                <c:pt idx="596">
                  <c:v>316.28099585890311</c:v>
                </c:pt>
                <c:pt idx="597">
                  <c:v>314.03881654442921</c:v>
                </c:pt>
                <c:pt idx="598">
                  <c:v>316.22012672753556</c:v>
                </c:pt>
                <c:pt idx="599">
                  <c:v>316.70308836002573</c:v>
                </c:pt>
                <c:pt idx="600">
                  <c:v>320.5827470937482</c:v>
                </c:pt>
                <c:pt idx="601">
                  <c:v>315.45277653045929</c:v>
                </c:pt>
                <c:pt idx="602">
                  <c:v>317.11220875118471</c:v>
                </c:pt>
                <c:pt idx="603">
                  <c:v>318.33757421543658</c:v>
                </c:pt>
                <c:pt idx="604">
                  <c:v>308.07563737963358</c:v>
                </c:pt>
                <c:pt idx="605">
                  <c:v>299.68368008781101</c:v>
                </c:pt>
                <c:pt idx="606">
                  <c:v>306.29546475078558</c:v>
                </c:pt>
                <c:pt idx="607">
                  <c:v>309.06251559147807</c:v>
                </c:pt>
                <c:pt idx="608">
                  <c:v>314.02285087062791</c:v>
                </c:pt>
                <c:pt idx="609">
                  <c:v>315.38392456219105</c:v>
                </c:pt>
                <c:pt idx="610">
                  <c:v>308.49373846230583</c:v>
                </c:pt>
                <c:pt idx="611">
                  <c:v>305.66681634485832</c:v>
                </c:pt>
                <c:pt idx="612">
                  <c:v>299.32545028189372</c:v>
                </c:pt>
                <c:pt idx="613">
                  <c:v>294.08471785660811</c:v>
                </c:pt>
                <c:pt idx="614">
                  <c:v>289.23414658484239</c:v>
                </c:pt>
                <c:pt idx="615">
                  <c:v>290.97440502918704</c:v>
                </c:pt>
                <c:pt idx="616">
                  <c:v>298.50920520880089</c:v>
                </c:pt>
                <c:pt idx="617">
                  <c:v>305.01322157361648</c:v>
                </c:pt>
                <c:pt idx="618">
                  <c:v>297.73586788404907</c:v>
                </c:pt>
                <c:pt idx="619">
                  <c:v>300.67754328194354</c:v>
                </c:pt>
                <c:pt idx="620">
                  <c:v>305.53809309983507</c:v>
                </c:pt>
                <c:pt idx="621">
                  <c:v>309.36785910292843</c:v>
                </c:pt>
                <c:pt idx="622">
                  <c:v>307.11071196926582</c:v>
                </c:pt>
                <c:pt idx="623">
                  <c:v>296.41670408621439</c:v>
                </c:pt>
                <c:pt idx="624">
                  <c:v>301.81609539490074</c:v>
                </c:pt>
                <c:pt idx="625">
                  <c:v>304.0123733971958</c:v>
                </c:pt>
                <c:pt idx="626">
                  <c:v>298.02325001247294</c:v>
                </c:pt>
                <c:pt idx="627">
                  <c:v>296.79688669360849</c:v>
                </c:pt>
                <c:pt idx="628">
                  <c:v>297.83764905453256</c:v>
                </c:pt>
                <c:pt idx="629">
                  <c:v>301.38502220226491</c:v>
                </c:pt>
                <c:pt idx="630">
                  <c:v>301.66841291223852</c:v>
                </c:pt>
                <c:pt idx="631">
                  <c:v>302.0665569026591</c:v>
                </c:pt>
                <c:pt idx="632">
                  <c:v>300.2594421992714</c:v>
                </c:pt>
                <c:pt idx="633">
                  <c:v>299.92416304944351</c:v>
                </c:pt>
                <c:pt idx="634">
                  <c:v>299.43920570772815</c:v>
                </c:pt>
                <c:pt idx="635">
                  <c:v>287.18056179214665</c:v>
                </c:pt>
                <c:pt idx="636">
                  <c:v>278.6968018759664</c:v>
                </c:pt>
                <c:pt idx="637">
                  <c:v>293.89412762560471</c:v>
                </c:pt>
                <c:pt idx="638">
                  <c:v>294.64451429426708</c:v>
                </c:pt>
                <c:pt idx="639">
                  <c:v>294.3920570772836</c:v>
                </c:pt>
                <c:pt idx="640">
                  <c:v>298.12103976450607</c:v>
                </c:pt>
                <c:pt idx="641">
                  <c:v>297.85860400139671</c:v>
                </c:pt>
                <c:pt idx="642">
                  <c:v>304.08322107468916</c:v>
                </c:pt>
                <c:pt idx="643">
                  <c:v>303.06241580601682</c:v>
                </c:pt>
                <c:pt idx="644">
                  <c:v>305.89931646959019</c:v>
                </c:pt>
                <c:pt idx="645">
                  <c:v>313.0589233148728</c:v>
                </c:pt>
                <c:pt idx="646">
                  <c:v>308.15446789402762</c:v>
                </c:pt>
                <c:pt idx="647">
                  <c:v>304.2578456318912</c:v>
                </c:pt>
                <c:pt idx="648">
                  <c:v>292.37339719602835</c:v>
                </c:pt>
                <c:pt idx="649">
                  <c:v>296.72404330689</c:v>
                </c:pt>
                <c:pt idx="650">
                  <c:v>298.77663024497315</c:v>
                </c:pt>
                <c:pt idx="651">
                  <c:v>298.9552462206255</c:v>
                </c:pt>
                <c:pt idx="652">
                  <c:v>287.27835154417983</c:v>
                </c:pt>
                <c:pt idx="653">
                  <c:v>294.15955695255184</c:v>
                </c:pt>
                <c:pt idx="654">
                  <c:v>295.58948261238322</c:v>
                </c:pt>
                <c:pt idx="655">
                  <c:v>291.34061767200507</c:v>
                </c:pt>
                <c:pt idx="656">
                  <c:v>295.2522077533302</c:v>
                </c:pt>
                <c:pt idx="657">
                  <c:v>293.2215736167239</c:v>
                </c:pt>
                <c:pt idx="658">
                  <c:v>297.37963378735702</c:v>
                </c:pt>
                <c:pt idx="659">
                  <c:v>289.65324552212729</c:v>
                </c:pt>
                <c:pt idx="660">
                  <c:v>288.24926408222308</c:v>
                </c:pt>
                <c:pt idx="661">
                  <c:v>280.74739310482448</c:v>
                </c:pt>
                <c:pt idx="662">
                  <c:v>287.85411365564022</c:v>
                </c:pt>
                <c:pt idx="663">
                  <c:v>292.49912687721383</c:v>
                </c:pt>
                <c:pt idx="664">
                  <c:v>291.26577857606128</c:v>
                </c:pt>
                <c:pt idx="665">
                  <c:v>299.34341166492021</c:v>
                </c:pt>
                <c:pt idx="666">
                  <c:v>304.46240582747072</c:v>
                </c:pt>
                <c:pt idx="667">
                  <c:v>309.51653944020336</c:v>
                </c:pt>
                <c:pt idx="668">
                  <c:v>307.65653844234868</c:v>
                </c:pt>
                <c:pt idx="669">
                  <c:v>305.78955246220596</c:v>
                </c:pt>
                <c:pt idx="670">
                  <c:v>294.2802973606743</c:v>
                </c:pt>
                <c:pt idx="671">
                  <c:v>291.66691613031958</c:v>
                </c:pt>
                <c:pt idx="672">
                  <c:v>299.37035373945992</c:v>
                </c:pt>
                <c:pt idx="673">
                  <c:v>295.12049094446917</c:v>
                </c:pt>
                <c:pt idx="674">
                  <c:v>293.89113406176693</c:v>
                </c:pt>
                <c:pt idx="675">
                  <c:v>290.79479119892204</c:v>
                </c:pt>
                <c:pt idx="676">
                  <c:v>289.52053085865361</c:v>
                </c:pt>
                <c:pt idx="677">
                  <c:v>294.01387017911469</c:v>
                </c:pt>
                <c:pt idx="678">
                  <c:v>291.78166941076665</c:v>
                </c:pt>
                <c:pt idx="679">
                  <c:v>285.04116150276883</c:v>
                </c:pt>
                <c:pt idx="680">
                  <c:v>278.14399042059551</c:v>
                </c:pt>
                <c:pt idx="681">
                  <c:v>281.23634186499004</c:v>
                </c:pt>
                <c:pt idx="682">
                  <c:v>289.09744050291852</c:v>
                </c:pt>
                <c:pt idx="683">
                  <c:v>289.06451130070326</c:v>
                </c:pt>
                <c:pt idx="684">
                  <c:v>278.47627600658564</c:v>
                </c:pt>
                <c:pt idx="685">
                  <c:v>283.57830664072225</c:v>
                </c:pt>
                <c:pt idx="686">
                  <c:v>279.91817592176795</c:v>
                </c:pt>
                <c:pt idx="687">
                  <c:v>283.99640772339444</c:v>
                </c:pt>
                <c:pt idx="688">
                  <c:v>292.42229207204485</c:v>
                </c:pt>
                <c:pt idx="689">
                  <c:v>299.9181759217679</c:v>
                </c:pt>
                <c:pt idx="690">
                  <c:v>295.2771541186446</c:v>
                </c:pt>
                <c:pt idx="691">
                  <c:v>297.58419398293637</c:v>
                </c:pt>
                <c:pt idx="692">
                  <c:v>303.31686873222543</c:v>
                </c:pt>
                <c:pt idx="693">
                  <c:v>303.75891832559967</c:v>
                </c:pt>
                <c:pt idx="694">
                  <c:v>296.89467644564161</c:v>
                </c:pt>
                <c:pt idx="695">
                  <c:v>307.41306191687841</c:v>
                </c:pt>
                <c:pt idx="696">
                  <c:v>304.514294267325</c:v>
                </c:pt>
                <c:pt idx="697">
                  <c:v>299.91717806715536</c:v>
                </c:pt>
                <c:pt idx="698">
                  <c:v>298.42039614828099</c:v>
                </c:pt>
                <c:pt idx="699">
                  <c:v>300.69151324651983</c:v>
                </c:pt>
                <c:pt idx="700">
                  <c:v>296.73102828917808</c:v>
                </c:pt>
                <c:pt idx="701">
                  <c:v>290.38467295315053</c:v>
                </c:pt>
                <c:pt idx="702">
                  <c:v>284.11714813151707</c:v>
                </c:pt>
                <c:pt idx="703">
                  <c:v>274.16554408022733</c:v>
                </c:pt>
                <c:pt idx="704">
                  <c:v>293.72549019607823</c:v>
                </c:pt>
                <c:pt idx="705">
                  <c:v>287.28334081724273</c:v>
                </c:pt>
                <c:pt idx="706">
                  <c:v>290.79279548969691</c:v>
                </c:pt>
                <c:pt idx="707">
                  <c:v>289.67020905054108</c:v>
                </c:pt>
                <c:pt idx="708">
                  <c:v>294.40902060569755</c:v>
                </c:pt>
                <c:pt idx="709">
                  <c:v>287.72239684677919</c:v>
                </c:pt>
                <c:pt idx="710">
                  <c:v>292.84039315471711</c:v>
                </c:pt>
                <c:pt idx="711">
                  <c:v>290.15815995609415</c:v>
                </c:pt>
                <c:pt idx="712">
                  <c:v>291.99720600708446</c:v>
                </c:pt>
                <c:pt idx="713">
                  <c:v>294.05278650900533</c:v>
                </c:pt>
                <c:pt idx="714">
                  <c:v>292.67973856209119</c:v>
                </c:pt>
                <c:pt idx="715">
                  <c:v>286.00309334929864</c:v>
                </c:pt>
                <c:pt idx="716">
                  <c:v>290.03642169335893</c:v>
                </c:pt>
                <c:pt idx="717">
                  <c:v>292.83141246320378</c:v>
                </c:pt>
                <c:pt idx="718">
                  <c:v>272.33148730229976</c:v>
                </c:pt>
                <c:pt idx="719">
                  <c:v>273.45906301451851</c:v>
                </c:pt>
                <c:pt idx="720">
                  <c:v>273.06491044254824</c:v>
                </c:pt>
                <c:pt idx="721">
                  <c:v>273.07289327944892</c:v>
                </c:pt>
                <c:pt idx="722">
                  <c:v>268.51070199071972</c:v>
                </c:pt>
                <c:pt idx="723">
                  <c:v>253.54088709275038</c:v>
                </c:pt>
                <c:pt idx="724">
                  <c:v>244.2668263234045</c:v>
                </c:pt>
                <c:pt idx="725">
                  <c:v>246.29147333233533</c:v>
                </c:pt>
                <c:pt idx="726">
                  <c:v>246.40023948510688</c:v>
                </c:pt>
                <c:pt idx="727">
                  <c:v>250.08032729631273</c:v>
                </c:pt>
                <c:pt idx="728">
                  <c:v>251.93633687571702</c:v>
                </c:pt>
                <c:pt idx="729">
                  <c:v>255.37793743451559</c:v>
                </c:pt>
                <c:pt idx="730">
                  <c:v>256.99446190689991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59-4C94-BDB6-F57A146136EF}"/>
            </c:ext>
          </c:extLst>
        </c:ser>
        <c:ser>
          <c:idx val="4"/>
          <c:order val="4"/>
          <c:tx>
            <c:strRef>
              <c:f>Index!$T$1</c:f>
              <c:strCache>
                <c:ptCount val="1"/>
                <c:pt idx="0">
                  <c:v>Dow Jones North America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Index!$T$2:$T$732</c:f>
              <c:numCache>
                <c:formatCode>General</c:formatCode>
                <c:ptCount val="731"/>
                <c:pt idx="0">
                  <c:v>100</c:v>
                </c:pt>
                <c:pt idx="1">
                  <c:v>100.56940899273515</c:v>
                </c:pt>
                <c:pt idx="2">
                  <c:v>97.803848419399188</c:v>
                </c:pt>
                <c:pt idx="3">
                  <c:v>95.701943844492462</c:v>
                </c:pt>
                <c:pt idx="4">
                  <c:v>94.463970155114879</c:v>
                </c:pt>
                <c:pt idx="5">
                  <c:v>91.946789711368567</c:v>
                </c:pt>
                <c:pt idx="6">
                  <c:v>91.021009228352654</c:v>
                </c:pt>
                <c:pt idx="7">
                  <c:v>92.129393284900857</c:v>
                </c:pt>
                <c:pt idx="8">
                  <c:v>91.375417239348153</c:v>
                </c:pt>
                <c:pt idx="9">
                  <c:v>93.7630080502651</c:v>
                </c:pt>
                <c:pt idx="10">
                  <c:v>92.513253485175753</c:v>
                </c:pt>
                <c:pt idx="11">
                  <c:v>96.475554682898107</c:v>
                </c:pt>
                <c:pt idx="12">
                  <c:v>95.589043785588061</c:v>
                </c:pt>
                <c:pt idx="13">
                  <c:v>97.869624975456503</c:v>
                </c:pt>
                <c:pt idx="14">
                  <c:v>98.159238170037312</c:v>
                </c:pt>
                <c:pt idx="15">
                  <c:v>99.048694286275293</c:v>
                </c:pt>
                <c:pt idx="16">
                  <c:v>100.37502454349109</c:v>
                </c:pt>
                <c:pt idx="17">
                  <c:v>101.41566856469666</c:v>
                </c:pt>
                <c:pt idx="18">
                  <c:v>103.10229727076381</c:v>
                </c:pt>
                <c:pt idx="19">
                  <c:v>105.03043392892205</c:v>
                </c:pt>
                <c:pt idx="20">
                  <c:v>109.47476929118396</c:v>
                </c:pt>
                <c:pt idx="21">
                  <c:v>110.84036913410563</c:v>
                </c:pt>
                <c:pt idx="22">
                  <c:v>111.90457490673472</c:v>
                </c:pt>
                <c:pt idx="23">
                  <c:v>110.94443353622619</c:v>
                </c:pt>
                <c:pt idx="24">
                  <c:v>111.90555664637736</c:v>
                </c:pt>
                <c:pt idx="25">
                  <c:v>110.4722167681131</c:v>
                </c:pt>
                <c:pt idx="26">
                  <c:v>112.15982721382291</c:v>
                </c:pt>
                <c:pt idx="27">
                  <c:v>110.92283526408796</c:v>
                </c:pt>
                <c:pt idx="28">
                  <c:v>109.25387787158846</c:v>
                </c:pt>
                <c:pt idx="29">
                  <c:v>110.12075397604558</c:v>
                </c:pt>
                <c:pt idx="30">
                  <c:v>108.5804044767328</c:v>
                </c:pt>
                <c:pt idx="31">
                  <c:v>109.38052228548992</c:v>
                </c:pt>
                <c:pt idx="32">
                  <c:v>110.40938543098373</c:v>
                </c:pt>
                <c:pt idx="33">
                  <c:v>110.80698998625567</c:v>
                </c:pt>
                <c:pt idx="34">
                  <c:v>112.07539760455528</c:v>
                </c:pt>
                <c:pt idx="35">
                  <c:v>113.39092872570197</c:v>
                </c:pt>
                <c:pt idx="36">
                  <c:v>113.52739053602987</c:v>
                </c:pt>
                <c:pt idx="37">
                  <c:v>114.34125269978404</c:v>
                </c:pt>
                <c:pt idx="38">
                  <c:v>112.73610838405655</c:v>
                </c:pt>
                <c:pt idx="39">
                  <c:v>115.51050461417633</c:v>
                </c:pt>
                <c:pt idx="40">
                  <c:v>116.93599057529944</c:v>
                </c:pt>
                <c:pt idx="41">
                  <c:v>116.5737286471628</c:v>
                </c:pt>
                <c:pt idx="42">
                  <c:v>116.11820145297467</c:v>
                </c:pt>
                <c:pt idx="43">
                  <c:v>117.97663459650501</c:v>
                </c:pt>
                <c:pt idx="44">
                  <c:v>118.81994894953857</c:v>
                </c:pt>
                <c:pt idx="45">
                  <c:v>117.89416846652267</c:v>
                </c:pt>
                <c:pt idx="46">
                  <c:v>117.03220106027881</c:v>
                </c:pt>
                <c:pt idx="47">
                  <c:v>119.491458865109</c:v>
                </c:pt>
                <c:pt idx="48">
                  <c:v>119.59846848615749</c:v>
                </c:pt>
                <c:pt idx="49">
                  <c:v>119.93127822501472</c:v>
                </c:pt>
                <c:pt idx="50">
                  <c:v>119.80365207147064</c:v>
                </c:pt>
                <c:pt idx="51">
                  <c:v>122.29628902415081</c:v>
                </c:pt>
                <c:pt idx="52">
                  <c:v>123.11898684468879</c:v>
                </c:pt>
                <c:pt idx="53">
                  <c:v>124.59552326722955</c:v>
                </c:pt>
                <c:pt idx="54">
                  <c:v>124.02905949342235</c:v>
                </c:pt>
                <c:pt idx="55">
                  <c:v>124.21362654623996</c:v>
                </c:pt>
                <c:pt idx="56">
                  <c:v>122.6673866090713</c:v>
                </c:pt>
                <c:pt idx="57">
                  <c:v>122.30905163950521</c:v>
                </c:pt>
                <c:pt idx="58">
                  <c:v>123.27704692715494</c:v>
                </c:pt>
                <c:pt idx="59">
                  <c:v>122.42293343805225</c:v>
                </c:pt>
                <c:pt idx="60">
                  <c:v>123.73551934027097</c:v>
                </c:pt>
                <c:pt idx="61">
                  <c:v>127.53288827802868</c:v>
                </c:pt>
                <c:pt idx="62">
                  <c:v>124.33438052228551</c:v>
                </c:pt>
                <c:pt idx="63">
                  <c:v>125.03436088749265</c:v>
                </c:pt>
                <c:pt idx="64">
                  <c:v>123.17494600431969</c:v>
                </c:pt>
                <c:pt idx="65">
                  <c:v>126.12801884940117</c:v>
                </c:pt>
                <c:pt idx="66">
                  <c:v>125.82466129982333</c:v>
                </c:pt>
                <c:pt idx="67">
                  <c:v>122.60357353229925</c:v>
                </c:pt>
                <c:pt idx="68">
                  <c:v>123.1150598861182</c:v>
                </c:pt>
                <c:pt idx="69">
                  <c:v>119.86255645002946</c:v>
                </c:pt>
                <c:pt idx="70">
                  <c:v>118.97113685450618</c:v>
                </c:pt>
                <c:pt idx="71">
                  <c:v>116.6856469664245</c:v>
                </c:pt>
                <c:pt idx="72">
                  <c:v>116.29687806793638</c:v>
                </c:pt>
                <c:pt idx="73">
                  <c:v>119.85372079324564</c:v>
                </c:pt>
                <c:pt idx="74">
                  <c:v>119.64853720793246</c:v>
                </c:pt>
                <c:pt idx="75">
                  <c:v>120.31022972707639</c:v>
                </c:pt>
                <c:pt idx="76">
                  <c:v>122.18927940310229</c:v>
                </c:pt>
                <c:pt idx="77">
                  <c:v>123.56175142352248</c:v>
                </c:pt>
                <c:pt idx="78">
                  <c:v>123.09542509326526</c:v>
                </c:pt>
                <c:pt idx="79">
                  <c:v>123.41547221676811</c:v>
                </c:pt>
                <c:pt idx="80">
                  <c:v>123.35656783820932</c:v>
                </c:pt>
                <c:pt idx="81">
                  <c:v>121.44119379540547</c:v>
                </c:pt>
                <c:pt idx="82">
                  <c:v>122.50638130767722</c:v>
                </c:pt>
                <c:pt idx="83">
                  <c:v>122.4111525623405</c:v>
                </c:pt>
                <c:pt idx="84">
                  <c:v>122.81366581582567</c:v>
                </c:pt>
                <c:pt idx="85">
                  <c:v>124.24896917337526</c:v>
                </c:pt>
                <c:pt idx="86">
                  <c:v>124.30885529157672</c:v>
                </c:pt>
                <c:pt idx="87">
                  <c:v>126.40683290791286</c:v>
                </c:pt>
                <c:pt idx="88">
                  <c:v>127.69880227763602</c:v>
                </c:pt>
                <c:pt idx="89">
                  <c:v>128.53524445317106</c:v>
                </c:pt>
                <c:pt idx="90">
                  <c:v>126.73375220891424</c:v>
                </c:pt>
                <c:pt idx="91">
                  <c:v>130.16198704103672</c:v>
                </c:pt>
                <c:pt idx="92">
                  <c:v>130.46436285097195</c:v>
                </c:pt>
                <c:pt idx="93">
                  <c:v>130.83447869624979</c:v>
                </c:pt>
                <c:pt idx="94">
                  <c:v>130.42607500490871</c:v>
                </c:pt>
                <c:pt idx="95">
                  <c:v>133.21127037109761</c:v>
                </c:pt>
                <c:pt idx="96">
                  <c:v>135.88847437659535</c:v>
                </c:pt>
                <c:pt idx="97">
                  <c:v>139.25485961123113</c:v>
                </c:pt>
                <c:pt idx="98">
                  <c:v>137.3002159827214</c:v>
                </c:pt>
                <c:pt idx="99">
                  <c:v>140.68819948949539</c:v>
                </c:pt>
                <c:pt idx="100">
                  <c:v>139.16159434517968</c:v>
                </c:pt>
                <c:pt idx="101">
                  <c:v>136.71509915570391</c:v>
                </c:pt>
                <c:pt idx="102">
                  <c:v>140.13548007068525</c:v>
                </c:pt>
                <c:pt idx="103">
                  <c:v>141.5246416650304</c:v>
                </c:pt>
                <c:pt idx="104">
                  <c:v>142.15884547418023</c:v>
                </c:pt>
                <c:pt idx="105">
                  <c:v>137.83133712939326</c:v>
                </c:pt>
                <c:pt idx="106">
                  <c:v>140.04417828391908</c:v>
                </c:pt>
                <c:pt idx="107">
                  <c:v>140.72845081484388</c:v>
                </c:pt>
                <c:pt idx="108">
                  <c:v>141.08874926369526</c:v>
                </c:pt>
                <c:pt idx="109">
                  <c:v>145.0343608874926</c:v>
                </c:pt>
                <c:pt idx="110">
                  <c:v>144.81543294718236</c:v>
                </c:pt>
                <c:pt idx="111">
                  <c:v>144.80757903004118</c:v>
                </c:pt>
                <c:pt idx="112">
                  <c:v>143.78755154133117</c:v>
                </c:pt>
                <c:pt idx="113">
                  <c:v>145.83840565482029</c:v>
                </c:pt>
                <c:pt idx="114">
                  <c:v>144.67995287649711</c:v>
                </c:pt>
                <c:pt idx="115">
                  <c:v>144.36972314942074</c:v>
                </c:pt>
                <c:pt idx="116">
                  <c:v>141.11820145297463</c:v>
                </c:pt>
                <c:pt idx="117">
                  <c:v>142.60651875122713</c:v>
                </c:pt>
                <c:pt idx="118">
                  <c:v>143.52051835853129</c:v>
                </c:pt>
                <c:pt idx="119">
                  <c:v>140.87080306302767</c:v>
                </c:pt>
                <c:pt idx="120">
                  <c:v>142.83526408796385</c:v>
                </c:pt>
                <c:pt idx="121">
                  <c:v>142.05576281170232</c:v>
                </c:pt>
                <c:pt idx="122">
                  <c:v>145.11584527783231</c:v>
                </c:pt>
                <c:pt idx="123">
                  <c:v>144.1753387001767</c:v>
                </c:pt>
                <c:pt idx="124">
                  <c:v>147.17553504810525</c:v>
                </c:pt>
                <c:pt idx="125">
                  <c:v>149.07029255841348</c:v>
                </c:pt>
                <c:pt idx="126">
                  <c:v>150.96799528764967</c:v>
                </c:pt>
                <c:pt idx="127">
                  <c:v>151.07009621048493</c:v>
                </c:pt>
                <c:pt idx="128">
                  <c:v>154.52483801295892</c:v>
                </c:pt>
                <c:pt idx="129">
                  <c:v>155.70685254270563</c:v>
                </c:pt>
                <c:pt idx="130">
                  <c:v>159.21657176516786</c:v>
                </c:pt>
                <c:pt idx="131">
                  <c:v>162.03809149813469</c:v>
                </c:pt>
                <c:pt idx="132">
                  <c:v>161.08678578440995</c:v>
                </c:pt>
                <c:pt idx="133">
                  <c:v>160.71568819948948</c:v>
                </c:pt>
                <c:pt idx="134">
                  <c:v>163.65207147064598</c:v>
                </c:pt>
                <c:pt idx="135">
                  <c:v>162.70272923620655</c:v>
                </c:pt>
                <c:pt idx="136">
                  <c:v>162.21676811309638</c:v>
                </c:pt>
                <c:pt idx="137">
                  <c:v>160.80011780875711</c:v>
                </c:pt>
                <c:pt idx="138">
                  <c:v>162.23149420773609</c:v>
                </c:pt>
                <c:pt idx="139">
                  <c:v>167.43471431376398</c:v>
                </c:pt>
                <c:pt idx="140">
                  <c:v>170.64892990378948</c:v>
                </c:pt>
                <c:pt idx="141">
                  <c:v>171.27626153544077</c:v>
                </c:pt>
                <c:pt idx="142">
                  <c:v>167.41802473983896</c:v>
                </c:pt>
                <c:pt idx="143">
                  <c:v>171.36363636363632</c:v>
                </c:pt>
                <c:pt idx="144">
                  <c:v>164.78598075790296</c:v>
                </c:pt>
                <c:pt idx="145">
                  <c:v>159.09876300805021</c:v>
                </c:pt>
                <c:pt idx="146">
                  <c:v>157.44453171019043</c:v>
                </c:pt>
                <c:pt idx="147">
                  <c:v>159.71824072256038</c:v>
                </c:pt>
                <c:pt idx="148">
                  <c:v>162.66542312978601</c:v>
                </c:pt>
                <c:pt idx="149">
                  <c:v>163.26821127037113</c:v>
                </c:pt>
                <c:pt idx="150">
                  <c:v>163.44099744747697</c:v>
                </c:pt>
                <c:pt idx="151">
                  <c:v>166.94286275279802</c:v>
                </c:pt>
                <c:pt idx="152">
                  <c:v>168.80325937561366</c:v>
                </c:pt>
                <c:pt idx="153">
                  <c:v>167.41900647948171</c:v>
                </c:pt>
                <c:pt idx="154">
                  <c:v>168.84154722167688</c:v>
                </c:pt>
                <c:pt idx="155">
                  <c:v>167.30806989986263</c:v>
                </c:pt>
                <c:pt idx="156">
                  <c:v>165.8973100333792</c:v>
                </c:pt>
                <c:pt idx="157">
                  <c:v>169.48164146868257</c:v>
                </c:pt>
                <c:pt idx="158">
                  <c:v>169.86746514824276</c:v>
                </c:pt>
                <c:pt idx="159">
                  <c:v>170.36618888670733</c:v>
                </c:pt>
                <c:pt idx="160">
                  <c:v>172.48969173375232</c:v>
                </c:pt>
                <c:pt idx="161">
                  <c:v>171.49420773610848</c:v>
                </c:pt>
                <c:pt idx="162">
                  <c:v>171.37934419791884</c:v>
                </c:pt>
                <c:pt idx="163">
                  <c:v>172.93049283330072</c:v>
                </c:pt>
                <c:pt idx="164">
                  <c:v>175.44080109954851</c:v>
                </c:pt>
                <c:pt idx="165">
                  <c:v>172.21382289416857</c:v>
                </c:pt>
                <c:pt idx="166">
                  <c:v>169.36579619085029</c:v>
                </c:pt>
                <c:pt idx="167">
                  <c:v>171.48831729825258</c:v>
                </c:pt>
                <c:pt idx="168">
                  <c:v>170.07068525427064</c:v>
                </c:pt>
                <c:pt idx="169">
                  <c:v>168.47143137639907</c:v>
                </c:pt>
                <c:pt idx="170">
                  <c:v>168.80031415668577</c:v>
                </c:pt>
                <c:pt idx="171">
                  <c:v>167.58590221873172</c:v>
                </c:pt>
                <c:pt idx="172">
                  <c:v>171.56292951109378</c:v>
                </c:pt>
                <c:pt idx="173">
                  <c:v>173.67465148242698</c:v>
                </c:pt>
                <c:pt idx="174">
                  <c:v>176.39799725112911</c:v>
                </c:pt>
                <c:pt idx="175">
                  <c:v>171.03377184370717</c:v>
                </c:pt>
                <c:pt idx="176">
                  <c:v>166.73080698998635</c:v>
                </c:pt>
                <c:pt idx="177">
                  <c:v>169.95680345572367</c:v>
                </c:pt>
                <c:pt idx="178">
                  <c:v>175.31710190457503</c:v>
                </c:pt>
                <c:pt idx="179">
                  <c:v>171.03769880227776</c:v>
                </c:pt>
                <c:pt idx="180">
                  <c:v>170.41429412919706</c:v>
                </c:pt>
                <c:pt idx="181">
                  <c:v>170.48105242489703</c:v>
                </c:pt>
                <c:pt idx="182">
                  <c:v>174.8576477518163</c:v>
                </c:pt>
                <c:pt idx="183">
                  <c:v>176.27527979579824</c:v>
                </c:pt>
                <c:pt idx="184">
                  <c:v>174.2951109365797</c:v>
                </c:pt>
                <c:pt idx="185">
                  <c:v>177.30512468093471</c:v>
                </c:pt>
                <c:pt idx="186">
                  <c:v>182.63106224229347</c:v>
                </c:pt>
                <c:pt idx="187">
                  <c:v>181.93010013744367</c:v>
                </c:pt>
                <c:pt idx="188">
                  <c:v>180.55173767916759</c:v>
                </c:pt>
                <c:pt idx="189">
                  <c:v>183.03652071470657</c:v>
                </c:pt>
                <c:pt idx="190">
                  <c:v>182.94031022972717</c:v>
                </c:pt>
                <c:pt idx="191">
                  <c:v>185.96406832907925</c:v>
                </c:pt>
                <c:pt idx="192">
                  <c:v>182.25701943844504</c:v>
                </c:pt>
                <c:pt idx="193">
                  <c:v>185.21892794031038</c:v>
                </c:pt>
                <c:pt idx="194">
                  <c:v>183.46946789711382</c:v>
                </c:pt>
                <c:pt idx="195">
                  <c:v>185.74808560769696</c:v>
                </c:pt>
                <c:pt idx="196">
                  <c:v>185.62929511093668</c:v>
                </c:pt>
                <c:pt idx="197">
                  <c:v>189.25387787158857</c:v>
                </c:pt>
                <c:pt idx="198">
                  <c:v>191.69251914392314</c:v>
                </c:pt>
                <c:pt idx="199">
                  <c:v>193.49204790889468</c:v>
                </c:pt>
                <c:pt idx="200">
                  <c:v>193.33889652464177</c:v>
                </c:pt>
                <c:pt idx="201">
                  <c:v>194.05262124484597</c:v>
                </c:pt>
                <c:pt idx="202">
                  <c:v>197.08325152169655</c:v>
                </c:pt>
                <c:pt idx="203">
                  <c:v>198.83565678382104</c:v>
                </c:pt>
                <c:pt idx="204">
                  <c:v>199.26271352837239</c:v>
                </c:pt>
                <c:pt idx="205">
                  <c:v>199.43451796583557</c:v>
                </c:pt>
                <c:pt idx="206">
                  <c:v>199.21559002552533</c:v>
                </c:pt>
                <c:pt idx="207">
                  <c:v>196.36658158256441</c:v>
                </c:pt>
                <c:pt idx="208">
                  <c:v>197.13921068132743</c:v>
                </c:pt>
                <c:pt idx="209">
                  <c:v>195.97094050657779</c:v>
                </c:pt>
                <c:pt idx="210">
                  <c:v>196.02395444728072</c:v>
                </c:pt>
                <c:pt idx="211">
                  <c:v>196.91341056351868</c:v>
                </c:pt>
                <c:pt idx="212">
                  <c:v>196.78676614961725</c:v>
                </c:pt>
                <c:pt idx="213">
                  <c:v>197.69978401727874</c:v>
                </c:pt>
                <c:pt idx="214">
                  <c:v>199.30001963479299</c:v>
                </c:pt>
                <c:pt idx="215">
                  <c:v>200.05497741998835</c:v>
                </c:pt>
                <c:pt idx="216">
                  <c:v>200.0942470056942</c:v>
                </c:pt>
                <c:pt idx="217">
                  <c:v>192.47103868054202</c:v>
                </c:pt>
                <c:pt idx="218">
                  <c:v>193.35067740035353</c:v>
                </c:pt>
                <c:pt idx="219">
                  <c:v>193.59414883172994</c:v>
                </c:pt>
                <c:pt idx="220">
                  <c:v>201.71509915570402</c:v>
                </c:pt>
                <c:pt idx="221">
                  <c:v>200.82858825839401</c:v>
                </c:pt>
                <c:pt idx="222">
                  <c:v>202.38660907127445</c:v>
                </c:pt>
                <c:pt idx="223">
                  <c:v>203.42921657176532</c:v>
                </c:pt>
                <c:pt idx="224">
                  <c:v>205.68721774985289</c:v>
                </c:pt>
                <c:pt idx="225">
                  <c:v>205.86098566660135</c:v>
                </c:pt>
                <c:pt idx="226">
                  <c:v>206.69251914392314</c:v>
                </c:pt>
                <c:pt idx="227">
                  <c:v>207.45631258590237</c:v>
                </c:pt>
                <c:pt idx="228">
                  <c:v>209.92931474572958</c:v>
                </c:pt>
                <c:pt idx="229">
                  <c:v>206.20459454152774</c:v>
                </c:pt>
                <c:pt idx="230">
                  <c:v>209.79088945611636</c:v>
                </c:pt>
                <c:pt idx="231">
                  <c:v>200.41723934812501</c:v>
                </c:pt>
                <c:pt idx="232">
                  <c:v>204.47771451011204</c:v>
                </c:pt>
                <c:pt idx="233">
                  <c:v>198.1690555664639</c:v>
                </c:pt>
                <c:pt idx="234">
                  <c:v>199.90378951502075</c:v>
                </c:pt>
                <c:pt idx="235">
                  <c:v>203.43216179069324</c:v>
                </c:pt>
                <c:pt idx="236">
                  <c:v>207.12350284704513</c:v>
                </c:pt>
                <c:pt idx="237">
                  <c:v>207.15000981739658</c:v>
                </c:pt>
                <c:pt idx="238">
                  <c:v>194.0467308069901</c:v>
                </c:pt>
                <c:pt idx="239">
                  <c:v>192.7282544669155</c:v>
                </c:pt>
                <c:pt idx="240">
                  <c:v>197.27665423129798</c:v>
                </c:pt>
                <c:pt idx="241">
                  <c:v>191.29098763008062</c:v>
                </c:pt>
                <c:pt idx="242">
                  <c:v>195.42705674455146</c:v>
                </c:pt>
                <c:pt idx="243">
                  <c:v>193.78656980168873</c:v>
                </c:pt>
                <c:pt idx="244">
                  <c:v>191.57569212644822</c:v>
                </c:pt>
                <c:pt idx="245">
                  <c:v>196.18986844688806</c:v>
                </c:pt>
                <c:pt idx="246">
                  <c:v>202.9707441586493</c:v>
                </c:pt>
                <c:pt idx="247">
                  <c:v>202.84115452581992</c:v>
                </c:pt>
                <c:pt idx="248">
                  <c:v>206.30669546436303</c:v>
                </c:pt>
                <c:pt idx="249">
                  <c:v>208.30649911643448</c:v>
                </c:pt>
                <c:pt idx="250">
                  <c:v>201.62674258786583</c:v>
                </c:pt>
                <c:pt idx="251">
                  <c:v>210.56351855487941</c:v>
                </c:pt>
                <c:pt idx="252">
                  <c:v>211.55507559395264</c:v>
                </c:pt>
                <c:pt idx="253">
                  <c:v>205.44570979776177</c:v>
                </c:pt>
                <c:pt idx="254">
                  <c:v>207.08226978205394</c:v>
                </c:pt>
                <c:pt idx="255">
                  <c:v>205.36717062635</c:v>
                </c:pt>
                <c:pt idx="256">
                  <c:v>207.66640486942876</c:v>
                </c:pt>
                <c:pt idx="257">
                  <c:v>208.66777930492847</c:v>
                </c:pt>
                <c:pt idx="258">
                  <c:v>203.39191046534475</c:v>
                </c:pt>
                <c:pt idx="259">
                  <c:v>209.10563518554895</c:v>
                </c:pt>
                <c:pt idx="260">
                  <c:v>209.85077557431785</c:v>
                </c:pt>
                <c:pt idx="261">
                  <c:v>202.52797957981556</c:v>
                </c:pt>
                <c:pt idx="262">
                  <c:v>201.20164932259982</c:v>
                </c:pt>
                <c:pt idx="263">
                  <c:v>190.89534655409403</c:v>
                </c:pt>
                <c:pt idx="264">
                  <c:v>187.46023954447298</c:v>
                </c:pt>
                <c:pt idx="265">
                  <c:v>196.95268014922462</c:v>
                </c:pt>
                <c:pt idx="266">
                  <c:v>192.64971529550382</c:v>
                </c:pt>
                <c:pt idx="267">
                  <c:v>193.43707048890653</c:v>
                </c:pt>
                <c:pt idx="268">
                  <c:v>194.62203023758121</c:v>
                </c:pt>
                <c:pt idx="269">
                  <c:v>190.7029255841353</c:v>
                </c:pt>
                <c:pt idx="270">
                  <c:v>188.25152169644633</c:v>
                </c:pt>
                <c:pt idx="271">
                  <c:v>187.69978401727886</c:v>
                </c:pt>
                <c:pt idx="272">
                  <c:v>185.47418024739861</c:v>
                </c:pt>
                <c:pt idx="273">
                  <c:v>186.77793049283352</c:v>
                </c:pt>
                <c:pt idx="274">
                  <c:v>194.33045356371514</c:v>
                </c:pt>
                <c:pt idx="275">
                  <c:v>190.81091694482643</c:v>
                </c:pt>
                <c:pt idx="276">
                  <c:v>199.16552130375047</c:v>
                </c:pt>
                <c:pt idx="277">
                  <c:v>200.2071470645987</c:v>
                </c:pt>
                <c:pt idx="278">
                  <c:v>202.22167681130989</c:v>
                </c:pt>
                <c:pt idx="279">
                  <c:v>204.34321617906957</c:v>
                </c:pt>
                <c:pt idx="280">
                  <c:v>208.48321225211103</c:v>
                </c:pt>
                <c:pt idx="281">
                  <c:v>205.91007264873386</c:v>
                </c:pt>
                <c:pt idx="282">
                  <c:v>208.8346750441786</c:v>
                </c:pt>
                <c:pt idx="283">
                  <c:v>203.62360102100953</c:v>
                </c:pt>
                <c:pt idx="284">
                  <c:v>205.21205576281199</c:v>
                </c:pt>
                <c:pt idx="285">
                  <c:v>204.95189475751059</c:v>
                </c:pt>
                <c:pt idx="286">
                  <c:v>200.66267425878684</c:v>
                </c:pt>
                <c:pt idx="287">
                  <c:v>196.46377380718658</c:v>
                </c:pt>
                <c:pt idx="288">
                  <c:v>196.27724327508369</c:v>
                </c:pt>
                <c:pt idx="289">
                  <c:v>192.18437070488929</c:v>
                </c:pt>
                <c:pt idx="290">
                  <c:v>195.07068525427081</c:v>
                </c:pt>
                <c:pt idx="291">
                  <c:v>196.8172000785394</c:v>
                </c:pt>
                <c:pt idx="292">
                  <c:v>197.64775181621857</c:v>
                </c:pt>
                <c:pt idx="293">
                  <c:v>196.81032790104089</c:v>
                </c:pt>
                <c:pt idx="294">
                  <c:v>197.70665619477737</c:v>
                </c:pt>
                <c:pt idx="295">
                  <c:v>198.62752797958004</c:v>
                </c:pt>
                <c:pt idx="296">
                  <c:v>188.68250539956827</c:v>
                </c:pt>
                <c:pt idx="297">
                  <c:v>191.28117023365428</c:v>
                </c:pt>
                <c:pt idx="298">
                  <c:v>194.01040644021231</c:v>
                </c:pt>
                <c:pt idx="299">
                  <c:v>187.82446495189501</c:v>
                </c:pt>
                <c:pt idx="300">
                  <c:v>172.47594737875539</c:v>
                </c:pt>
                <c:pt idx="301">
                  <c:v>137.19320636167308</c:v>
                </c:pt>
                <c:pt idx="302">
                  <c:v>150.81975260161025</c:v>
                </c:pt>
                <c:pt idx="303">
                  <c:v>143.34871392106831</c:v>
                </c:pt>
                <c:pt idx="304">
                  <c:v>160.72845081484411</c:v>
                </c:pt>
                <c:pt idx="305">
                  <c:v>154.11545258197546</c:v>
                </c:pt>
                <c:pt idx="306">
                  <c:v>144.99705478107225</c:v>
                </c:pt>
                <c:pt idx="307">
                  <c:v>134.57883369330469</c:v>
                </c:pt>
                <c:pt idx="308">
                  <c:v>147.89122324759492</c:v>
                </c:pt>
                <c:pt idx="309">
                  <c:v>143.69035931670939</c:v>
                </c:pt>
                <c:pt idx="310">
                  <c:v>144.84095817789139</c:v>
                </c:pt>
                <c:pt idx="311">
                  <c:v>145.76281170233671</c:v>
                </c:pt>
                <c:pt idx="312">
                  <c:v>143.83074808560784</c:v>
                </c:pt>
                <c:pt idx="313">
                  <c:v>151.77302179462023</c:v>
                </c:pt>
                <c:pt idx="314">
                  <c:v>149.6230119772238</c:v>
                </c:pt>
                <c:pt idx="315">
                  <c:v>147.25309247987451</c:v>
                </c:pt>
                <c:pt idx="316">
                  <c:v>146.41370508541149</c:v>
                </c:pt>
                <c:pt idx="317">
                  <c:v>148.64225407421966</c:v>
                </c:pt>
                <c:pt idx="318">
                  <c:v>153.93579422737108</c:v>
                </c:pt>
                <c:pt idx="319">
                  <c:v>147.49067347339502</c:v>
                </c:pt>
                <c:pt idx="320">
                  <c:v>136.4765364225409</c:v>
                </c:pt>
                <c:pt idx="321">
                  <c:v>134.76536422540758</c:v>
                </c:pt>
                <c:pt idx="322">
                  <c:v>124.00844296092691</c:v>
                </c:pt>
                <c:pt idx="323">
                  <c:v>131.86039662281578</c:v>
                </c:pt>
                <c:pt idx="324">
                  <c:v>140.02552523070895</c:v>
                </c:pt>
                <c:pt idx="325">
                  <c:v>142.293343805223</c:v>
                </c:pt>
                <c:pt idx="326">
                  <c:v>146.28018849401153</c:v>
                </c:pt>
                <c:pt idx="327">
                  <c:v>145.32790104064415</c:v>
                </c:pt>
                <c:pt idx="328">
                  <c:v>146.22521107402332</c:v>
                </c:pt>
                <c:pt idx="329">
                  <c:v>143.72864716277257</c:v>
                </c:pt>
                <c:pt idx="330">
                  <c:v>145.90712742980577</c:v>
                </c:pt>
                <c:pt idx="331">
                  <c:v>146.56881994894968</c:v>
                </c:pt>
                <c:pt idx="332">
                  <c:v>138.75024543491079</c:v>
                </c:pt>
                <c:pt idx="333">
                  <c:v>141.34007461221299</c:v>
                </c:pt>
                <c:pt idx="334">
                  <c:v>148.54800706852555</c:v>
                </c:pt>
                <c:pt idx="335">
                  <c:v>149.14883172982539</c:v>
                </c:pt>
                <c:pt idx="336">
                  <c:v>153.12487728254482</c:v>
                </c:pt>
                <c:pt idx="337">
                  <c:v>149.61810327901054</c:v>
                </c:pt>
                <c:pt idx="338">
                  <c:v>153.19850775574332</c:v>
                </c:pt>
                <c:pt idx="339">
                  <c:v>151.97035146279222</c:v>
                </c:pt>
                <c:pt idx="340">
                  <c:v>148.87492636952695</c:v>
                </c:pt>
                <c:pt idx="341">
                  <c:v>156.02002748871013</c:v>
                </c:pt>
                <c:pt idx="342">
                  <c:v>162.99234243078749</c:v>
                </c:pt>
                <c:pt idx="343">
                  <c:v>165.25819752601623</c:v>
                </c:pt>
                <c:pt idx="344">
                  <c:v>164.56705281759292</c:v>
                </c:pt>
                <c:pt idx="345">
                  <c:v>163.89161594345194</c:v>
                </c:pt>
                <c:pt idx="346">
                  <c:v>167.17553504810536</c:v>
                </c:pt>
                <c:pt idx="347">
                  <c:v>164.99607304142955</c:v>
                </c:pt>
                <c:pt idx="348">
                  <c:v>163.20243471431391</c:v>
                </c:pt>
                <c:pt idx="349">
                  <c:v>166.96446102493633</c:v>
                </c:pt>
                <c:pt idx="350">
                  <c:v>172.06558020812895</c:v>
                </c:pt>
                <c:pt idx="351">
                  <c:v>169.37070488906355</c:v>
                </c:pt>
                <c:pt idx="352">
                  <c:v>166.50206165324968</c:v>
                </c:pt>
                <c:pt idx="353">
                  <c:v>173.81013155311223</c:v>
                </c:pt>
                <c:pt idx="354">
                  <c:v>177.90594934223455</c:v>
                </c:pt>
                <c:pt idx="355">
                  <c:v>175.34360887492647</c:v>
                </c:pt>
                <c:pt idx="356">
                  <c:v>169.03200471235039</c:v>
                </c:pt>
                <c:pt idx="357">
                  <c:v>174.33143530335767</c:v>
                </c:pt>
                <c:pt idx="358">
                  <c:v>178.19556253681534</c:v>
                </c:pt>
                <c:pt idx="359">
                  <c:v>178.65992538778727</c:v>
                </c:pt>
                <c:pt idx="360">
                  <c:v>180.47418024739849</c:v>
                </c:pt>
                <c:pt idx="361">
                  <c:v>184.95091301786778</c:v>
                </c:pt>
                <c:pt idx="362">
                  <c:v>188.80620459454164</c:v>
                </c:pt>
                <c:pt idx="363">
                  <c:v>191.89475751030838</c:v>
                </c:pt>
                <c:pt idx="364">
                  <c:v>195.62340467308078</c:v>
                </c:pt>
                <c:pt idx="365">
                  <c:v>194.89593559787954</c:v>
                </c:pt>
                <c:pt idx="366">
                  <c:v>195.250343608875</c:v>
                </c:pt>
                <c:pt idx="367">
                  <c:v>195.9954839976439</c:v>
                </c:pt>
                <c:pt idx="368">
                  <c:v>191.073041429413</c:v>
                </c:pt>
                <c:pt idx="369">
                  <c:v>187.60651875122727</c:v>
                </c:pt>
                <c:pt idx="370">
                  <c:v>184.85961123110161</c:v>
                </c:pt>
                <c:pt idx="371">
                  <c:v>186.94875319065395</c:v>
                </c:pt>
                <c:pt idx="372">
                  <c:v>193.18574514038889</c:v>
                </c:pt>
                <c:pt idx="373">
                  <c:v>190.69998036520727</c:v>
                </c:pt>
                <c:pt idx="374">
                  <c:v>196.98213233850396</c:v>
                </c:pt>
                <c:pt idx="375">
                  <c:v>199.30492833300619</c:v>
                </c:pt>
                <c:pt idx="376">
                  <c:v>200.52523070881611</c:v>
                </c:pt>
                <c:pt idx="377">
                  <c:v>197.67720400549783</c:v>
                </c:pt>
                <c:pt idx="378">
                  <c:v>202.79206754368749</c:v>
                </c:pt>
                <c:pt idx="379">
                  <c:v>203.80227763597102</c:v>
                </c:pt>
                <c:pt idx="380">
                  <c:v>201.53936775967026</c:v>
                </c:pt>
                <c:pt idx="381">
                  <c:v>205.88454741802482</c:v>
                </c:pt>
                <c:pt idx="382">
                  <c:v>201.38523463577468</c:v>
                </c:pt>
                <c:pt idx="383">
                  <c:v>189.39033968191646</c:v>
                </c:pt>
                <c:pt idx="384">
                  <c:v>195.86098566660129</c:v>
                </c:pt>
                <c:pt idx="385">
                  <c:v>185.4201845670529</c:v>
                </c:pt>
                <c:pt idx="386">
                  <c:v>187.81955625368161</c:v>
                </c:pt>
                <c:pt idx="387">
                  <c:v>186.43235813862171</c:v>
                </c:pt>
                <c:pt idx="388">
                  <c:v>193.96230119772247</c:v>
                </c:pt>
                <c:pt idx="389">
                  <c:v>200.0147260946398</c:v>
                </c:pt>
                <c:pt idx="390">
                  <c:v>195.22285489888091</c:v>
                </c:pt>
                <c:pt idx="391">
                  <c:v>189.83114078146482</c:v>
                </c:pt>
                <c:pt idx="392">
                  <c:v>200.35833496956616</c:v>
                </c:pt>
                <c:pt idx="393">
                  <c:v>196.02788140585128</c:v>
                </c:pt>
                <c:pt idx="394">
                  <c:v>203.55782446495201</c:v>
                </c:pt>
                <c:pt idx="395">
                  <c:v>202.09306891812301</c:v>
                </c:pt>
                <c:pt idx="396">
                  <c:v>206.86432358138632</c:v>
                </c:pt>
                <c:pt idx="397">
                  <c:v>202.6359709405067</c:v>
                </c:pt>
                <c:pt idx="398">
                  <c:v>202.91773021794629</c:v>
                </c:pt>
                <c:pt idx="399">
                  <c:v>206.33712939328498</c:v>
                </c:pt>
                <c:pt idx="400">
                  <c:v>210.29452189279414</c:v>
                </c:pt>
                <c:pt idx="401">
                  <c:v>210.60180640094256</c:v>
                </c:pt>
                <c:pt idx="402">
                  <c:v>209.85273905360307</c:v>
                </c:pt>
                <c:pt idx="403">
                  <c:v>214.91066169251923</c:v>
                </c:pt>
                <c:pt idx="404">
                  <c:v>217.58492047908905</c:v>
                </c:pt>
                <c:pt idx="405">
                  <c:v>219.05556646377391</c:v>
                </c:pt>
                <c:pt idx="406">
                  <c:v>220.64205772629106</c:v>
                </c:pt>
                <c:pt idx="407">
                  <c:v>220.45945415275875</c:v>
                </c:pt>
                <c:pt idx="408">
                  <c:v>222.25800117808765</c:v>
                </c:pt>
                <c:pt idx="409">
                  <c:v>225.64402120557634</c:v>
                </c:pt>
                <c:pt idx="410">
                  <c:v>221.16041625760855</c:v>
                </c:pt>
                <c:pt idx="411">
                  <c:v>220.10210092283535</c:v>
                </c:pt>
                <c:pt idx="412">
                  <c:v>220.24838012958972</c:v>
                </c:pt>
                <c:pt idx="413">
                  <c:v>223.49892008639321</c:v>
                </c:pt>
                <c:pt idx="414">
                  <c:v>221.81523659925398</c:v>
                </c:pt>
                <c:pt idx="415">
                  <c:v>222.52307088160228</c:v>
                </c:pt>
                <c:pt idx="416">
                  <c:v>225.2316905556647</c:v>
                </c:pt>
                <c:pt idx="417">
                  <c:v>226.29098763008056</c:v>
                </c:pt>
                <c:pt idx="418">
                  <c:v>224.61123110151195</c:v>
                </c:pt>
                <c:pt idx="419">
                  <c:v>226.05340663656006</c:v>
                </c:pt>
                <c:pt idx="420">
                  <c:v>226.11721971333208</c:v>
                </c:pt>
                <c:pt idx="421">
                  <c:v>227.06067150991564</c:v>
                </c:pt>
                <c:pt idx="422">
                  <c:v>232.19713332024349</c:v>
                </c:pt>
                <c:pt idx="423">
                  <c:v>234.50029452189281</c:v>
                </c:pt>
                <c:pt idx="424">
                  <c:v>234.57588847437663</c:v>
                </c:pt>
                <c:pt idx="425">
                  <c:v>233.97604555271948</c:v>
                </c:pt>
                <c:pt idx="426">
                  <c:v>235.67543687414101</c:v>
                </c:pt>
                <c:pt idx="427">
                  <c:v>232.72629098763011</c:v>
                </c:pt>
                <c:pt idx="428">
                  <c:v>230.11388179854706</c:v>
                </c:pt>
                <c:pt idx="429">
                  <c:v>234.41291969369726</c:v>
                </c:pt>
                <c:pt idx="430">
                  <c:v>240.78539171411745</c:v>
                </c:pt>
                <c:pt idx="431">
                  <c:v>238.33595130571379</c:v>
                </c:pt>
                <c:pt idx="432">
                  <c:v>238.51462792067551</c:v>
                </c:pt>
                <c:pt idx="433">
                  <c:v>241.40192420969962</c:v>
                </c:pt>
                <c:pt idx="434">
                  <c:v>246.42254074219517</c:v>
                </c:pt>
                <c:pt idx="435">
                  <c:v>244.25191439230312</c:v>
                </c:pt>
                <c:pt idx="436">
                  <c:v>244.63675633222067</c:v>
                </c:pt>
                <c:pt idx="437">
                  <c:v>247.19516984095819</c:v>
                </c:pt>
                <c:pt idx="438">
                  <c:v>247.67622226585513</c:v>
                </c:pt>
                <c:pt idx="439">
                  <c:v>242.63793441979192</c:v>
                </c:pt>
                <c:pt idx="440">
                  <c:v>238.06793638327119</c:v>
                </c:pt>
                <c:pt idx="441">
                  <c:v>238.84449244060477</c:v>
                </c:pt>
                <c:pt idx="442">
                  <c:v>241.5806008246613</c:v>
                </c:pt>
                <c:pt idx="443">
                  <c:v>250.80698998625567</c:v>
                </c:pt>
                <c:pt idx="444">
                  <c:v>249.30198311407818</c:v>
                </c:pt>
                <c:pt idx="445">
                  <c:v>247.40624386412728</c:v>
                </c:pt>
                <c:pt idx="446">
                  <c:v>249.9342234439427</c:v>
                </c:pt>
                <c:pt idx="447">
                  <c:v>244.41291969369729</c:v>
                </c:pt>
                <c:pt idx="448">
                  <c:v>231.08874926369529</c:v>
                </c:pt>
                <c:pt idx="449">
                  <c:v>235.63911250736305</c:v>
                </c:pt>
                <c:pt idx="450">
                  <c:v>232.15884547418028</c:v>
                </c:pt>
                <c:pt idx="451">
                  <c:v>241.05340663656</c:v>
                </c:pt>
                <c:pt idx="452">
                  <c:v>244.82034164539567</c:v>
                </c:pt>
                <c:pt idx="453">
                  <c:v>240.08344786962499</c:v>
                </c:pt>
                <c:pt idx="454">
                  <c:v>246.95169840958184</c:v>
                </c:pt>
                <c:pt idx="455">
                  <c:v>237.03220106027888</c:v>
                </c:pt>
                <c:pt idx="456">
                  <c:v>240.086393088553</c:v>
                </c:pt>
                <c:pt idx="457">
                  <c:v>239.46397015511494</c:v>
                </c:pt>
                <c:pt idx="458">
                  <c:v>247.98743373257423</c:v>
                </c:pt>
                <c:pt idx="459">
                  <c:v>255.67740035342635</c:v>
                </c:pt>
                <c:pt idx="460">
                  <c:v>257.92656587473004</c:v>
                </c:pt>
                <c:pt idx="461">
                  <c:v>255.87963871981154</c:v>
                </c:pt>
                <c:pt idx="462">
                  <c:v>256.22128411545259</c:v>
                </c:pt>
                <c:pt idx="463">
                  <c:v>253.4940113881799</c:v>
                </c:pt>
                <c:pt idx="464">
                  <c:v>245.30728450814846</c:v>
                </c:pt>
                <c:pt idx="465">
                  <c:v>258.81013155311211</c:v>
                </c:pt>
                <c:pt idx="466">
                  <c:v>258.58334969566073</c:v>
                </c:pt>
                <c:pt idx="467">
                  <c:v>258.2760651875123</c:v>
                </c:pt>
                <c:pt idx="468">
                  <c:v>267.96190850186537</c:v>
                </c:pt>
                <c:pt idx="469">
                  <c:v>269.06734733948559</c:v>
                </c:pt>
                <c:pt idx="470">
                  <c:v>266.11918319261736</c:v>
                </c:pt>
                <c:pt idx="471">
                  <c:v>264.67798939721195</c:v>
                </c:pt>
                <c:pt idx="472">
                  <c:v>265.90810916944832</c:v>
                </c:pt>
                <c:pt idx="473">
                  <c:v>268.45768702140202</c:v>
                </c:pt>
                <c:pt idx="474">
                  <c:v>270.83349695660718</c:v>
                </c:pt>
                <c:pt idx="475">
                  <c:v>270.91989004516012</c:v>
                </c:pt>
                <c:pt idx="476">
                  <c:v>271.91733752208921</c:v>
                </c:pt>
                <c:pt idx="477">
                  <c:v>273.79638719811516</c:v>
                </c:pt>
                <c:pt idx="478">
                  <c:v>274.60632240329875</c:v>
                </c:pt>
                <c:pt idx="479">
                  <c:v>276.61594345179674</c:v>
                </c:pt>
                <c:pt idx="480">
                  <c:v>275.26605144315744</c:v>
                </c:pt>
                <c:pt idx="481">
                  <c:v>273.38307480856088</c:v>
                </c:pt>
                <c:pt idx="482">
                  <c:v>275.23659925387801</c:v>
                </c:pt>
                <c:pt idx="483">
                  <c:v>276.81327311996876</c:v>
                </c:pt>
                <c:pt idx="484">
                  <c:v>272.59081091694503</c:v>
                </c:pt>
                <c:pt idx="485">
                  <c:v>277.24327508344805</c:v>
                </c:pt>
                <c:pt idx="486">
                  <c:v>282.44256823090535</c:v>
                </c:pt>
                <c:pt idx="487">
                  <c:v>279.91164343216195</c:v>
                </c:pt>
                <c:pt idx="488">
                  <c:v>281.01904574906752</c:v>
                </c:pt>
                <c:pt idx="489">
                  <c:v>270.0176713135678</c:v>
                </c:pt>
                <c:pt idx="490">
                  <c:v>274.05949342234453</c:v>
                </c:pt>
                <c:pt idx="491">
                  <c:v>268.19850775574332</c:v>
                </c:pt>
                <c:pt idx="492">
                  <c:v>274.23718829766364</c:v>
                </c:pt>
                <c:pt idx="493">
                  <c:v>277.44845866876125</c:v>
                </c:pt>
                <c:pt idx="494">
                  <c:v>274.48360494796799</c:v>
                </c:pt>
                <c:pt idx="495">
                  <c:v>280.6126055370118</c:v>
                </c:pt>
                <c:pt idx="496">
                  <c:v>282.54270567445536</c:v>
                </c:pt>
                <c:pt idx="497">
                  <c:v>287.38759081091717</c:v>
                </c:pt>
                <c:pt idx="498">
                  <c:v>290.33280973885752</c:v>
                </c:pt>
                <c:pt idx="499">
                  <c:v>294.19497349302992</c:v>
                </c:pt>
                <c:pt idx="500">
                  <c:v>293.19654427645816</c:v>
                </c:pt>
                <c:pt idx="501">
                  <c:v>291.10740231690579</c:v>
                </c:pt>
                <c:pt idx="502">
                  <c:v>290.92676222265879</c:v>
                </c:pt>
                <c:pt idx="503">
                  <c:v>288.38798350677422</c:v>
                </c:pt>
                <c:pt idx="504">
                  <c:v>286.96347928529377</c:v>
                </c:pt>
                <c:pt idx="505">
                  <c:v>292.24032986452016</c:v>
                </c:pt>
                <c:pt idx="506">
                  <c:v>293.03553897506407</c:v>
                </c:pt>
                <c:pt idx="507">
                  <c:v>291.30473198507781</c:v>
                </c:pt>
                <c:pt idx="508">
                  <c:v>292.35813862163781</c:v>
                </c:pt>
                <c:pt idx="509">
                  <c:v>298.21127037109784</c:v>
                </c:pt>
                <c:pt idx="510">
                  <c:v>292.70174749656417</c:v>
                </c:pt>
                <c:pt idx="511">
                  <c:v>295.05595915963113</c:v>
                </c:pt>
                <c:pt idx="512">
                  <c:v>293.3369330453566</c:v>
                </c:pt>
                <c:pt idx="513">
                  <c:v>292.57706656194802</c:v>
                </c:pt>
                <c:pt idx="514">
                  <c:v>285.37404280384868</c:v>
                </c:pt>
                <c:pt idx="515">
                  <c:v>282.61437266836856</c:v>
                </c:pt>
                <c:pt idx="516">
                  <c:v>287.50834478696271</c:v>
                </c:pt>
                <c:pt idx="517">
                  <c:v>291.19379540545867</c:v>
                </c:pt>
                <c:pt idx="518">
                  <c:v>291.48242686039686</c:v>
                </c:pt>
                <c:pt idx="519">
                  <c:v>292.68113096406853</c:v>
                </c:pt>
                <c:pt idx="520">
                  <c:v>296.85254270567464</c:v>
                </c:pt>
                <c:pt idx="521">
                  <c:v>291.92126448065994</c:v>
                </c:pt>
                <c:pt idx="522">
                  <c:v>303.41056351855508</c:v>
                </c:pt>
                <c:pt idx="523">
                  <c:v>304.14883172982547</c:v>
                </c:pt>
                <c:pt idx="524">
                  <c:v>306.37934419791895</c:v>
                </c:pt>
                <c:pt idx="525">
                  <c:v>306.84959748674675</c:v>
                </c:pt>
                <c:pt idx="526">
                  <c:v>308.74926369526827</c:v>
                </c:pt>
                <c:pt idx="527">
                  <c:v>310.78931867268824</c:v>
                </c:pt>
                <c:pt idx="528">
                  <c:v>306.63165128607915</c:v>
                </c:pt>
                <c:pt idx="529">
                  <c:v>306.98213233850402</c:v>
                </c:pt>
                <c:pt idx="530">
                  <c:v>309.49833104260767</c:v>
                </c:pt>
                <c:pt idx="531">
                  <c:v>313.07382682112717</c:v>
                </c:pt>
                <c:pt idx="532">
                  <c:v>314.06931081877104</c:v>
                </c:pt>
                <c:pt idx="533">
                  <c:v>318.09051639505225</c:v>
                </c:pt>
                <c:pt idx="534">
                  <c:v>322.94325544865518</c:v>
                </c:pt>
                <c:pt idx="535">
                  <c:v>320.70881602199108</c:v>
                </c:pt>
                <c:pt idx="536">
                  <c:v>328.39092872570205</c:v>
                </c:pt>
                <c:pt idx="537">
                  <c:v>328.62556450029467</c:v>
                </c:pt>
                <c:pt idx="538">
                  <c:v>332.05085411348921</c:v>
                </c:pt>
                <c:pt idx="539">
                  <c:v>333.91910465344603</c:v>
                </c:pt>
                <c:pt idx="540">
                  <c:v>332.15197329668183</c:v>
                </c:pt>
                <c:pt idx="541">
                  <c:v>335.74219516984107</c:v>
                </c:pt>
                <c:pt idx="542">
                  <c:v>328.48812095032412</c:v>
                </c:pt>
                <c:pt idx="543">
                  <c:v>316.34596505006886</c:v>
                </c:pt>
                <c:pt idx="544">
                  <c:v>316.46279206754377</c:v>
                </c:pt>
                <c:pt idx="545">
                  <c:v>317.74396230119788</c:v>
                </c:pt>
                <c:pt idx="546">
                  <c:v>305.01374435499719</c:v>
                </c:pt>
                <c:pt idx="547">
                  <c:v>312.12055762811718</c:v>
                </c:pt>
                <c:pt idx="548">
                  <c:v>310.68918122913817</c:v>
                </c:pt>
                <c:pt idx="549">
                  <c:v>325.3976045552721</c:v>
                </c:pt>
                <c:pt idx="550">
                  <c:v>326.69350088356583</c:v>
                </c:pt>
                <c:pt idx="551">
                  <c:v>325.77655605733378</c:v>
                </c:pt>
                <c:pt idx="552">
                  <c:v>325.50559591596328</c:v>
                </c:pt>
                <c:pt idx="553">
                  <c:v>320.24543491066186</c:v>
                </c:pt>
                <c:pt idx="554">
                  <c:v>311.11329275476157</c:v>
                </c:pt>
                <c:pt idx="555">
                  <c:v>311.70626349892018</c:v>
                </c:pt>
                <c:pt idx="556">
                  <c:v>310.0706852542707</c:v>
                </c:pt>
                <c:pt idx="557">
                  <c:v>308.71392106813283</c:v>
                </c:pt>
                <c:pt idx="558">
                  <c:v>310.32790104064412</c:v>
                </c:pt>
                <c:pt idx="559">
                  <c:v>316.41665030433938</c:v>
                </c:pt>
                <c:pt idx="560">
                  <c:v>317.52896131945818</c:v>
                </c:pt>
                <c:pt idx="561">
                  <c:v>313.60102100922848</c:v>
                </c:pt>
                <c:pt idx="562">
                  <c:v>318.58236795601817</c:v>
                </c:pt>
                <c:pt idx="563">
                  <c:v>326.01806400942479</c:v>
                </c:pt>
                <c:pt idx="564">
                  <c:v>332.13528372275681</c:v>
                </c:pt>
                <c:pt idx="565">
                  <c:v>329.57097977616348</c:v>
                </c:pt>
                <c:pt idx="566">
                  <c:v>327.27861771058321</c:v>
                </c:pt>
                <c:pt idx="567">
                  <c:v>329.90378951502072</c:v>
                </c:pt>
                <c:pt idx="568">
                  <c:v>325.06184959748686</c:v>
                </c:pt>
                <c:pt idx="569">
                  <c:v>321.85352444531725</c:v>
                </c:pt>
                <c:pt idx="570">
                  <c:v>323.57549577851967</c:v>
                </c:pt>
                <c:pt idx="571">
                  <c:v>317.21480463381124</c:v>
                </c:pt>
                <c:pt idx="572">
                  <c:v>325.93559787944253</c:v>
                </c:pt>
                <c:pt idx="573">
                  <c:v>329.17043000196361</c:v>
                </c:pt>
                <c:pt idx="574">
                  <c:v>327.65560573335966</c:v>
                </c:pt>
                <c:pt idx="575">
                  <c:v>331.88297663459667</c:v>
                </c:pt>
                <c:pt idx="576">
                  <c:v>333.07775377969784</c:v>
                </c:pt>
                <c:pt idx="577">
                  <c:v>328.66777930492856</c:v>
                </c:pt>
                <c:pt idx="578">
                  <c:v>332.77832318869059</c:v>
                </c:pt>
                <c:pt idx="579">
                  <c:v>333.02375809935234</c:v>
                </c:pt>
                <c:pt idx="580">
                  <c:v>341.1172197133323</c:v>
                </c:pt>
                <c:pt idx="581">
                  <c:v>341.42254074219545</c:v>
                </c:pt>
                <c:pt idx="582">
                  <c:v>339.28922049872398</c:v>
                </c:pt>
                <c:pt idx="583">
                  <c:v>339.7113685450621</c:v>
                </c:pt>
                <c:pt idx="584">
                  <c:v>341.09071274298083</c:v>
                </c:pt>
                <c:pt idx="585">
                  <c:v>339.6612998232871</c:v>
                </c:pt>
                <c:pt idx="586">
                  <c:v>341.84763400746147</c:v>
                </c:pt>
                <c:pt idx="587">
                  <c:v>346.38425289613224</c:v>
                </c:pt>
                <c:pt idx="588">
                  <c:v>345.71961515806038</c:v>
                </c:pt>
                <c:pt idx="589">
                  <c:v>352.55252307088193</c:v>
                </c:pt>
                <c:pt idx="590">
                  <c:v>352.746907520126</c:v>
                </c:pt>
                <c:pt idx="591">
                  <c:v>357.3659925387791</c:v>
                </c:pt>
                <c:pt idx="592">
                  <c:v>357.71352837227602</c:v>
                </c:pt>
                <c:pt idx="593">
                  <c:v>361.31847634007494</c:v>
                </c:pt>
                <c:pt idx="594">
                  <c:v>363.9878264284315</c:v>
                </c:pt>
                <c:pt idx="595">
                  <c:v>366.3842528961323</c:v>
                </c:pt>
                <c:pt idx="596">
                  <c:v>369.25289613194622</c:v>
                </c:pt>
                <c:pt idx="597">
                  <c:v>367.31690555664676</c:v>
                </c:pt>
                <c:pt idx="598">
                  <c:v>379.64951894757553</c:v>
                </c:pt>
                <c:pt idx="599">
                  <c:v>383.07284508148479</c:v>
                </c:pt>
                <c:pt idx="600">
                  <c:v>380.91105438837661</c:v>
                </c:pt>
                <c:pt idx="601">
                  <c:v>382.68407618299665</c:v>
                </c:pt>
                <c:pt idx="602">
                  <c:v>387.23836638523505</c:v>
                </c:pt>
                <c:pt idx="603">
                  <c:v>388.48517573139645</c:v>
                </c:pt>
                <c:pt idx="604">
                  <c:v>376.9732966817204</c:v>
                </c:pt>
                <c:pt idx="605">
                  <c:v>380.2552523070886</c:v>
                </c:pt>
                <c:pt idx="606">
                  <c:v>392.82741017082316</c:v>
                </c:pt>
                <c:pt idx="607">
                  <c:v>395.09032004712395</c:v>
                </c:pt>
                <c:pt idx="608">
                  <c:v>401.94286275279842</c:v>
                </c:pt>
                <c:pt idx="609">
                  <c:v>406.45199293147505</c:v>
                </c:pt>
                <c:pt idx="610">
                  <c:v>393.69919497349349</c:v>
                </c:pt>
                <c:pt idx="611">
                  <c:v>397.65560573335995</c:v>
                </c:pt>
                <c:pt idx="612">
                  <c:v>385.89632829373687</c:v>
                </c:pt>
                <c:pt idx="613">
                  <c:v>385.6548203416458</c:v>
                </c:pt>
                <c:pt idx="614">
                  <c:v>372.71058315334807</c:v>
                </c:pt>
                <c:pt idx="615">
                  <c:v>374.81346946789739</c:v>
                </c:pt>
                <c:pt idx="616">
                  <c:v>389.05556646377414</c:v>
                </c:pt>
                <c:pt idx="617">
                  <c:v>393.18574514038909</c:v>
                </c:pt>
                <c:pt idx="618">
                  <c:v>394.37168662870641</c:v>
                </c:pt>
                <c:pt idx="619">
                  <c:v>387.84115452582006</c:v>
                </c:pt>
                <c:pt idx="620">
                  <c:v>396.61594345179685</c:v>
                </c:pt>
                <c:pt idx="621">
                  <c:v>390.36029844885161</c:v>
                </c:pt>
                <c:pt idx="622">
                  <c:v>390.30630276850599</c:v>
                </c:pt>
                <c:pt idx="623">
                  <c:v>369.0447673277049</c:v>
                </c:pt>
                <c:pt idx="624">
                  <c:v>385.39073237777365</c:v>
                </c:pt>
                <c:pt idx="625">
                  <c:v>395.24347143137658</c:v>
                </c:pt>
                <c:pt idx="626">
                  <c:v>394.04967602591813</c:v>
                </c:pt>
                <c:pt idx="627">
                  <c:v>382.39544472805835</c:v>
                </c:pt>
                <c:pt idx="628">
                  <c:v>383.66090712743005</c:v>
                </c:pt>
                <c:pt idx="629">
                  <c:v>391.98213233850407</c:v>
                </c:pt>
                <c:pt idx="630">
                  <c:v>385.33673669742808</c:v>
                </c:pt>
                <c:pt idx="631">
                  <c:v>386.12900058904404</c:v>
                </c:pt>
                <c:pt idx="632">
                  <c:v>386.64539564107622</c:v>
                </c:pt>
                <c:pt idx="633">
                  <c:v>387.07048890634223</c:v>
                </c:pt>
                <c:pt idx="634">
                  <c:v>383.60789318672704</c:v>
                </c:pt>
                <c:pt idx="635">
                  <c:v>376.02297270763813</c:v>
                </c:pt>
                <c:pt idx="636">
                  <c:v>369.78598075790319</c:v>
                </c:pt>
                <c:pt idx="637">
                  <c:v>386.03180836442192</c:v>
                </c:pt>
                <c:pt idx="638">
                  <c:v>381.03769880227782</c:v>
                </c:pt>
                <c:pt idx="639">
                  <c:v>384.80267033182815</c:v>
                </c:pt>
                <c:pt idx="640">
                  <c:v>387.78814058511699</c:v>
                </c:pt>
                <c:pt idx="641">
                  <c:v>393.34086000392716</c:v>
                </c:pt>
                <c:pt idx="642">
                  <c:v>398.15334773218166</c:v>
                </c:pt>
                <c:pt idx="643">
                  <c:v>390.32004712350306</c:v>
                </c:pt>
                <c:pt idx="644">
                  <c:v>386.40192420969976</c:v>
                </c:pt>
                <c:pt idx="645">
                  <c:v>389.57588847437682</c:v>
                </c:pt>
                <c:pt idx="646">
                  <c:v>385.69507166699418</c:v>
                </c:pt>
                <c:pt idx="647">
                  <c:v>378.89161594345205</c:v>
                </c:pt>
                <c:pt idx="648">
                  <c:v>367.92951109365822</c:v>
                </c:pt>
                <c:pt idx="649">
                  <c:v>363.36049479678013</c:v>
                </c:pt>
                <c:pt idx="650">
                  <c:v>368.70901236991978</c:v>
                </c:pt>
                <c:pt idx="651">
                  <c:v>369.64853720793269</c:v>
                </c:pt>
                <c:pt idx="652">
                  <c:v>366.12801884940143</c:v>
                </c:pt>
                <c:pt idx="653">
                  <c:v>364.75652856862382</c:v>
                </c:pt>
                <c:pt idx="654">
                  <c:v>365.20812880424137</c:v>
                </c:pt>
                <c:pt idx="655">
                  <c:v>351.97722364029079</c:v>
                </c:pt>
                <c:pt idx="656">
                  <c:v>358.64716277243298</c:v>
                </c:pt>
                <c:pt idx="657">
                  <c:v>350.46043589240156</c:v>
                </c:pt>
                <c:pt idx="658">
                  <c:v>361.34301983114102</c:v>
                </c:pt>
                <c:pt idx="659">
                  <c:v>343.2868643235816</c:v>
                </c:pt>
                <c:pt idx="660">
                  <c:v>342.29923424307896</c:v>
                </c:pt>
                <c:pt idx="661">
                  <c:v>327.48380129589657</c:v>
                </c:pt>
                <c:pt idx="662">
                  <c:v>321.93991753387024</c:v>
                </c:pt>
                <c:pt idx="663">
                  <c:v>328.67366974278445</c:v>
                </c:pt>
                <c:pt idx="664">
                  <c:v>324.11348910269021</c:v>
                </c:pt>
                <c:pt idx="665">
                  <c:v>326.83487139210706</c:v>
                </c:pt>
                <c:pt idx="666">
                  <c:v>344.39819359905783</c:v>
                </c:pt>
                <c:pt idx="667">
                  <c:v>345.46043589240162</c:v>
                </c:pt>
                <c:pt idx="668">
                  <c:v>339.42175535048131</c:v>
                </c:pt>
                <c:pt idx="669">
                  <c:v>337.50638130767749</c:v>
                </c:pt>
                <c:pt idx="670">
                  <c:v>324.00451600235641</c:v>
                </c:pt>
                <c:pt idx="671">
                  <c:v>312.35028470449657</c:v>
                </c:pt>
                <c:pt idx="672">
                  <c:v>319.79972511290032</c:v>
                </c:pt>
                <c:pt idx="673">
                  <c:v>316.79069310818795</c:v>
                </c:pt>
                <c:pt idx="674">
                  <c:v>300.27292362065606</c:v>
                </c:pt>
                <c:pt idx="675">
                  <c:v>287.26389161594375</c:v>
                </c:pt>
                <c:pt idx="676">
                  <c:v>286.97133320243501</c:v>
                </c:pt>
                <c:pt idx="677">
                  <c:v>298.40074612212874</c:v>
                </c:pt>
                <c:pt idx="678">
                  <c:v>294.65050068721803</c:v>
                </c:pt>
                <c:pt idx="679">
                  <c:v>284.56901629687832</c:v>
                </c:pt>
                <c:pt idx="680">
                  <c:v>273.89357942273733</c:v>
                </c:pt>
                <c:pt idx="681">
                  <c:v>289.70351462792098</c:v>
                </c:pt>
                <c:pt idx="682">
                  <c:v>299.08796387198146</c:v>
                </c:pt>
                <c:pt idx="683">
                  <c:v>296.08973100333816</c:v>
                </c:pt>
                <c:pt idx="684">
                  <c:v>285.24641665030458</c:v>
                </c:pt>
                <c:pt idx="685">
                  <c:v>295.4378558806207</c:v>
                </c:pt>
                <c:pt idx="686">
                  <c:v>302.17553504810553</c:v>
                </c:pt>
                <c:pt idx="687">
                  <c:v>314.09090909090941</c:v>
                </c:pt>
                <c:pt idx="688">
                  <c:v>316.49715295503665</c:v>
                </c:pt>
                <c:pt idx="689">
                  <c:v>322.75967013548035</c:v>
                </c:pt>
                <c:pt idx="690">
                  <c:v>319.38739446298871</c:v>
                </c:pt>
                <c:pt idx="691">
                  <c:v>323.79246023954477</c:v>
                </c:pt>
                <c:pt idx="692">
                  <c:v>325.8550952287456</c:v>
                </c:pt>
                <c:pt idx="693">
                  <c:v>329.26369526801523</c:v>
                </c:pt>
                <c:pt idx="694">
                  <c:v>331.79854702532919</c:v>
                </c:pt>
                <c:pt idx="695">
                  <c:v>335.09228352640912</c:v>
                </c:pt>
                <c:pt idx="696">
                  <c:v>331.82112703711005</c:v>
                </c:pt>
                <c:pt idx="697">
                  <c:v>333.66777930492862</c:v>
                </c:pt>
                <c:pt idx="698">
                  <c:v>333.59709405065809</c:v>
                </c:pt>
                <c:pt idx="699">
                  <c:v>337.52699784017312</c:v>
                </c:pt>
                <c:pt idx="700">
                  <c:v>345.28470449636785</c:v>
                </c:pt>
                <c:pt idx="701">
                  <c:v>348.35362261928162</c:v>
                </c:pt>
                <c:pt idx="702">
                  <c:v>348.50088356567863</c:v>
                </c:pt>
                <c:pt idx="703">
                  <c:v>351.08089534655437</c:v>
                </c:pt>
                <c:pt idx="704">
                  <c:v>363.25446691537428</c:v>
                </c:pt>
                <c:pt idx="705">
                  <c:v>362.3738464559201</c:v>
                </c:pt>
                <c:pt idx="706">
                  <c:v>368.00215982721409</c:v>
                </c:pt>
                <c:pt idx="707">
                  <c:v>367.32377773414515</c:v>
                </c:pt>
                <c:pt idx="708">
                  <c:v>363.46946789711399</c:v>
                </c:pt>
                <c:pt idx="709">
                  <c:v>361.76418613783653</c:v>
                </c:pt>
                <c:pt idx="710">
                  <c:v>365.73924995091335</c:v>
                </c:pt>
                <c:pt idx="711">
                  <c:v>365.85607696838832</c:v>
                </c:pt>
                <c:pt idx="712">
                  <c:v>359.3991753387005</c:v>
                </c:pt>
                <c:pt idx="713">
                  <c:v>362.7842136265466</c:v>
                </c:pt>
                <c:pt idx="714">
                  <c:v>364.57097977616371</c:v>
                </c:pt>
                <c:pt idx="715">
                  <c:v>362.89024150795245</c:v>
                </c:pt>
                <c:pt idx="716">
                  <c:v>372.83624582760683</c:v>
                </c:pt>
                <c:pt idx="717">
                  <c:v>371.09463970155144</c:v>
                </c:pt>
                <c:pt idx="718">
                  <c:v>357.05379933241733</c:v>
                </c:pt>
                <c:pt idx="719">
                  <c:v>360.18849401138851</c:v>
                </c:pt>
                <c:pt idx="720">
                  <c:v>365.74415864912658</c:v>
                </c:pt>
                <c:pt idx="721">
                  <c:v>361.32534851757345</c:v>
                </c:pt>
                <c:pt idx="722">
                  <c:v>349.49145886510928</c:v>
                </c:pt>
                <c:pt idx="723">
                  <c:v>343.55291576673892</c:v>
                </c:pt>
                <c:pt idx="724">
                  <c:v>351.15256234046763</c:v>
                </c:pt>
                <c:pt idx="725">
                  <c:v>356.09660318083672</c:v>
                </c:pt>
                <c:pt idx="726">
                  <c:v>351.14470842332645</c:v>
                </c:pt>
                <c:pt idx="727">
                  <c:v>356.30669546436314</c:v>
                </c:pt>
                <c:pt idx="728">
                  <c:v>362.37286471627755</c:v>
                </c:pt>
                <c:pt idx="729">
                  <c:v>363.79246023954477</c:v>
                </c:pt>
                <c:pt idx="730">
                  <c:v>360.75692126448098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59-4C94-BDB6-F57A146136EF}"/>
            </c:ext>
          </c:extLst>
        </c:ser>
        <c:ser>
          <c:idx val="5"/>
          <c:order val="5"/>
          <c:tx>
            <c:strRef>
              <c:f>Index!$U$1</c:f>
              <c:strCache>
                <c:ptCount val="1"/>
                <c:pt idx="0">
                  <c:v>Dow Jones Asia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Index!$U$2:$U$732</c:f>
              <c:numCache>
                <c:formatCode>General</c:formatCode>
                <c:ptCount val="731"/>
                <c:pt idx="0">
                  <c:v>100</c:v>
                </c:pt>
                <c:pt idx="1">
                  <c:v>103.42759715444765</c:v>
                </c:pt>
                <c:pt idx="2">
                  <c:v>103.68432398534111</c:v>
                </c:pt>
                <c:pt idx="3">
                  <c:v>103.67844474493894</c:v>
                </c:pt>
                <c:pt idx="4">
                  <c:v>101.9950222431262</c:v>
                </c:pt>
                <c:pt idx="5">
                  <c:v>101.89311540948908</c:v>
                </c:pt>
                <c:pt idx="6">
                  <c:v>102.16062084778646</c:v>
                </c:pt>
                <c:pt idx="7">
                  <c:v>103.90577537382171</c:v>
                </c:pt>
                <c:pt idx="8">
                  <c:v>106.10167166402101</c:v>
                </c:pt>
                <c:pt idx="9">
                  <c:v>104.25167068414763</c:v>
                </c:pt>
                <c:pt idx="10">
                  <c:v>99.935328355576473</c:v>
                </c:pt>
                <c:pt idx="11">
                  <c:v>99.231779254120383</c:v>
                </c:pt>
                <c:pt idx="12">
                  <c:v>103.08856095792424</c:v>
                </c:pt>
                <c:pt idx="13">
                  <c:v>101.99796186332728</c:v>
                </c:pt>
                <c:pt idx="14">
                  <c:v>106.98453759774239</c:v>
                </c:pt>
                <c:pt idx="15">
                  <c:v>106.6406020342172</c:v>
                </c:pt>
                <c:pt idx="16">
                  <c:v>108.87961275403222</c:v>
                </c:pt>
                <c:pt idx="17">
                  <c:v>112.20432320144239</c:v>
                </c:pt>
                <c:pt idx="18">
                  <c:v>115.59076567307508</c:v>
                </c:pt>
                <c:pt idx="19">
                  <c:v>118.09924157798815</c:v>
                </c:pt>
                <c:pt idx="20">
                  <c:v>122.84182883571445</c:v>
                </c:pt>
                <c:pt idx="21">
                  <c:v>122.30387833891864</c:v>
                </c:pt>
                <c:pt idx="22">
                  <c:v>123.77172869265294</c:v>
                </c:pt>
                <c:pt idx="23">
                  <c:v>129.06206518117864</c:v>
                </c:pt>
                <c:pt idx="24">
                  <c:v>126.52517294765521</c:v>
                </c:pt>
                <c:pt idx="25">
                  <c:v>127.60793305504933</c:v>
                </c:pt>
                <c:pt idx="26">
                  <c:v>126.95729711721251</c:v>
                </c:pt>
                <c:pt idx="27">
                  <c:v>124.64773551257181</c:v>
                </c:pt>
                <c:pt idx="28">
                  <c:v>121.48372430282012</c:v>
                </c:pt>
                <c:pt idx="29">
                  <c:v>123.59437160718839</c:v>
                </c:pt>
                <c:pt idx="30">
                  <c:v>123.20732161404753</c:v>
                </c:pt>
                <c:pt idx="31">
                  <c:v>124.94463715287989</c:v>
                </c:pt>
                <c:pt idx="32">
                  <c:v>125.24839790699046</c:v>
                </c:pt>
                <c:pt idx="33">
                  <c:v>123.95006565151787</c:v>
                </c:pt>
                <c:pt idx="34">
                  <c:v>121.97464087639881</c:v>
                </c:pt>
                <c:pt idx="35">
                  <c:v>123.18870401944072</c:v>
                </c:pt>
                <c:pt idx="36">
                  <c:v>125.58253473651205</c:v>
                </c:pt>
                <c:pt idx="37">
                  <c:v>127.59225508064361</c:v>
                </c:pt>
                <c:pt idx="38">
                  <c:v>129.06696454818041</c:v>
                </c:pt>
                <c:pt idx="39">
                  <c:v>133.75957826248853</c:v>
                </c:pt>
                <c:pt idx="40">
                  <c:v>136.6443255531386</c:v>
                </c:pt>
                <c:pt idx="41">
                  <c:v>133.97025104356524</c:v>
                </c:pt>
                <c:pt idx="42">
                  <c:v>136.69135947635573</c:v>
                </c:pt>
                <c:pt idx="43">
                  <c:v>136.35134340643197</c:v>
                </c:pt>
                <c:pt idx="44">
                  <c:v>134.18092382464192</c:v>
                </c:pt>
                <c:pt idx="45">
                  <c:v>137.05685225468878</c:v>
                </c:pt>
                <c:pt idx="46">
                  <c:v>140.57851725557066</c:v>
                </c:pt>
                <c:pt idx="47">
                  <c:v>140.59909459697812</c:v>
                </c:pt>
                <c:pt idx="48">
                  <c:v>146.23630626923008</c:v>
                </c:pt>
                <c:pt idx="49">
                  <c:v>146.05404981676372</c:v>
                </c:pt>
                <c:pt idx="50">
                  <c:v>146.84480765085155</c:v>
                </c:pt>
                <c:pt idx="51">
                  <c:v>147.16620612616856</c:v>
                </c:pt>
                <c:pt idx="52">
                  <c:v>152.8455523546358</c:v>
                </c:pt>
                <c:pt idx="53">
                  <c:v>151.24345934505266</c:v>
                </c:pt>
                <c:pt idx="54">
                  <c:v>150.59870264761798</c:v>
                </c:pt>
                <c:pt idx="55">
                  <c:v>153.26591804338887</c:v>
                </c:pt>
                <c:pt idx="56">
                  <c:v>147.89523193603392</c:v>
                </c:pt>
                <c:pt idx="57">
                  <c:v>147.69533776236116</c:v>
                </c:pt>
                <c:pt idx="58">
                  <c:v>149.83832088894124</c:v>
                </c:pt>
                <c:pt idx="59">
                  <c:v>148.83395065357564</c:v>
                </c:pt>
                <c:pt idx="60">
                  <c:v>149.6080506398574</c:v>
                </c:pt>
                <c:pt idx="61">
                  <c:v>149.21218178611329</c:v>
                </c:pt>
                <c:pt idx="62">
                  <c:v>142.84496443059561</c:v>
                </c:pt>
                <c:pt idx="63">
                  <c:v>146.76151841182124</c:v>
                </c:pt>
                <c:pt idx="64">
                  <c:v>146.14419816959654</c:v>
                </c:pt>
                <c:pt idx="65">
                  <c:v>148.69186901052387</c:v>
                </c:pt>
                <c:pt idx="66">
                  <c:v>148.03927332588631</c:v>
                </c:pt>
                <c:pt idx="67">
                  <c:v>144.19816959648816</c:v>
                </c:pt>
                <c:pt idx="68">
                  <c:v>142.8655417720031</c:v>
                </c:pt>
                <c:pt idx="69">
                  <c:v>136.86185744801776</c:v>
                </c:pt>
                <c:pt idx="70">
                  <c:v>140.38254257549929</c:v>
                </c:pt>
                <c:pt idx="71">
                  <c:v>134.03394281458839</c:v>
                </c:pt>
                <c:pt idx="72">
                  <c:v>139.25274854488805</c:v>
                </c:pt>
                <c:pt idx="73">
                  <c:v>144.26382111431207</c:v>
                </c:pt>
                <c:pt idx="74">
                  <c:v>141.53879318792016</c:v>
                </c:pt>
                <c:pt idx="75">
                  <c:v>145.85219589629025</c:v>
                </c:pt>
                <c:pt idx="76">
                  <c:v>144.44313794657734</c:v>
                </c:pt>
                <c:pt idx="77">
                  <c:v>146.89380132086939</c:v>
                </c:pt>
                <c:pt idx="78">
                  <c:v>154.11546828149807</c:v>
                </c:pt>
                <c:pt idx="79">
                  <c:v>158.56409351911736</c:v>
                </c:pt>
                <c:pt idx="80">
                  <c:v>158.71989338977409</c:v>
                </c:pt>
                <c:pt idx="81">
                  <c:v>155.51962686420922</c:v>
                </c:pt>
                <c:pt idx="82">
                  <c:v>156.20553824445886</c:v>
                </c:pt>
                <c:pt idx="83">
                  <c:v>158.16234542497111</c:v>
                </c:pt>
                <c:pt idx="84">
                  <c:v>157.77431555842989</c:v>
                </c:pt>
                <c:pt idx="85">
                  <c:v>162.81674407666534</c:v>
                </c:pt>
                <c:pt idx="86">
                  <c:v>163.85540988104341</c:v>
                </c:pt>
                <c:pt idx="87">
                  <c:v>159.92807729241386</c:v>
                </c:pt>
                <c:pt idx="88">
                  <c:v>161.70458776726051</c:v>
                </c:pt>
                <c:pt idx="89">
                  <c:v>162.0348051031807</c:v>
                </c:pt>
                <c:pt idx="90">
                  <c:v>167.89934740431536</c:v>
                </c:pt>
                <c:pt idx="91">
                  <c:v>169.55239383071705</c:v>
                </c:pt>
                <c:pt idx="92">
                  <c:v>172.48417504458422</c:v>
                </c:pt>
                <c:pt idx="93">
                  <c:v>176.17241852352674</c:v>
                </c:pt>
                <c:pt idx="94">
                  <c:v>178.91998353812684</c:v>
                </c:pt>
                <c:pt idx="95">
                  <c:v>179.9498304819017</c:v>
                </c:pt>
                <c:pt idx="96">
                  <c:v>183.77329649009343</c:v>
                </c:pt>
                <c:pt idx="97">
                  <c:v>186.51890175789282</c:v>
                </c:pt>
                <c:pt idx="98">
                  <c:v>190.81270699825578</c:v>
                </c:pt>
                <c:pt idx="99">
                  <c:v>195.99231779254117</c:v>
                </c:pt>
                <c:pt idx="100">
                  <c:v>198.10198522350908</c:v>
                </c:pt>
                <c:pt idx="101">
                  <c:v>188.50020577341402</c:v>
                </c:pt>
                <c:pt idx="102">
                  <c:v>195.01146451878412</c:v>
                </c:pt>
                <c:pt idx="103">
                  <c:v>199.48850608501374</c:v>
                </c:pt>
                <c:pt idx="104">
                  <c:v>202.10574793736643</c:v>
                </c:pt>
                <c:pt idx="105">
                  <c:v>200.58400454661248</c:v>
                </c:pt>
                <c:pt idx="106">
                  <c:v>204.15760283771328</c:v>
                </c:pt>
                <c:pt idx="107">
                  <c:v>208.22701706939452</c:v>
                </c:pt>
                <c:pt idx="108">
                  <c:v>211.96523409175524</c:v>
                </c:pt>
                <c:pt idx="109">
                  <c:v>221.01632469084984</c:v>
                </c:pt>
                <c:pt idx="110">
                  <c:v>221.9648421423951</c:v>
                </c:pt>
                <c:pt idx="111">
                  <c:v>218.81846865384983</c:v>
                </c:pt>
                <c:pt idx="112">
                  <c:v>218.10806043859125</c:v>
                </c:pt>
                <c:pt idx="113">
                  <c:v>218.93605346189264</c:v>
                </c:pt>
                <c:pt idx="114">
                  <c:v>218.37850549708969</c:v>
                </c:pt>
                <c:pt idx="115">
                  <c:v>220.2441844513688</c:v>
                </c:pt>
                <c:pt idx="116">
                  <c:v>209.36954945421044</c:v>
                </c:pt>
                <c:pt idx="117">
                  <c:v>211.60660042722478</c:v>
                </c:pt>
                <c:pt idx="118">
                  <c:v>214.59717404511332</c:v>
                </c:pt>
                <c:pt idx="119">
                  <c:v>207.06880671017296</c:v>
                </c:pt>
                <c:pt idx="120">
                  <c:v>212.89317420189303</c:v>
                </c:pt>
                <c:pt idx="121">
                  <c:v>215.40850922060861</c:v>
                </c:pt>
                <c:pt idx="122">
                  <c:v>214.08470025672676</c:v>
                </c:pt>
                <c:pt idx="123">
                  <c:v>210.51404158582704</c:v>
                </c:pt>
                <c:pt idx="124">
                  <c:v>212.45321104513289</c:v>
                </c:pt>
                <c:pt idx="125">
                  <c:v>218.56762106335853</c:v>
                </c:pt>
                <c:pt idx="126">
                  <c:v>223.0554412369921</c:v>
                </c:pt>
                <c:pt idx="127">
                  <c:v>225.72755599976472</c:v>
                </c:pt>
                <c:pt idx="128">
                  <c:v>234.52779900836799</c:v>
                </c:pt>
                <c:pt idx="129">
                  <c:v>224.61833931056097</c:v>
                </c:pt>
                <c:pt idx="130">
                  <c:v>224.28616222784004</c:v>
                </c:pt>
                <c:pt idx="131">
                  <c:v>215.45554314382571</c:v>
                </c:pt>
                <c:pt idx="132">
                  <c:v>220.32845356379946</c:v>
                </c:pt>
                <c:pt idx="133">
                  <c:v>226.74368471593465</c:v>
                </c:pt>
                <c:pt idx="134">
                  <c:v>221.20348051031797</c:v>
                </c:pt>
                <c:pt idx="135">
                  <c:v>220.05702863190066</c:v>
                </c:pt>
                <c:pt idx="136">
                  <c:v>222.30289846551815</c:v>
                </c:pt>
                <c:pt idx="137">
                  <c:v>218.57056068355956</c:v>
                </c:pt>
                <c:pt idx="138">
                  <c:v>219.27410978501567</c:v>
                </c:pt>
                <c:pt idx="139">
                  <c:v>222.18139416387388</c:v>
                </c:pt>
                <c:pt idx="140">
                  <c:v>226.10088776530054</c:v>
                </c:pt>
                <c:pt idx="141">
                  <c:v>228.1468634252453</c:v>
                </c:pt>
                <c:pt idx="142">
                  <c:v>220.06584749250385</c:v>
                </c:pt>
                <c:pt idx="143">
                  <c:v>222.26860289650566</c:v>
                </c:pt>
                <c:pt idx="144">
                  <c:v>208.58565073392504</c:v>
                </c:pt>
                <c:pt idx="145">
                  <c:v>201.97640464851929</c:v>
                </c:pt>
                <c:pt idx="146">
                  <c:v>195.92176690771541</c:v>
                </c:pt>
                <c:pt idx="147">
                  <c:v>198.34793344699855</c:v>
                </c:pt>
                <c:pt idx="148">
                  <c:v>194.27949908871764</c:v>
                </c:pt>
                <c:pt idx="149">
                  <c:v>201.00045074176407</c:v>
                </c:pt>
                <c:pt idx="150">
                  <c:v>199.5384796284319</c:v>
                </c:pt>
                <c:pt idx="151">
                  <c:v>200.68101201324782</c:v>
                </c:pt>
                <c:pt idx="152">
                  <c:v>199.73249456170254</c:v>
                </c:pt>
                <c:pt idx="153">
                  <c:v>201.35124541909175</c:v>
                </c:pt>
                <c:pt idx="154">
                  <c:v>198.82317204617155</c:v>
                </c:pt>
                <c:pt idx="155">
                  <c:v>196.54594626374262</c:v>
                </c:pt>
                <c:pt idx="156">
                  <c:v>198.11472357771368</c:v>
                </c:pt>
                <c:pt idx="157">
                  <c:v>205.64995002645648</c:v>
                </c:pt>
                <c:pt idx="158">
                  <c:v>209.70760577733347</c:v>
                </c:pt>
                <c:pt idx="159">
                  <c:v>205.74009837928929</c:v>
                </c:pt>
                <c:pt idx="160">
                  <c:v>206.03602014619702</c:v>
                </c:pt>
                <c:pt idx="161">
                  <c:v>200.68591138024959</c:v>
                </c:pt>
                <c:pt idx="162">
                  <c:v>198.24896623356256</c:v>
                </c:pt>
                <c:pt idx="163">
                  <c:v>197.30632802241942</c:v>
                </c:pt>
                <c:pt idx="164">
                  <c:v>203.51970525408109</c:v>
                </c:pt>
                <c:pt idx="165">
                  <c:v>200.85444960511097</c:v>
                </c:pt>
                <c:pt idx="166">
                  <c:v>202.51533501871552</c:v>
                </c:pt>
                <c:pt idx="167">
                  <c:v>202.73580653379577</c:v>
                </c:pt>
                <c:pt idx="168">
                  <c:v>198.12746193191833</c:v>
                </c:pt>
                <c:pt idx="169">
                  <c:v>200.64475669743464</c:v>
                </c:pt>
                <c:pt idx="170">
                  <c:v>205.70188331667541</c:v>
                </c:pt>
                <c:pt idx="171">
                  <c:v>199.55807709643904</c:v>
                </c:pt>
                <c:pt idx="172">
                  <c:v>203.6500284163285</c:v>
                </c:pt>
                <c:pt idx="173">
                  <c:v>205.38342446155946</c:v>
                </c:pt>
                <c:pt idx="174">
                  <c:v>206.06247672800663</c:v>
                </c:pt>
                <c:pt idx="175">
                  <c:v>205.60487585004012</c:v>
                </c:pt>
                <c:pt idx="176">
                  <c:v>197.76098928018493</c:v>
                </c:pt>
                <c:pt idx="177">
                  <c:v>197.46016814627544</c:v>
                </c:pt>
                <c:pt idx="178">
                  <c:v>199.88633468555855</c:v>
                </c:pt>
                <c:pt idx="179">
                  <c:v>201.87547768828256</c:v>
                </c:pt>
                <c:pt idx="180">
                  <c:v>200.38998961334184</c:v>
                </c:pt>
                <c:pt idx="181">
                  <c:v>196.66059145158434</c:v>
                </c:pt>
                <c:pt idx="182">
                  <c:v>197.80508358320091</c:v>
                </c:pt>
                <c:pt idx="183">
                  <c:v>200.16265898445906</c:v>
                </c:pt>
                <c:pt idx="184">
                  <c:v>196.01583475414964</c:v>
                </c:pt>
                <c:pt idx="185">
                  <c:v>197.07605777333555</c:v>
                </c:pt>
                <c:pt idx="186">
                  <c:v>197.55717561291067</c:v>
                </c:pt>
                <c:pt idx="187">
                  <c:v>198.60172065769089</c:v>
                </c:pt>
                <c:pt idx="188">
                  <c:v>200.79369745428878</c:v>
                </c:pt>
                <c:pt idx="189">
                  <c:v>200.32335822211761</c:v>
                </c:pt>
                <c:pt idx="190">
                  <c:v>201.14057263801504</c:v>
                </c:pt>
                <c:pt idx="191">
                  <c:v>205.19038940168923</c:v>
                </c:pt>
                <c:pt idx="192">
                  <c:v>201.66774452740697</c:v>
                </c:pt>
                <c:pt idx="193">
                  <c:v>202.22431261880959</c:v>
                </c:pt>
                <c:pt idx="194">
                  <c:v>204.82979599035795</c:v>
                </c:pt>
                <c:pt idx="195">
                  <c:v>206.52105747937361</c:v>
                </c:pt>
                <c:pt idx="196">
                  <c:v>208.88941148803571</c:v>
                </c:pt>
                <c:pt idx="197">
                  <c:v>209.47439590804862</c:v>
                </c:pt>
                <c:pt idx="198">
                  <c:v>212.47770788014182</c:v>
                </c:pt>
                <c:pt idx="199">
                  <c:v>215.64269896329387</c:v>
                </c:pt>
                <c:pt idx="200">
                  <c:v>215.60448390067998</c:v>
                </c:pt>
                <c:pt idx="201">
                  <c:v>217.26340956748388</c:v>
                </c:pt>
                <c:pt idx="202">
                  <c:v>221.34360240656903</c:v>
                </c:pt>
                <c:pt idx="203">
                  <c:v>225.56391714190522</c:v>
                </c:pt>
                <c:pt idx="204">
                  <c:v>230.8924686930448</c:v>
                </c:pt>
                <c:pt idx="205">
                  <c:v>230.28396731142331</c:v>
                </c:pt>
                <c:pt idx="206">
                  <c:v>231.64501146451875</c:v>
                </c:pt>
                <c:pt idx="207">
                  <c:v>233.10992219805195</c:v>
                </c:pt>
                <c:pt idx="208">
                  <c:v>235.4870950673172</c:v>
                </c:pt>
                <c:pt idx="209">
                  <c:v>233.02859270582232</c:v>
                </c:pt>
                <c:pt idx="210">
                  <c:v>237.48701667744521</c:v>
                </c:pt>
                <c:pt idx="211">
                  <c:v>242.54512317008638</c:v>
                </c:pt>
                <c:pt idx="212">
                  <c:v>239.77796068747915</c:v>
                </c:pt>
                <c:pt idx="213">
                  <c:v>242.33151076880864</c:v>
                </c:pt>
                <c:pt idx="214">
                  <c:v>245.62192564720635</c:v>
                </c:pt>
                <c:pt idx="215">
                  <c:v>248.27346306857152</c:v>
                </c:pt>
                <c:pt idx="216">
                  <c:v>253.23652184137808</c:v>
                </c:pt>
                <c:pt idx="217">
                  <c:v>246.02465361475296</c:v>
                </c:pt>
                <c:pt idx="218">
                  <c:v>247.57579320751756</c:v>
                </c:pt>
                <c:pt idx="219">
                  <c:v>253.85384208360273</c:v>
                </c:pt>
                <c:pt idx="220">
                  <c:v>258.88059262743252</c:v>
                </c:pt>
                <c:pt idx="221">
                  <c:v>260.20636133811513</c:v>
                </c:pt>
                <c:pt idx="222">
                  <c:v>264.95090834264209</c:v>
                </c:pt>
                <c:pt idx="223">
                  <c:v>271.9344660669841</c:v>
                </c:pt>
                <c:pt idx="224">
                  <c:v>271.50430164422755</c:v>
                </c:pt>
                <c:pt idx="225">
                  <c:v>271.10353342348168</c:v>
                </c:pt>
                <c:pt idx="226">
                  <c:v>274.97305348149024</c:v>
                </c:pt>
                <c:pt idx="227">
                  <c:v>275.6266290395281</c:v>
                </c:pt>
                <c:pt idx="228">
                  <c:v>280.41723009387186</c:v>
                </c:pt>
                <c:pt idx="229">
                  <c:v>277.78627001391419</c:v>
                </c:pt>
                <c:pt idx="230">
                  <c:v>283.15303662766769</c:v>
                </c:pt>
                <c:pt idx="231">
                  <c:v>279.9272933936935</c:v>
                </c:pt>
                <c:pt idx="232">
                  <c:v>279.93709212769704</c:v>
                </c:pt>
                <c:pt idx="233">
                  <c:v>289.99941207595975</c:v>
                </c:pt>
                <c:pt idx="234">
                  <c:v>287.12446351931328</c:v>
                </c:pt>
                <c:pt idx="235">
                  <c:v>289.10086816783269</c:v>
                </c:pt>
                <c:pt idx="236">
                  <c:v>292.51670684147609</c:v>
                </c:pt>
                <c:pt idx="237">
                  <c:v>293.90616732318182</c:v>
                </c:pt>
                <c:pt idx="238">
                  <c:v>278.92488290512864</c:v>
                </c:pt>
                <c:pt idx="239">
                  <c:v>280.06349579634309</c:v>
                </c:pt>
                <c:pt idx="240">
                  <c:v>274.39884766888116</c:v>
                </c:pt>
                <c:pt idx="241">
                  <c:v>245.43770944793931</c:v>
                </c:pt>
                <c:pt idx="242">
                  <c:v>270.25104356517136</c:v>
                </c:pt>
                <c:pt idx="243">
                  <c:v>274.99461069629803</c:v>
                </c:pt>
                <c:pt idx="244">
                  <c:v>277.96656671957987</c:v>
                </c:pt>
                <c:pt idx="245">
                  <c:v>284.67575989182205</c:v>
                </c:pt>
                <c:pt idx="246">
                  <c:v>292.46967291825905</c:v>
                </c:pt>
                <c:pt idx="247">
                  <c:v>303.99102435965284</c:v>
                </c:pt>
                <c:pt idx="248">
                  <c:v>302.94549944147229</c:v>
                </c:pt>
                <c:pt idx="249">
                  <c:v>303.26591804338892</c:v>
                </c:pt>
                <c:pt idx="250">
                  <c:v>299.43951241499616</c:v>
                </c:pt>
                <c:pt idx="251">
                  <c:v>307.32357379426594</c:v>
                </c:pt>
                <c:pt idx="252">
                  <c:v>306.23689419327036</c:v>
                </c:pt>
                <c:pt idx="253">
                  <c:v>297.50916181629344</c:v>
                </c:pt>
                <c:pt idx="254">
                  <c:v>284.07215787720241</c:v>
                </c:pt>
                <c:pt idx="255">
                  <c:v>272.94079604915055</c:v>
                </c:pt>
                <c:pt idx="256">
                  <c:v>293.4799223940268</c:v>
                </c:pt>
                <c:pt idx="257">
                  <c:v>298.81533305896892</c:v>
                </c:pt>
                <c:pt idx="258">
                  <c:v>284.04766104219345</c:v>
                </c:pt>
                <c:pt idx="259">
                  <c:v>280.19087933838961</c:v>
                </c:pt>
                <c:pt idx="260">
                  <c:v>282.39755423599286</c:v>
                </c:pt>
                <c:pt idx="261">
                  <c:v>278.80043898328353</c:v>
                </c:pt>
                <c:pt idx="262">
                  <c:v>277.04156622964331</c:v>
                </c:pt>
                <c:pt idx="263">
                  <c:v>257.26968075724631</c:v>
                </c:pt>
                <c:pt idx="264">
                  <c:v>259.67135046152055</c:v>
                </c:pt>
                <c:pt idx="265">
                  <c:v>265.68973288651119</c:v>
                </c:pt>
                <c:pt idx="266">
                  <c:v>256.54947380798416</c:v>
                </c:pt>
                <c:pt idx="267">
                  <c:v>261.29892017951295</c:v>
                </c:pt>
                <c:pt idx="268">
                  <c:v>260.87463499715852</c:v>
                </c:pt>
                <c:pt idx="269">
                  <c:v>262.04264409038365</c:v>
                </c:pt>
                <c:pt idx="270">
                  <c:v>237.62811844709677</c:v>
                </c:pt>
                <c:pt idx="271">
                  <c:v>235.72814392380513</c:v>
                </c:pt>
                <c:pt idx="272">
                  <c:v>224.02551590334539</c:v>
                </c:pt>
                <c:pt idx="273">
                  <c:v>243.99631567601477</c:v>
                </c:pt>
                <c:pt idx="274">
                  <c:v>253.38742234503312</c:v>
                </c:pt>
                <c:pt idx="275">
                  <c:v>242.65584886432683</c:v>
                </c:pt>
                <c:pt idx="276">
                  <c:v>241.44472534148596</c:v>
                </c:pt>
                <c:pt idx="277">
                  <c:v>249.07401963666305</c:v>
                </c:pt>
                <c:pt idx="278">
                  <c:v>257.08056519097744</c:v>
                </c:pt>
                <c:pt idx="279">
                  <c:v>249.61686950046064</c:v>
                </c:pt>
                <c:pt idx="280">
                  <c:v>252.37031375546286</c:v>
                </c:pt>
                <c:pt idx="281">
                  <c:v>247.53267877790199</c:v>
                </c:pt>
                <c:pt idx="282">
                  <c:v>237.20677288494335</c:v>
                </c:pt>
                <c:pt idx="283">
                  <c:v>235.83886961804544</c:v>
                </c:pt>
                <c:pt idx="284">
                  <c:v>219.70819370137386</c:v>
                </c:pt>
                <c:pt idx="285">
                  <c:v>207.48819252552576</c:v>
                </c:pt>
                <c:pt idx="286">
                  <c:v>193.9336037783919</c:v>
                </c:pt>
                <c:pt idx="287">
                  <c:v>197.84133889901432</c:v>
                </c:pt>
                <c:pt idx="288">
                  <c:v>206.18496090305138</c:v>
                </c:pt>
                <c:pt idx="289">
                  <c:v>200.38215062613918</c:v>
                </c:pt>
                <c:pt idx="290">
                  <c:v>216.89007780194802</c:v>
                </c:pt>
                <c:pt idx="291">
                  <c:v>206.77484469006609</c:v>
                </c:pt>
                <c:pt idx="292">
                  <c:v>206.18398102965105</c:v>
                </c:pt>
                <c:pt idx="293">
                  <c:v>198.48021635604687</c:v>
                </c:pt>
                <c:pt idx="294">
                  <c:v>187.04117428028306</c:v>
                </c:pt>
                <c:pt idx="295">
                  <c:v>191.15566268838074</c:v>
                </c:pt>
                <c:pt idx="296">
                  <c:v>177.26693711172524</c:v>
                </c:pt>
                <c:pt idx="297">
                  <c:v>178.9826954357498</c:v>
                </c:pt>
                <c:pt idx="298">
                  <c:v>173.74135261724197</c:v>
                </c:pt>
                <c:pt idx="299">
                  <c:v>172.48613479138507</c:v>
                </c:pt>
                <c:pt idx="300">
                  <c:v>166.14635389107738</c:v>
                </c:pt>
                <c:pt idx="301">
                  <c:v>123.83542046367617</c:v>
                </c:pt>
                <c:pt idx="302">
                  <c:v>134.55425559017786</c:v>
                </c:pt>
                <c:pt idx="303">
                  <c:v>115.95135908440639</c:v>
                </c:pt>
                <c:pt idx="304">
                  <c:v>124.80353538322861</c:v>
                </c:pt>
                <c:pt idx="305">
                  <c:v>127.90973406235923</c:v>
                </c:pt>
                <c:pt idx="306">
                  <c:v>117.24185235267612</c:v>
                </c:pt>
                <c:pt idx="307">
                  <c:v>104.31928194877229</c:v>
                </c:pt>
                <c:pt idx="308">
                  <c:v>111.26070511689899</c:v>
                </c:pt>
                <c:pt idx="309">
                  <c:v>102.29780312383649</c:v>
                </c:pt>
                <c:pt idx="310">
                  <c:v>109.92905716581426</c:v>
                </c:pt>
                <c:pt idx="311">
                  <c:v>117.62890234581704</c:v>
                </c:pt>
                <c:pt idx="312">
                  <c:v>114.16504987555618</c:v>
                </c:pt>
                <c:pt idx="313">
                  <c:v>120.58616026809348</c:v>
                </c:pt>
                <c:pt idx="314">
                  <c:v>121.74241088051436</c:v>
                </c:pt>
                <c:pt idx="315">
                  <c:v>115.33403884218168</c:v>
                </c:pt>
                <c:pt idx="316">
                  <c:v>110.53951829423646</c:v>
                </c:pt>
                <c:pt idx="317">
                  <c:v>113.78093950261636</c:v>
                </c:pt>
                <c:pt idx="318">
                  <c:v>111.79375624669302</c:v>
                </c:pt>
                <c:pt idx="319">
                  <c:v>113.34293609265691</c:v>
                </c:pt>
                <c:pt idx="320">
                  <c:v>105.38930370196178</c:v>
                </c:pt>
                <c:pt idx="321">
                  <c:v>100.87894644012</c:v>
                </c:pt>
                <c:pt idx="322">
                  <c:v>94.373566935152041</c:v>
                </c:pt>
                <c:pt idx="323">
                  <c:v>99.829502028337998</c:v>
                </c:pt>
                <c:pt idx="324">
                  <c:v>107.61361632077143</c:v>
                </c:pt>
                <c:pt idx="325">
                  <c:v>114.54132126129312</c:v>
                </c:pt>
                <c:pt idx="326">
                  <c:v>116.59611578184106</c:v>
                </c:pt>
                <c:pt idx="327">
                  <c:v>119.03208105512773</c:v>
                </c:pt>
                <c:pt idx="328">
                  <c:v>119.5171183883043</c:v>
                </c:pt>
                <c:pt idx="329">
                  <c:v>120.94871342622538</c:v>
                </c:pt>
                <c:pt idx="330">
                  <c:v>123.85795755188435</c:v>
                </c:pt>
                <c:pt idx="331">
                  <c:v>130.51129794030618</c:v>
                </c:pt>
                <c:pt idx="332">
                  <c:v>128.23505203127763</c:v>
                </c:pt>
                <c:pt idx="333">
                  <c:v>131.89193956140875</c:v>
                </c:pt>
                <c:pt idx="334">
                  <c:v>136.40327669665086</c:v>
                </c:pt>
                <c:pt idx="335">
                  <c:v>141.36829521625813</c:v>
                </c:pt>
                <c:pt idx="336">
                  <c:v>139.66037587943646</c:v>
                </c:pt>
                <c:pt idx="337">
                  <c:v>137.3753111098047</c:v>
                </c:pt>
                <c:pt idx="338">
                  <c:v>139.14692221764955</c:v>
                </c:pt>
                <c:pt idx="339">
                  <c:v>135.92999784427857</c:v>
                </c:pt>
                <c:pt idx="340">
                  <c:v>133.70274560526784</c:v>
                </c:pt>
                <c:pt idx="341">
                  <c:v>143.14284594430404</c:v>
                </c:pt>
                <c:pt idx="342">
                  <c:v>148.84570913437989</c:v>
                </c:pt>
                <c:pt idx="343">
                  <c:v>149.8814353185569</c:v>
                </c:pt>
                <c:pt idx="344">
                  <c:v>148.29012091637767</c:v>
                </c:pt>
                <c:pt idx="345">
                  <c:v>149.30037039214542</c:v>
                </c:pt>
                <c:pt idx="346">
                  <c:v>143.95124149959832</c:v>
                </c:pt>
                <c:pt idx="347">
                  <c:v>148.8643267289867</c:v>
                </c:pt>
                <c:pt idx="348">
                  <c:v>150.46739961197019</c:v>
                </c:pt>
                <c:pt idx="349">
                  <c:v>157.03157152095957</c:v>
                </c:pt>
                <c:pt idx="350">
                  <c:v>159.749740333549</c:v>
                </c:pt>
                <c:pt idx="351">
                  <c:v>159.80755286417005</c:v>
                </c:pt>
                <c:pt idx="352">
                  <c:v>161.50763321378886</c:v>
                </c:pt>
                <c:pt idx="353">
                  <c:v>163.19693495600376</c:v>
                </c:pt>
                <c:pt idx="354">
                  <c:v>169.22805573519909</c:v>
                </c:pt>
                <c:pt idx="355">
                  <c:v>171.36124012777557</c:v>
                </c:pt>
                <c:pt idx="356">
                  <c:v>167.12916691163508</c:v>
                </c:pt>
                <c:pt idx="357">
                  <c:v>170.25594293217321</c:v>
                </c:pt>
                <c:pt idx="358">
                  <c:v>174.04609324475283</c:v>
                </c:pt>
                <c:pt idx="359">
                  <c:v>169.98451800027439</c:v>
                </c:pt>
                <c:pt idx="360">
                  <c:v>165.61722225488472</c:v>
                </c:pt>
                <c:pt idx="361">
                  <c:v>171.53859721324008</c:v>
                </c:pt>
                <c:pt idx="362">
                  <c:v>170.81839026397793</c:v>
                </c:pt>
                <c:pt idx="363">
                  <c:v>170.75861798655617</c:v>
                </c:pt>
                <c:pt idx="364">
                  <c:v>172.49005428498643</c:v>
                </c:pt>
                <c:pt idx="365">
                  <c:v>177.27673584572878</c:v>
                </c:pt>
                <c:pt idx="366">
                  <c:v>184.86095596448945</c:v>
                </c:pt>
                <c:pt idx="367">
                  <c:v>181.12077919532803</c:v>
                </c:pt>
                <c:pt idx="368">
                  <c:v>174.60854057655757</c:v>
                </c:pt>
                <c:pt idx="369">
                  <c:v>167.02040096419549</c:v>
                </c:pt>
                <c:pt idx="370">
                  <c:v>161.39396789934744</c:v>
                </c:pt>
                <c:pt idx="371">
                  <c:v>165.62604111548791</c:v>
                </c:pt>
                <c:pt idx="372">
                  <c:v>167.47800184216203</c:v>
                </c:pt>
                <c:pt idx="373">
                  <c:v>171.11627177768634</c:v>
                </c:pt>
                <c:pt idx="374">
                  <c:v>176.08520979089502</c:v>
                </c:pt>
                <c:pt idx="375">
                  <c:v>177.05038509024632</c:v>
                </c:pt>
                <c:pt idx="376">
                  <c:v>177.73531659709565</c:v>
                </c:pt>
                <c:pt idx="377">
                  <c:v>175.82064397279871</c:v>
                </c:pt>
                <c:pt idx="378">
                  <c:v>181.17369235894722</c:v>
                </c:pt>
                <c:pt idx="379">
                  <c:v>185.82123189683892</c:v>
                </c:pt>
                <c:pt idx="380">
                  <c:v>184.09763458561153</c:v>
                </c:pt>
                <c:pt idx="381">
                  <c:v>183.25004409430301</c:v>
                </c:pt>
                <c:pt idx="382">
                  <c:v>180.92382464185627</c:v>
                </c:pt>
                <c:pt idx="383">
                  <c:v>168.73713916162032</c:v>
                </c:pt>
                <c:pt idx="384">
                  <c:v>173.77662805965471</c:v>
                </c:pt>
                <c:pt idx="385">
                  <c:v>157.91247770788016</c:v>
                </c:pt>
                <c:pt idx="386">
                  <c:v>161.0127971466087</c:v>
                </c:pt>
                <c:pt idx="387">
                  <c:v>158.93056617085077</c:v>
                </c:pt>
                <c:pt idx="388">
                  <c:v>161.73300409587085</c:v>
                </c:pt>
                <c:pt idx="389">
                  <c:v>170.32943343719995</c:v>
                </c:pt>
                <c:pt idx="390">
                  <c:v>168.62347384717899</c:v>
                </c:pt>
                <c:pt idx="391">
                  <c:v>165.40850922060875</c:v>
                </c:pt>
                <c:pt idx="392">
                  <c:v>172.12064201305196</c:v>
                </c:pt>
                <c:pt idx="393">
                  <c:v>173.88441413369398</c:v>
                </c:pt>
                <c:pt idx="394">
                  <c:v>178.53391341838639</c:v>
                </c:pt>
                <c:pt idx="395">
                  <c:v>179.29429517706319</c:v>
                </c:pt>
                <c:pt idx="396">
                  <c:v>183.44111940737261</c:v>
                </c:pt>
                <c:pt idx="397">
                  <c:v>177.9028749485567</c:v>
                </c:pt>
                <c:pt idx="398">
                  <c:v>176.24884864875466</c:v>
                </c:pt>
                <c:pt idx="399">
                  <c:v>177.93521077076849</c:v>
                </c:pt>
                <c:pt idx="400">
                  <c:v>185.63603582417159</c:v>
                </c:pt>
                <c:pt idx="401">
                  <c:v>189.08323044662637</c:v>
                </c:pt>
                <c:pt idx="402">
                  <c:v>191.10274952476146</c:v>
                </c:pt>
                <c:pt idx="403">
                  <c:v>191.65539812256264</c:v>
                </c:pt>
                <c:pt idx="404">
                  <c:v>193.03407999686448</c:v>
                </c:pt>
                <c:pt idx="405">
                  <c:v>194.96541046896752</c:v>
                </c:pt>
                <c:pt idx="406">
                  <c:v>195.87473298449851</c:v>
                </c:pt>
                <c:pt idx="407">
                  <c:v>195.49258235835939</c:v>
                </c:pt>
                <c:pt idx="408">
                  <c:v>195.60428792600004</c:v>
                </c:pt>
                <c:pt idx="409">
                  <c:v>204.42608814941116</c:v>
                </c:pt>
                <c:pt idx="410">
                  <c:v>202.04891528014585</c:v>
                </c:pt>
                <c:pt idx="411">
                  <c:v>196.58416132635671</c:v>
                </c:pt>
                <c:pt idx="412">
                  <c:v>193.90812706998264</c:v>
                </c:pt>
                <c:pt idx="413">
                  <c:v>197.78744586199471</c:v>
                </c:pt>
                <c:pt idx="414">
                  <c:v>193.47894252062642</c:v>
                </c:pt>
                <c:pt idx="415">
                  <c:v>191.90820545985468</c:v>
                </c:pt>
                <c:pt idx="416">
                  <c:v>192.22862406177131</c:v>
                </c:pt>
                <c:pt idx="417">
                  <c:v>195.31816489309588</c:v>
                </c:pt>
                <c:pt idx="418">
                  <c:v>195.36715856311372</c:v>
                </c:pt>
                <c:pt idx="419">
                  <c:v>195.50434083916363</c:v>
                </c:pt>
                <c:pt idx="420">
                  <c:v>193.58084935426345</c:v>
                </c:pt>
                <c:pt idx="421">
                  <c:v>193.51813745664063</c:v>
                </c:pt>
                <c:pt idx="422">
                  <c:v>196.21768867462328</c:v>
                </c:pt>
                <c:pt idx="423">
                  <c:v>189.01757892880244</c:v>
                </c:pt>
                <c:pt idx="424">
                  <c:v>194.50291022399909</c:v>
                </c:pt>
                <c:pt idx="425">
                  <c:v>191.85235267603429</c:v>
                </c:pt>
                <c:pt idx="426">
                  <c:v>195.64740235561567</c:v>
                </c:pt>
                <c:pt idx="427">
                  <c:v>190.83524408646403</c:v>
                </c:pt>
                <c:pt idx="428">
                  <c:v>188.25327767652422</c:v>
                </c:pt>
                <c:pt idx="429">
                  <c:v>196.92221764947973</c:v>
                </c:pt>
                <c:pt idx="430">
                  <c:v>199.79912595292691</c:v>
                </c:pt>
                <c:pt idx="431">
                  <c:v>202.31936033864432</c:v>
                </c:pt>
                <c:pt idx="432">
                  <c:v>202.51337527191492</c:v>
                </c:pt>
                <c:pt idx="433">
                  <c:v>207.47545417132113</c:v>
                </c:pt>
                <c:pt idx="434">
                  <c:v>205.07868383404872</c:v>
                </c:pt>
                <c:pt idx="435">
                  <c:v>204.22521410233804</c:v>
                </c:pt>
                <c:pt idx="436">
                  <c:v>203.43837576185166</c:v>
                </c:pt>
                <c:pt idx="437">
                  <c:v>204.45058498442009</c:v>
                </c:pt>
                <c:pt idx="438">
                  <c:v>203.40506006623951</c:v>
                </c:pt>
                <c:pt idx="439">
                  <c:v>200.70942834185831</c:v>
                </c:pt>
                <c:pt idx="440">
                  <c:v>198.97211280302591</c:v>
                </c:pt>
                <c:pt idx="441">
                  <c:v>194.89191996394072</c:v>
                </c:pt>
                <c:pt idx="442">
                  <c:v>193.57692986066206</c:v>
                </c:pt>
                <c:pt idx="443">
                  <c:v>200.83779175730504</c:v>
                </c:pt>
                <c:pt idx="444">
                  <c:v>204.4358868834147</c:v>
                </c:pt>
                <c:pt idx="445">
                  <c:v>199.49144570521494</c:v>
                </c:pt>
                <c:pt idx="446">
                  <c:v>203.70490132674863</c:v>
                </c:pt>
                <c:pt idx="447">
                  <c:v>202.7985184314187</c:v>
                </c:pt>
                <c:pt idx="448">
                  <c:v>188.80396652752466</c:v>
                </c:pt>
                <c:pt idx="449">
                  <c:v>184.28773002528075</c:v>
                </c:pt>
                <c:pt idx="450">
                  <c:v>184.46312736394458</c:v>
                </c:pt>
                <c:pt idx="451">
                  <c:v>189.95727751974442</c:v>
                </c:pt>
                <c:pt idx="452">
                  <c:v>192.93609265682872</c:v>
                </c:pt>
                <c:pt idx="453">
                  <c:v>195.21331843925762</c:v>
                </c:pt>
                <c:pt idx="454">
                  <c:v>192.15219393654337</c:v>
                </c:pt>
                <c:pt idx="455">
                  <c:v>179.50202833793873</c:v>
                </c:pt>
                <c:pt idx="456">
                  <c:v>181.44217767064492</c:v>
                </c:pt>
                <c:pt idx="457">
                  <c:v>181.5176279224724</c:v>
                </c:pt>
                <c:pt idx="458">
                  <c:v>186.96964352205691</c:v>
                </c:pt>
                <c:pt idx="459">
                  <c:v>188.23074058831597</c:v>
                </c:pt>
                <c:pt idx="460">
                  <c:v>198.35871205440253</c:v>
                </c:pt>
                <c:pt idx="461">
                  <c:v>193.93164403159111</c:v>
                </c:pt>
                <c:pt idx="462">
                  <c:v>194.31967389813235</c:v>
                </c:pt>
                <c:pt idx="463">
                  <c:v>190.86072079487329</c:v>
                </c:pt>
                <c:pt idx="464">
                  <c:v>184.28968977208143</c:v>
                </c:pt>
                <c:pt idx="465">
                  <c:v>196.38916651968563</c:v>
                </c:pt>
                <c:pt idx="466">
                  <c:v>193.9473220059968</c:v>
                </c:pt>
                <c:pt idx="467">
                  <c:v>194.26480098771236</c:v>
                </c:pt>
                <c:pt idx="468">
                  <c:v>195.98447880533831</c:v>
                </c:pt>
                <c:pt idx="469">
                  <c:v>197.37001979344265</c:v>
                </c:pt>
                <c:pt idx="470">
                  <c:v>197.1495482783624</c:v>
                </c:pt>
                <c:pt idx="471">
                  <c:v>198.94663609461654</c:v>
                </c:pt>
                <c:pt idx="472">
                  <c:v>199.97746291179178</c:v>
                </c:pt>
                <c:pt idx="473">
                  <c:v>204.57012953926349</c:v>
                </c:pt>
                <c:pt idx="474">
                  <c:v>206.11147039802452</c:v>
                </c:pt>
                <c:pt idx="475">
                  <c:v>208.49942187469378</c:v>
                </c:pt>
                <c:pt idx="476">
                  <c:v>209.38620730201652</c:v>
                </c:pt>
                <c:pt idx="477">
                  <c:v>208.86197503282571</c:v>
                </c:pt>
                <c:pt idx="478">
                  <c:v>210.2651537421365</c:v>
                </c:pt>
                <c:pt idx="479">
                  <c:v>210.31414741215431</c:v>
                </c:pt>
                <c:pt idx="480">
                  <c:v>213.42328571148605</c:v>
                </c:pt>
                <c:pt idx="481">
                  <c:v>212.04656358398489</c:v>
                </c:pt>
                <c:pt idx="482">
                  <c:v>212.33072687008834</c:v>
                </c:pt>
                <c:pt idx="483">
                  <c:v>212.76775040664742</c:v>
                </c:pt>
                <c:pt idx="484">
                  <c:v>212.82654281066883</c:v>
                </c:pt>
                <c:pt idx="485">
                  <c:v>212.70209888882354</c:v>
                </c:pt>
                <c:pt idx="486">
                  <c:v>212.9490269857134</c:v>
                </c:pt>
                <c:pt idx="487">
                  <c:v>213.00389989613339</c:v>
                </c:pt>
                <c:pt idx="488">
                  <c:v>209.75267995374998</c:v>
                </c:pt>
                <c:pt idx="489">
                  <c:v>201.48548807494066</c:v>
                </c:pt>
                <c:pt idx="490">
                  <c:v>200.93479922394022</c:v>
                </c:pt>
                <c:pt idx="491">
                  <c:v>202.39481059047165</c:v>
                </c:pt>
                <c:pt idx="492">
                  <c:v>201.70595959002088</c:v>
                </c:pt>
                <c:pt idx="493">
                  <c:v>206.14086660003522</c:v>
                </c:pt>
                <c:pt idx="494">
                  <c:v>204.32516118917428</c:v>
                </c:pt>
                <c:pt idx="495">
                  <c:v>209.51947008446501</c:v>
                </c:pt>
                <c:pt idx="496">
                  <c:v>214.02100848570359</c:v>
                </c:pt>
                <c:pt idx="497">
                  <c:v>214.94502910223989</c:v>
                </c:pt>
                <c:pt idx="498">
                  <c:v>219.63666294314766</c:v>
                </c:pt>
                <c:pt idx="499">
                  <c:v>219.35837889744636</c:v>
                </c:pt>
                <c:pt idx="500">
                  <c:v>221.42689164559928</c:v>
                </c:pt>
                <c:pt idx="501">
                  <c:v>220.20302976855382</c:v>
                </c:pt>
                <c:pt idx="502">
                  <c:v>222.19217277127782</c:v>
                </c:pt>
                <c:pt idx="503">
                  <c:v>224.70260842299157</c:v>
                </c:pt>
                <c:pt idx="504">
                  <c:v>225.53060144629302</c:v>
                </c:pt>
                <c:pt idx="505">
                  <c:v>227.02294863503624</c:v>
                </c:pt>
                <c:pt idx="506">
                  <c:v>229.56278048876075</c:v>
                </c:pt>
                <c:pt idx="507">
                  <c:v>230.39273325886285</c:v>
                </c:pt>
                <c:pt idx="508">
                  <c:v>230.0860328845512</c:v>
                </c:pt>
                <c:pt idx="509">
                  <c:v>230.8983479334469</c:v>
                </c:pt>
                <c:pt idx="510">
                  <c:v>229.56865972916293</c:v>
                </c:pt>
                <c:pt idx="511">
                  <c:v>232.28290904815091</c:v>
                </c:pt>
                <c:pt idx="512">
                  <c:v>230.10073098555659</c:v>
                </c:pt>
                <c:pt idx="513">
                  <c:v>232.00168538224855</c:v>
                </c:pt>
                <c:pt idx="514">
                  <c:v>230.5210966743096</c:v>
                </c:pt>
                <c:pt idx="515">
                  <c:v>227.48152938640322</c:v>
                </c:pt>
                <c:pt idx="516">
                  <c:v>232.66309992748933</c:v>
                </c:pt>
                <c:pt idx="517">
                  <c:v>235.27152291923878</c:v>
                </c:pt>
                <c:pt idx="518">
                  <c:v>237.20187351794141</c:v>
                </c:pt>
                <c:pt idx="519">
                  <c:v>237.07057048229365</c:v>
                </c:pt>
                <c:pt idx="520">
                  <c:v>234.8805534324965</c:v>
                </c:pt>
                <c:pt idx="521">
                  <c:v>233.75761851568774</c:v>
                </c:pt>
                <c:pt idx="522">
                  <c:v>235.07456836576713</c:v>
                </c:pt>
                <c:pt idx="523">
                  <c:v>236.67372175514919</c:v>
                </c:pt>
                <c:pt idx="524">
                  <c:v>239.912203343328</c:v>
                </c:pt>
                <c:pt idx="525">
                  <c:v>241.7984596390146</c:v>
                </c:pt>
                <c:pt idx="526">
                  <c:v>243.09287240088574</c:v>
                </c:pt>
                <c:pt idx="527">
                  <c:v>241.56426989632934</c:v>
                </c:pt>
                <c:pt idx="528">
                  <c:v>241.08903129715631</c:v>
                </c:pt>
                <c:pt idx="529">
                  <c:v>242.36874595802212</c:v>
                </c:pt>
                <c:pt idx="530">
                  <c:v>244.49507123679612</c:v>
                </c:pt>
                <c:pt idx="531">
                  <c:v>247.81194269700345</c:v>
                </c:pt>
                <c:pt idx="532">
                  <c:v>251.15037137201864</c:v>
                </c:pt>
                <c:pt idx="533">
                  <c:v>253.69314284594415</c:v>
                </c:pt>
                <c:pt idx="534">
                  <c:v>256.90320810551265</c:v>
                </c:pt>
                <c:pt idx="535">
                  <c:v>252.44772375409084</c:v>
                </c:pt>
                <c:pt idx="536">
                  <c:v>260.12503184588536</c:v>
                </c:pt>
                <c:pt idx="537">
                  <c:v>257.47153467771949</c:v>
                </c:pt>
                <c:pt idx="538">
                  <c:v>262.51886256295671</c:v>
                </c:pt>
                <c:pt idx="539">
                  <c:v>265.23409175534505</c:v>
                </c:pt>
                <c:pt idx="540">
                  <c:v>265.9435200972033</c:v>
                </c:pt>
                <c:pt idx="541">
                  <c:v>265.30464264017075</c:v>
                </c:pt>
                <c:pt idx="542">
                  <c:v>258.5660532659179</c:v>
                </c:pt>
                <c:pt idx="543">
                  <c:v>252.5819664099397</c:v>
                </c:pt>
                <c:pt idx="544">
                  <c:v>244.54112528661284</c:v>
                </c:pt>
                <c:pt idx="545">
                  <c:v>244.63127363944568</c:v>
                </c:pt>
                <c:pt idx="546">
                  <c:v>236.58553314911703</c:v>
                </c:pt>
                <c:pt idx="547">
                  <c:v>239.86320967331014</c:v>
                </c:pt>
                <c:pt idx="548">
                  <c:v>241.24679091461374</c:v>
                </c:pt>
                <c:pt idx="549">
                  <c:v>247.09467536794233</c:v>
                </c:pt>
                <c:pt idx="550">
                  <c:v>246.13145981539174</c:v>
                </c:pt>
                <c:pt idx="551">
                  <c:v>248.68305014992049</c:v>
                </c:pt>
                <c:pt idx="552">
                  <c:v>247.06919865953307</c:v>
                </c:pt>
                <c:pt idx="553">
                  <c:v>244.68516667646529</c:v>
                </c:pt>
                <c:pt idx="554">
                  <c:v>245.20841907225574</c:v>
                </c:pt>
                <c:pt idx="555">
                  <c:v>238.46101083739973</c:v>
                </c:pt>
                <c:pt idx="556">
                  <c:v>234.94718482372068</c:v>
                </c:pt>
                <c:pt idx="557">
                  <c:v>237.80351578576037</c:v>
                </c:pt>
                <c:pt idx="558">
                  <c:v>241.76906343700378</c:v>
                </c:pt>
                <c:pt idx="559">
                  <c:v>250.29592176690753</c:v>
                </c:pt>
                <c:pt idx="560">
                  <c:v>251.09941795520004</c:v>
                </c:pt>
                <c:pt idx="561">
                  <c:v>252.04793540674527</c:v>
                </c:pt>
                <c:pt idx="562">
                  <c:v>255.36872636055404</c:v>
                </c:pt>
                <c:pt idx="563">
                  <c:v>255.83612597252417</c:v>
                </c:pt>
                <c:pt idx="564">
                  <c:v>253.49226879887098</c:v>
                </c:pt>
                <c:pt idx="565">
                  <c:v>251.69910047621829</c:v>
                </c:pt>
                <c:pt idx="566">
                  <c:v>248.55762635467482</c:v>
                </c:pt>
                <c:pt idx="567">
                  <c:v>250.42036568875284</c:v>
                </c:pt>
                <c:pt idx="568">
                  <c:v>251.2062241558389</c:v>
                </c:pt>
                <c:pt idx="569">
                  <c:v>252.59078527054288</c:v>
                </c:pt>
                <c:pt idx="570">
                  <c:v>248.03437395888434</c:v>
                </c:pt>
                <c:pt idx="571">
                  <c:v>246.35879044427443</c:v>
                </c:pt>
                <c:pt idx="572">
                  <c:v>246.440119936504</c:v>
                </c:pt>
                <c:pt idx="573">
                  <c:v>249.06618064945988</c:v>
                </c:pt>
                <c:pt idx="574">
                  <c:v>250.46250024496814</c:v>
                </c:pt>
                <c:pt idx="575">
                  <c:v>246.57828208595424</c:v>
                </c:pt>
                <c:pt idx="576">
                  <c:v>246.70076626099882</c:v>
                </c:pt>
                <c:pt idx="577">
                  <c:v>244.40982225096496</c:v>
                </c:pt>
                <c:pt idx="578">
                  <c:v>241.07531306955119</c:v>
                </c:pt>
                <c:pt idx="579">
                  <c:v>239.98079448135277</c:v>
                </c:pt>
                <c:pt idx="580">
                  <c:v>244.88212122993687</c:v>
                </c:pt>
                <c:pt idx="581">
                  <c:v>247.36512042644071</c:v>
                </c:pt>
                <c:pt idx="582">
                  <c:v>254.19385815352635</c:v>
                </c:pt>
                <c:pt idx="583">
                  <c:v>256.59552785780056</c:v>
                </c:pt>
                <c:pt idx="584">
                  <c:v>251.41297744331413</c:v>
                </c:pt>
                <c:pt idx="585">
                  <c:v>250.2263507554822</c:v>
                </c:pt>
                <c:pt idx="586">
                  <c:v>256.38877457032538</c:v>
                </c:pt>
                <c:pt idx="587">
                  <c:v>258.16038567817026</c:v>
                </c:pt>
                <c:pt idx="588">
                  <c:v>260.46406804240877</c:v>
                </c:pt>
                <c:pt idx="589">
                  <c:v>261.02553550081313</c:v>
                </c:pt>
                <c:pt idx="590">
                  <c:v>260.22399905932139</c:v>
                </c:pt>
                <c:pt idx="591">
                  <c:v>261.07060967722953</c:v>
                </c:pt>
                <c:pt idx="592">
                  <c:v>258.73753111098029</c:v>
                </c:pt>
                <c:pt idx="593">
                  <c:v>264.02982734630672</c:v>
                </c:pt>
                <c:pt idx="594">
                  <c:v>269.99431673427779</c:v>
                </c:pt>
                <c:pt idx="595">
                  <c:v>270.01783369588634</c:v>
                </c:pt>
                <c:pt idx="596">
                  <c:v>271.92074783937903</c:v>
                </c:pt>
                <c:pt idx="597">
                  <c:v>273.99415995453376</c:v>
                </c:pt>
                <c:pt idx="598">
                  <c:v>275.23076018578394</c:v>
                </c:pt>
                <c:pt idx="599">
                  <c:v>276.09892801849992</c:v>
                </c:pt>
                <c:pt idx="600">
                  <c:v>278.57702784800199</c:v>
                </c:pt>
                <c:pt idx="601">
                  <c:v>279.9968644051188</c:v>
                </c:pt>
                <c:pt idx="602">
                  <c:v>281.50292982146698</c:v>
                </c:pt>
                <c:pt idx="603">
                  <c:v>283.36664902894535</c:v>
                </c:pt>
                <c:pt idx="604">
                  <c:v>279.99294491151733</c:v>
                </c:pt>
                <c:pt idx="605">
                  <c:v>276.92300154819986</c:v>
                </c:pt>
                <c:pt idx="606">
                  <c:v>283.10796245125118</c:v>
                </c:pt>
                <c:pt idx="607">
                  <c:v>287.10192643110497</c:v>
                </c:pt>
                <c:pt idx="608">
                  <c:v>283.49011307739033</c:v>
                </c:pt>
                <c:pt idx="609">
                  <c:v>289.16945930585763</c:v>
                </c:pt>
                <c:pt idx="610">
                  <c:v>279.79207086444421</c:v>
                </c:pt>
                <c:pt idx="611">
                  <c:v>272.68112959805586</c:v>
                </c:pt>
                <c:pt idx="612">
                  <c:v>268.40888157250072</c:v>
                </c:pt>
                <c:pt idx="613">
                  <c:v>262.26801497246549</c:v>
                </c:pt>
                <c:pt idx="614">
                  <c:v>263.14892115938608</c:v>
                </c:pt>
                <c:pt idx="615">
                  <c:v>263.55752836733484</c:v>
                </c:pt>
                <c:pt idx="616">
                  <c:v>270.38038685401835</c:v>
                </c:pt>
                <c:pt idx="617">
                  <c:v>273.34058439649584</c:v>
                </c:pt>
                <c:pt idx="618">
                  <c:v>272.88200364512886</c:v>
                </c:pt>
                <c:pt idx="619">
                  <c:v>276.02543751347304</c:v>
                </c:pt>
                <c:pt idx="620">
                  <c:v>272.7879357986946</c:v>
                </c:pt>
                <c:pt idx="621">
                  <c:v>272.85750681011996</c:v>
                </c:pt>
                <c:pt idx="622">
                  <c:v>273.13089148881949</c:v>
                </c:pt>
                <c:pt idx="623">
                  <c:v>269.60726674113687</c:v>
                </c:pt>
                <c:pt idx="624">
                  <c:v>267.73864816665673</c:v>
                </c:pt>
                <c:pt idx="625">
                  <c:v>268.59309777176776</c:v>
                </c:pt>
                <c:pt idx="626">
                  <c:v>269.04677915613291</c:v>
                </c:pt>
                <c:pt idx="627">
                  <c:v>273.56203578497644</c:v>
                </c:pt>
                <c:pt idx="628">
                  <c:v>275.89315460442498</c:v>
                </c:pt>
                <c:pt idx="629">
                  <c:v>278.9660375879435</c:v>
                </c:pt>
                <c:pt idx="630">
                  <c:v>277.28947419993318</c:v>
                </c:pt>
                <c:pt idx="631">
                  <c:v>277.10525800066608</c:v>
                </c:pt>
                <c:pt idx="632">
                  <c:v>278.32128089050877</c:v>
                </c:pt>
                <c:pt idx="633">
                  <c:v>278.9199835381267</c:v>
                </c:pt>
                <c:pt idx="634">
                  <c:v>280.07819389734829</c:v>
                </c:pt>
                <c:pt idx="635">
                  <c:v>283.00115625061227</c:v>
                </c:pt>
                <c:pt idx="636">
                  <c:v>276.92300154819986</c:v>
                </c:pt>
                <c:pt idx="637">
                  <c:v>286.09265682873763</c:v>
                </c:pt>
                <c:pt idx="638">
                  <c:v>289.08714994022762</c:v>
                </c:pt>
                <c:pt idx="639">
                  <c:v>293.17420189311531</c:v>
                </c:pt>
                <c:pt idx="640">
                  <c:v>306.05659748760451</c:v>
                </c:pt>
                <c:pt idx="641">
                  <c:v>306.00074470378422</c:v>
                </c:pt>
                <c:pt idx="642">
                  <c:v>312.77069002684846</c:v>
                </c:pt>
                <c:pt idx="643">
                  <c:v>305.5078683834048</c:v>
                </c:pt>
                <c:pt idx="644">
                  <c:v>300.52619201599146</c:v>
                </c:pt>
                <c:pt idx="645">
                  <c:v>306.49068140396253</c:v>
                </c:pt>
                <c:pt idx="646">
                  <c:v>304.04197777647119</c:v>
                </c:pt>
                <c:pt idx="647">
                  <c:v>302.81125678562324</c:v>
                </c:pt>
                <c:pt idx="648">
                  <c:v>294.44117819977652</c:v>
                </c:pt>
                <c:pt idx="649">
                  <c:v>293.38487467419208</c:v>
                </c:pt>
                <c:pt idx="650">
                  <c:v>291.47412154349655</c:v>
                </c:pt>
                <c:pt idx="651">
                  <c:v>285.69972759519464</c:v>
                </c:pt>
                <c:pt idx="652">
                  <c:v>283.40682383836008</c:v>
                </c:pt>
                <c:pt idx="653">
                  <c:v>273.20732161404743</c:v>
                </c:pt>
                <c:pt idx="654">
                  <c:v>281.07080565190972</c:v>
                </c:pt>
                <c:pt idx="655">
                  <c:v>278.2321124110764</c:v>
                </c:pt>
                <c:pt idx="656">
                  <c:v>280.74744742979198</c:v>
                </c:pt>
                <c:pt idx="657">
                  <c:v>281.16781311854498</c:v>
                </c:pt>
                <c:pt idx="658">
                  <c:v>275.88825523742327</c:v>
                </c:pt>
                <c:pt idx="659">
                  <c:v>263.71920747839374</c:v>
                </c:pt>
                <c:pt idx="660">
                  <c:v>260.5836125972524</c:v>
                </c:pt>
                <c:pt idx="661">
                  <c:v>250.16951809826165</c:v>
                </c:pt>
                <c:pt idx="662">
                  <c:v>255.56568091402588</c:v>
                </c:pt>
                <c:pt idx="663">
                  <c:v>260.49150449761885</c:v>
                </c:pt>
                <c:pt idx="664">
                  <c:v>254.34475865718144</c:v>
                </c:pt>
                <c:pt idx="665">
                  <c:v>253.67550512473784</c:v>
                </c:pt>
                <c:pt idx="666">
                  <c:v>267.28202716209057</c:v>
                </c:pt>
                <c:pt idx="667">
                  <c:v>274.55954690653959</c:v>
                </c:pt>
                <c:pt idx="668">
                  <c:v>280.02724048052988</c:v>
                </c:pt>
                <c:pt idx="669">
                  <c:v>275.39243929684278</c:v>
                </c:pt>
                <c:pt idx="670">
                  <c:v>271.4788249358183</c:v>
                </c:pt>
                <c:pt idx="671">
                  <c:v>267.08703235541969</c:v>
                </c:pt>
                <c:pt idx="672">
                  <c:v>275.54431967389814</c:v>
                </c:pt>
                <c:pt idx="673">
                  <c:v>270.25006369177106</c:v>
                </c:pt>
                <c:pt idx="674">
                  <c:v>267.5887275364023</c:v>
                </c:pt>
                <c:pt idx="675">
                  <c:v>261.37828992494167</c:v>
                </c:pt>
                <c:pt idx="676">
                  <c:v>259.58218198208789</c:v>
                </c:pt>
                <c:pt idx="677">
                  <c:v>264.7186783467576</c:v>
                </c:pt>
                <c:pt idx="678">
                  <c:v>268.24034334763951</c:v>
                </c:pt>
                <c:pt idx="679">
                  <c:v>250.05389303701963</c:v>
                </c:pt>
                <c:pt idx="680">
                  <c:v>243.40055264859782</c:v>
                </c:pt>
                <c:pt idx="681">
                  <c:v>242.16101279714661</c:v>
                </c:pt>
                <c:pt idx="682">
                  <c:v>246.23728614263035</c:v>
                </c:pt>
                <c:pt idx="683">
                  <c:v>247.12407156995317</c:v>
                </c:pt>
                <c:pt idx="684">
                  <c:v>240.49816763674136</c:v>
                </c:pt>
                <c:pt idx="685">
                  <c:v>252.51925451231702</c:v>
                </c:pt>
                <c:pt idx="686">
                  <c:v>254.32614106257472</c:v>
                </c:pt>
                <c:pt idx="687">
                  <c:v>264.3345679738178</c:v>
                </c:pt>
                <c:pt idx="688">
                  <c:v>264.12389519274109</c:v>
                </c:pt>
                <c:pt idx="689">
                  <c:v>265.62996060908938</c:v>
                </c:pt>
                <c:pt idx="690">
                  <c:v>265.78282085954504</c:v>
                </c:pt>
                <c:pt idx="691">
                  <c:v>266.98512552178272</c:v>
                </c:pt>
                <c:pt idx="692">
                  <c:v>268.19722891802388</c:v>
                </c:pt>
                <c:pt idx="693">
                  <c:v>278.43102671134903</c:v>
                </c:pt>
                <c:pt idx="694">
                  <c:v>273.32882591569182</c:v>
                </c:pt>
                <c:pt idx="695">
                  <c:v>270.22556685676227</c:v>
                </c:pt>
                <c:pt idx="696">
                  <c:v>267.50935779097352</c:v>
                </c:pt>
                <c:pt idx="697">
                  <c:v>263.34881533305906</c:v>
                </c:pt>
                <c:pt idx="698">
                  <c:v>261.07550904423158</c:v>
                </c:pt>
                <c:pt idx="699">
                  <c:v>263.70450937738855</c:v>
                </c:pt>
                <c:pt idx="700">
                  <c:v>266.10911870186385</c:v>
                </c:pt>
                <c:pt idx="701">
                  <c:v>270.86248456699411</c:v>
                </c:pt>
                <c:pt idx="702">
                  <c:v>265.98467478001857</c:v>
                </c:pt>
                <c:pt idx="703">
                  <c:v>264.55209986869716</c:v>
                </c:pt>
                <c:pt idx="704">
                  <c:v>275.96762498285244</c:v>
                </c:pt>
                <c:pt idx="705">
                  <c:v>277.4452740705903</c:v>
                </c:pt>
                <c:pt idx="706">
                  <c:v>280.22517490740216</c:v>
                </c:pt>
                <c:pt idx="707">
                  <c:v>287.25968604856274</c:v>
                </c:pt>
                <c:pt idx="708">
                  <c:v>293.35351872538087</c:v>
                </c:pt>
                <c:pt idx="709">
                  <c:v>287.67809199051499</c:v>
                </c:pt>
                <c:pt idx="710">
                  <c:v>292.53924392968446</c:v>
                </c:pt>
                <c:pt idx="711">
                  <c:v>290.02292903756853</c:v>
                </c:pt>
                <c:pt idx="712">
                  <c:v>292.54316342328588</c:v>
                </c:pt>
                <c:pt idx="713">
                  <c:v>284.0339428145885</c:v>
                </c:pt>
                <c:pt idx="714">
                  <c:v>285.26270405863579</c:v>
                </c:pt>
                <c:pt idx="715">
                  <c:v>277.11015736766831</c:v>
                </c:pt>
                <c:pt idx="716">
                  <c:v>287.02941579947895</c:v>
                </c:pt>
                <c:pt idx="717">
                  <c:v>283.54204636760954</c:v>
                </c:pt>
                <c:pt idx="718">
                  <c:v>276.28902345816942</c:v>
                </c:pt>
                <c:pt idx="719">
                  <c:v>274.83587120544047</c:v>
                </c:pt>
                <c:pt idx="720">
                  <c:v>278.60544417661259</c:v>
                </c:pt>
                <c:pt idx="721">
                  <c:v>271.48176455601953</c:v>
                </c:pt>
                <c:pt idx="722">
                  <c:v>271.32792443216357</c:v>
                </c:pt>
                <c:pt idx="723">
                  <c:v>257.16973367040993</c:v>
                </c:pt>
                <c:pt idx="724">
                  <c:v>255.35108863934795</c:v>
                </c:pt>
                <c:pt idx="725">
                  <c:v>260.42095361279337</c:v>
                </c:pt>
                <c:pt idx="726">
                  <c:v>258.17214415897479</c:v>
                </c:pt>
                <c:pt idx="727">
                  <c:v>261.29892017951295</c:v>
                </c:pt>
                <c:pt idx="728">
                  <c:v>258.74830971838458</c:v>
                </c:pt>
                <c:pt idx="729">
                  <c:v>258.44160934407296</c:v>
                </c:pt>
                <c:pt idx="730">
                  <c:v>258.93742528465344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59-4C94-BDB6-F57A146136EF}"/>
            </c:ext>
          </c:extLst>
        </c:ser>
        <c:ser>
          <c:idx val="6"/>
          <c:order val="6"/>
          <c:tx>
            <c:strRef>
              <c:f>Index!$V$1</c:f>
              <c:strCache>
                <c:ptCount val="1"/>
                <c:pt idx="0">
                  <c:v>Electricity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Index!$V$2:$V$732</c:f>
              <c:numCache>
                <c:formatCode>General</c:formatCode>
                <c:ptCount val="731"/>
                <c:pt idx="0">
                  <c:v>100</c:v>
                </c:pt>
                <c:pt idx="1">
                  <c:v>99.167023703954655</c:v>
                </c:pt>
                <c:pt idx="2">
                  <c:v>96.663112900172379</c:v>
                </c:pt>
                <c:pt idx="3">
                  <c:v>93.733746500204276</c:v>
                </c:pt>
                <c:pt idx="4">
                  <c:v>91.765889819953586</c:v>
                </c:pt>
                <c:pt idx="5">
                  <c:v>89.239062204198774</c:v>
                </c:pt>
                <c:pt idx="6">
                  <c:v>88.647210625429707</c:v>
                </c:pt>
                <c:pt idx="7">
                  <c:v>89.515060330998494</c:v>
                </c:pt>
                <c:pt idx="8">
                  <c:v>88.293494614549203</c:v>
                </c:pt>
                <c:pt idx="9">
                  <c:v>88.944132797943467</c:v>
                </c:pt>
                <c:pt idx="10">
                  <c:v>87.360880005579745</c:v>
                </c:pt>
                <c:pt idx="11">
                  <c:v>91.035540986220028</c:v>
                </c:pt>
                <c:pt idx="12">
                  <c:v>88.625290196586406</c:v>
                </c:pt>
                <c:pt idx="13">
                  <c:v>91.301575281727352</c:v>
                </c:pt>
                <c:pt idx="14">
                  <c:v>91.64632384444468</c:v>
                </c:pt>
                <c:pt idx="15">
                  <c:v>91.907376224305779</c:v>
                </c:pt>
                <c:pt idx="16">
                  <c:v>92.393611191375314</c:v>
                </c:pt>
                <c:pt idx="17">
                  <c:v>93.048234907286556</c:v>
                </c:pt>
                <c:pt idx="18">
                  <c:v>93.649053934218799</c:v>
                </c:pt>
                <c:pt idx="19">
                  <c:v>97.23105128383969</c:v>
                </c:pt>
                <c:pt idx="20">
                  <c:v>100.41250261550573</c:v>
                </c:pt>
                <c:pt idx="21">
                  <c:v>98.880065362733291</c:v>
                </c:pt>
                <c:pt idx="22">
                  <c:v>99.712045275649402</c:v>
                </c:pt>
                <c:pt idx="23">
                  <c:v>98.781423432938439</c:v>
                </c:pt>
                <c:pt idx="24">
                  <c:v>100.42944112870282</c:v>
                </c:pt>
                <c:pt idx="25">
                  <c:v>99.395195440550808</c:v>
                </c:pt>
                <c:pt idx="26">
                  <c:v>99.507786734155033</c:v>
                </c:pt>
                <c:pt idx="27">
                  <c:v>96.219722407660214</c:v>
                </c:pt>
                <c:pt idx="28">
                  <c:v>93.127945557625821</c:v>
                </c:pt>
                <c:pt idx="29">
                  <c:v>95.211382680868468</c:v>
                </c:pt>
                <c:pt idx="30">
                  <c:v>92.63872144116857</c:v>
                </c:pt>
                <c:pt idx="31">
                  <c:v>94.579675776929747</c:v>
                </c:pt>
                <c:pt idx="32">
                  <c:v>93.862279923876329</c:v>
                </c:pt>
                <c:pt idx="33">
                  <c:v>94.166176778294812</c:v>
                </c:pt>
                <c:pt idx="34">
                  <c:v>93.568346900750299</c:v>
                </c:pt>
                <c:pt idx="35">
                  <c:v>93.971882068092839</c:v>
                </c:pt>
                <c:pt idx="36">
                  <c:v>95.57008060739517</c:v>
                </c:pt>
                <c:pt idx="37">
                  <c:v>98.145730996482797</c:v>
                </c:pt>
                <c:pt idx="38">
                  <c:v>98.654882775524882</c:v>
                </c:pt>
                <c:pt idx="39">
                  <c:v>99.209868178512053</c:v>
                </c:pt>
                <c:pt idx="40">
                  <c:v>98.621005749130703</c:v>
                </c:pt>
                <c:pt idx="41">
                  <c:v>98.054063748592654</c:v>
                </c:pt>
                <c:pt idx="42">
                  <c:v>99.330430537150178</c:v>
                </c:pt>
                <c:pt idx="43">
                  <c:v>98.42970018831646</c:v>
                </c:pt>
                <c:pt idx="44">
                  <c:v>99.374271394836796</c:v>
                </c:pt>
                <c:pt idx="45">
                  <c:v>98.681785120014396</c:v>
                </c:pt>
                <c:pt idx="46">
                  <c:v>100.12952980680136</c:v>
                </c:pt>
                <c:pt idx="47">
                  <c:v>101.50154937576603</c:v>
                </c:pt>
                <c:pt idx="48">
                  <c:v>101.33913892569977</c:v>
                </c:pt>
                <c:pt idx="49">
                  <c:v>101.92700497195187</c:v>
                </c:pt>
                <c:pt idx="50">
                  <c:v>104.32231001464689</c:v>
                </c:pt>
                <c:pt idx="51">
                  <c:v>105.69831511612851</c:v>
                </c:pt>
                <c:pt idx="52">
                  <c:v>107.39615196835493</c:v>
                </c:pt>
                <c:pt idx="53">
                  <c:v>107.74090053107227</c:v>
                </c:pt>
                <c:pt idx="54">
                  <c:v>107.04841425624987</c:v>
                </c:pt>
                <c:pt idx="55">
                  <c:v>107.66417903012072</c:v>
                </c:pt>
                <c:pt idx="56">
                  <c:v>107.68510307583479</c:v>
                </c:pt>
                <c:pt idx="57">
                  <c:v>108.86183155146823</c:v>
                </c:pt>
                <c:pt idx="58">
                  <c:v>110.85957972559615</c:v>
                </c:pt>
                <c:pt idx="59">
                  <c:v>111.89581818000664</c:v>
                </c:pt>
                <c:pt idx="60">
                  <c:v>113.35651584747374</c:v>
                </c:pt>
                <c:pt idx="61">
                  <c:v>114.66078136365003</c:v>
                </c:pt>
                <c:pt idx="62">
                  <c:v>110.23285473730365</c:v>
                </c:pt>
                <c:pt idx="63">
                  <c:v>113.1482717734624</c:v>
                </c:pt>
                <c:pt idx="64">
                  <c:v>111.07878401402914</c:v>
                </c:pt>
                <c:pt idx="65">
                  <c:v>113.57173460338976</c:v>
                </c:pt>
                <c:pt idx="66">
                  <c:v>112.33621952313111</c:v>
                </c:pt>
                <c:pt idx="67">
                  <c:v>110.60649841076896</c:v>
                </c:pt>
                <c:pt idx="68">
                  <c:v>109.26337395255229</c:v>
                </c:pt>
                <c:pt idx="69">
                  <c:v>108.02586610603517</c:v>
                </c:pt>
                <c:pt idx="70">
                  <c:v>106.40375437163105</c:v>
                </c:pt>
                <c:pt idx="71">
                  <c:v>104.04830465410565</c:v>
                </c:pt>
                <c:pt idx="72">
                  <c:v>104.48073493219617</c:v>
                </c:pt>
                <c:pt idx="73">
                  <c:v>108.59679363909017</c:v>
                </c:pt>
                <c:pt idx="74">
                  <c:v>107.93718800753271</c:v>
                </c:pt>
                <c:pt idx="75">
                  <c:v>107.46589878740178</c:v>
                </c:pt>
                <c:pt idx="76">
                  <c:v>109.54036846248127</c:v>
                </c:pt>
                <c:pt idx="77">
                  <c:v>109.92098681785126</c:v>
                </c:pt>
                <c:pt idx="78">
                  <c:v>108.88474836344076</c:v>
                </c:pt>
                <c:pt idx="79">
                  <c:v>109.90803383717112</c:v>
                </c:pt>
                <c:pt idx="80">
                  <c:v>111.34083277701947</c:v>
                </c:pt>
                <c:pt idx="81">
                  <c:v>109.44471568207413</c:v>
                </c:pt>
                <c:pt idx="82">
                  <c:v>110.32252921893532</c:v>
                </c:pt>
                <c:pt idx="83">
                  <c:v>112.76366788557542</c:v>
                </c:pt>
                <c:pt idx="84">
                  <c:v>111.65070793021337</c:v>
                </c:pt>
                <c:pt idx="85">
                  <c:v>111.7822305032732</c:v>
                </c:pt>
                <c:pt idx="86">
                  <c:v>112.35714356884516</c:v>
                </c:pt>
                <c:pt idx="87">
                  <c:v>113.88360252284215</c:v>
                </c:pt>
                <c:pt idx="88">
                  <c:v>113.58169843468218</c:v>
                </c:pt>
                <c:pt idx="89">
                  <c:v>114.30905811902799</c:v>
                </c:pt>
                <c:pt idx="90">
                  <c:v>112.94999153074346</c:v>
                </c:pt>
                <c:pt idx="91">
                  <c:v>115.56649362812995</c:v>
                </c:pt>
                <c:pt idx="92">
                  <c:v>115.91921325588123</c:v>
                </c:pt>
                <c:pt idx="93">
                  <c:v>116.42936141805255</c:v>
                </c:pt>
                <c:pt idx="94">
                  <c:v>116.26097266921084</c:v>
                </c:pt>
                <c:pt idx="95">
                  <c:v>117.63996692008021</c:v>
                </c:pt>
                <c:pt idx="96">
                  <c:v>121.10339467732142</c:v>
                </c:pt>
                <c:pt idx="97">
                  <c:v>120.08210196984953</c:v>
                </c:pt>
                <c:pt idx="98">
                  <c:v>120.03527196277521</c:v>
                </c:pt>
                <c:pt idx="99">
                  <c:v>123.39906140709233</c:v>
                </c:pt>
                <c:pt idx="100">
                  <c:v>122.32894592628764</c:v>
                </c:pt>
                <c:pt idx="101">
                  <c:v>120.51453224794004</c:v>
                </c:pt>
                <c:pt idx="102">
                  <c:v>124.03973575919419</c:v>
                </c:pt>
                <c:pt idx="103">
                  <c:v>126.39518547671956</c:v>
                </c:pt>
                <c:pt idx="104">
                  <c:v>126.31946035889726</c:v>
                </c:pt>
                <c:pt idx="105">
                  <c:v>123.01844305172231</c:v>
                </c:pt>
                <c:pt idx="106">
                  <c:v>123.94109382939935</c:v>
                </c:pt>
                <c:pt idx="107">
                  <c:v>124.71329075456102</c:v>
                </c:pt>
                <c:pt idx="108">
                  <c:v>126.47190697767111</c:v>
                </c:pt>
                <c:pt idx="109">
                  <c:v>131.11106682741655</c:v>
                </c:pt>
                <c:pt idx="110">
                  <c:v>131.34222771340043</c:v>
                </c:pt>
                <c:pt idx="111">
                  <c:v>132.31170849815177</c:v>
                </c:pt>
                <c:pt idx="112">
                  <c:v>128.34510726064391</c:v>
                </c:pt>
                <c:pt idx="113">
                  <c:v>128.48858643125462</c:v>
                </c:pt>
                <c:pt idx="114">
                  <c:v>125.98567201060159</c:v>
                </c:pt>
                <c:pt idx="115">
                  <c:v>125.58114046012979</c:v>
                </c:pt>
                <c:pt idx="116">
                  <c:v>123.71491485906168</c:v>
                </c:pt>
                <c:pt idx="117">
                  <c:v>124.42732879646888</c:v>
                </c:pt>
                <c:pt idx="118">
                  <c:v>125.41574086067583</c:v>
                </c:pt>
                <c:pt idx="119">
                  <c:v>125.57316939509587</c:v>
                </c:pt>
                <c:pt idx="120">
                  <c:v>126.59246933630928</c:v>
                </c:pt>
                <c:pt idx="121">
                  <c:v>128.05715253629336</c:v>
                </c:pt>
                <c:pt idx="122">
                  <c:v>128.06412721819805</c:v>
                </c:pt>
                <c:pt idx="123">
                  <c:v>128.57128623098166</c:v>
                </c:pt>
                <c:pt idx="124">
                  <c:v>128.7685700905713</c:v>
                </c:pt>
                <c:pt idx="125">
                  <c:v>130.96260574115968</c:v>
                </c:pt>
                <c:pt idx="126">
                  <c:v>132.40536851230041</c:v>
                </c:pt>
                <c:pt idx="127">
                  <c:v>131.16287875013708</c:v>
                </c:pt>
                <c:pt idx="128">
                  <c:v>131.26849536183659</c:v>
                </c:pt>
                <c:pt idx="129">
                  <c:v>131.78163267339562</c:v>
                </c:pt>
                <c:pt idx="130">
                  <c:v>133.27919651664465</c:v>
                </c:pt>
                <c:pt idx="131">
                  <c:v>130.6347956916394</c:v>
                </c:pt>
                <c:pt idx="132">
                  <c:v>130.87592040891568</c:v>
                </c:pt>
                <c:pt idx="133">
                  <c:v>131.02836702768954</c:v>
                </c:pt>
                <c:pt idx="134">
                  <c:v>132.12339208672523</c:v>
                </c:pt>
                <c:pt idx="135">
                  <c:v>132.41832149298051</c:v>
                </c:pt>
                <c:pt idx="136">
                  <c:v>131.26351344619036</c:v>
                </c:pt>
                <c:pt idx="137">
                  <c:v>129.67428235505119</c:v>
                </c:pt>
                <c:pt idx="138">
                  <c:v>131.81351693353133</c:v>
                </c:pt>
                <c:pt idx="139">
                  <c:v>136.37695166545444</c:v>
                </c:pt>
                <c:pt idx="140">
                  <c:v>137.96120084094741</c:v>
                </c:pt>
                <c:pt idx="141">
                  <c:v>138.11564022597977</c:v>
                </c:pt>
                <c:pt idx="142">
                  <c:v>135.84488307443985</c:v>
                </c:pt>
                <c:pt idx="143">
                  <c:v>134.68210396261577</c:v>
                </c:pt>
                <c:pt idx="144">
                  <c:v>131.43190219503208</c:v>
                </c:pt>
                <c:pt idx="145">
                  <c:v>127.08667536841271</c:v>
                </c:pt>
                <c:pt idx="146">
                  <c:v>125.39581319809098</c:v>
                </c:pt>
                <c:pt idx="147">
                  <c:v>127.04383089385536</c:v>
                </c:pt>
                <c:pt idx="148">
                  <c:v>127.01892131562433</c:v>
                </c:pt>
                <c:pt idx="149">
                  <c:v>127.79211462391523</c:v>
                </c:pt>
                <c:pt idx="150">
                  <c:v>129.51685382063113</c:v>
                </c:pt>
                <c:pt idx="151">
                  <c:v>131.76070862768157</c:v>
                </c:pt>
                <c:pt idx="152">
                  <c:v>130.81613742116124</c:v>
                </c:pt>
                <c:pt idx="153">
                  <c:v>132.02076462441343</c:v>
                </c:pt>
                <c:pt idx="154">
                  <c:v>135.27096639199709</c:v>
                </c:pt>
                <c:pt idx="155">
                  <c:v>134.61733905921511</c:v>
                </c:pt>
                <c:pt idx="156">
                  <c:v>133.93182746629742</c:v>
                </c:pt>
                <c:pt idx="157">
                  <c:v>136.19062802028643</c:v>
                </c:pt>
                <c:pt idx="158">
                  <c:v>134.06135727309874</c:v>
                </c:pt>
                <c:pt idx="159">
                  <c:v>136.43673465320893</c:v>
                </c:pt>
                <c:pt idx="160">
                  <c:v>136.74860257266133</c:v>
                </c:pt>
                <c:pt idx="161">
                  <c:v>137.33547223578415</c:v>
                </c:pt>
                <c:pt idx="162">
                  <c:v>136.47758636150778</c:v>
                </c:pt>
                <c:pt idx="163">
                  <c:v>136.1886352540279</c:v>
                </c:pt>
                <c:pt idx="164">
                  <c:v>140.66837380309479</c:v>
                </c:pt>
                <c:pt idx="165">
                  <c:v>137.66427866843361</c:v>
                </c:pt>
                <c:pt idx="166">
                  <c:v>136.29923378137363</c:v>
                </c:pt>
                <c:pt idx="167">
                  <c:v>138.16545938244178</c:v>
                </c:pt>
                <c:pt idx="168">
                  <c:v>135.46725386845753</c:v>
                </c:pt>
                <c:pt idx="169">
                  <c:v>132.92448412263488</c:v>
                </c:pt>
                <c:pt idx="170">
                  <c:v>131.75373394577687</c:v>
                </c:pt>
                <c:pt idx="171">
                  <c:v>129.91441068919826</c:v>
                </c:pt>
                <c:pt idx="172">
                  <c:v>135.02784890846235</c:v>
                </c:pt>
                <c:pt idx="173">
                  <c:v>137.06545240775992</c:v>
                </c:pt>
                <c:pt idx="174">
                  <c:v>138.45042495740469</c:v>
                </c:pt>
                <c:pt idx="175">
                  <c:v>136.38890826300536</c:v>
                </c:pt>
                <c:pt idx="176">
                  <c:v>137.18103285075188</c:v>
                </c:pt>
                <c:pt idx="177">
                  <c:v>141.95171527355711</c:v>
                </c:pt>
                <c:pt idx="178">
                  <c:v>145.13217022209392</c:v>
                </c:pt>
                <c:pt idx="179">
                  <c:v>141.61892330839066</c:v>
                </c:pt>
                <c:pt idx="180">
                  <c:v>141.81122525233417</c:v>
                </c:pt>
                <c:pt idx="181">
                  <c:v>139.20468698624009</c:v>
                </c:pt>
                <c:pt idx="182">
                  <c:v>140.73513147275406</c:v>
                </c:pt>
                <c:pt idx="183">
                  <c:v>143.34964080388207</c:v>
                </c:pt>
                <c:pt idx="184">
                  <c:v>141.30805177206756</c:v>
                </c:pt>
                <c:pt idx="185">
                  <c:v>145.03253190916988</c:v>
                </c:pt>
                <c:pt idx="186">
                  <c:v>149.38373703456472</c:v>
                </c:pt>
                <c:pt idx="187">
                  <c:v>150.8563912995827</c:v>
                </c:pt>
                <c:pt idx="188">
                  <c:v>151.89462252025166</c:v>
                </c:pt>
                <c:pt idx="189">
                  <c:v>152.293175771948</c:v>
                </c:pt>
                <c:pt idx="190">
                  <c:v>153.37225870091584</c:v>
                </c:pt>
                <c:pt idx="191">
                  <c:v>156.02064505843802</c:v>
                </c:pt>
                <c:pt idx="192">
                  <c:v>152.58113049629858</c:v>
                </c:pt>
                <c:pt idx="193">
                  <c:v>154.90270318742978</c:v>
                </c:pt>
                <c:pt idx="194">
                  <c:v>155.96185845381279</c:v>
                </c:pt>
                <c:pt idx="195">
                  <c:v>157.39764654304889</c:v>
                </c:pt>
                <c:pt idx="196">
                  <c:v>159.47709813377455</c:v>
                </c:pt>
                <c:pt idx="197">
                  <c:v>159.74512519554034</c:v>
                </c:pt>
                <c:pt idx="198">
                  <c:v>161.69504697946471</c:v>
                </c:pt>
                <c:pt idx="199">
                  <c:v>162.89568865019996</c:v>
                </c:pt>
                <c:pt idx="200">
                  <c:v>162.59378456203999</c:v>
                </c:pt>
                <c:pt idx="201">
                  <c:v>167.90351025776454</c:v>
                </c:pt>
                <c:pt idx="202">
                  <c:v>171.84221276765362</c:v>
                </c:pt>
                <c:pt idx="203">
                  <c:v>173.98642926177996</c:v>
                </c:pt>
                <c:pt idx="204">
                  <c:v>174.73471299183984</c:v>
                </c:pt>
                <c:pt idx="205">
                  <c:v>176.22928768570114</c:v>
                </c:pt>
                <c:pt idx="206">
                  <c:v>179.69869374171782</c:v>
                </c:pt>
                <c:pt idx="207">
                  <c:v>177.22965634745898</c:v>
                </c:pt>
                <c:pt idx="208">
                  <c:v>177.39007403126675</c:v>
                </c:pt>
                <c:pt idx="209">
                  <c:v>171.94185108057775</c:v>
                </c:pt>
                <c:pt idx="210">
                  <c:v>174.28534420055223</c:v>
                </c:pt>
                <c:pt idx="211">
                  <c:v>175.03562069687061</c:v>
                </c:pt>
                <c:pt idx="212">
                  <c:v>177.11806143698399</c:v>
                </c:pt>
                <c:pt idx="213">
                  <c:v>182.10894453135145</c:v>
                </c:pt>
                <c:pt idx="214">
                  <c:v>185.3780775783907</c:v>
                </c:pt>
                <c:pt idx="215">
                  <c:v>185.50760738519199</c:v>
                </c:pt>
                <c:pt idx="216">
                  <c:v>186.12735769157979</c:v>
                </c:pt>
                <c:pt idx="217">
                  <c:v>180.19688530633823</c:v>
                </c:pt>
                <c:pt idx="218">
                  <c:v>182.37796797624648</c:v>
                </c:pt>
                <c:pt idx="219">
                  <c:v>182.41184500264066</c:v>
                </c:pt>
                <c:pt idx="220">
                  <c:v>188.90328108964485</c:v>
                </c:pt>
                <c:pt idx="221">
                  <c:v>190.79840180146093</c:v>
                </c:pt>
                <c:pt idx="222">
                  <c:v>194.71618026563596</c:v>
                </c:pt>
                <c:pt idx="223">
                  <c:v>193.37006665803156</c:v>
                </c:pt>
                <c:pt idx="224">
                  <c:v>193.87921843707363</c:v>
                </c:pt>
                <c:pt idx="225">
                  <c:v>192.47431822484404</c:v>
                </c:pt>
                <c:pt idx="226">
                  <c:v>192.79614997558883</c:v>
                </c:pt>
                <c:pt idx="227">
                  <c:v>190.71769476799238</c:v>
                </c:pt>
                <c:pt idx="228">
                  <c:v>190.32312704881301</c:v>
                </c:pt>
                <c:pt idx="229">
                  <c:v>187.90988710979164</c:v>
                </c:pt>
                <c:pt idx="230">
                  <c:v>190.08698424718293</c:v>
                </c:pt>
                <c:pt idx="231">
                  <c:v>177.25257315943145</c:v>
                </c:pt>
                <c:pt idx="232">
                  <c:v>181.03484351802976</c:v>
                </c:pt>
                <c:pt idx="233">
                  <c:v>175.68825164652333</c:v>
                </c:pt>
                <c:pt idx="234">
                  <c:v>179.25331048294709</c:v>
                </c:pt>
                <c:pt idx="235">
                  <c:v>178.48808823969009</c:v>
                </c:pt>
                <c:pt idx="236">
                  <c:v>179.02314598009244</c:v>
                </c:pt>
                <c:pt idx="237">
                  <c:v>180.18492870878728</c:v>
                </c:pt>
                <c:pt idx="238">
                  <c:v>172.98805336628058</c:v>
                </c:pt>
                <c:pt idx="239">
                  <c:v>174.75563703755387</c:v>
                </c:pt>
                <c:pt idx="240">
                  <c:v>177.24858762691449</c:v>
                </c:pt>
                <c:pt idx="241">
                  <c:v>173.14747466695911</c:v>
                </c:pt>
                <c:pt idx="242">
                  <c:v>178.75611530145588</c:v>
                </c:pt>
                <c:pt idx="243">
                  <c:v>179.26626346362721</c:v>
                </c:pt>
                <c:pt idx="244">
                  <c:v>176.8789294859661</c:v>
                </c:pt>
                <c:pt idx="245">
                  <c:v>181.11355778523975</c:v>
                </c:pt>
                <c:pt idx="246">
                  <c:v>185.3561571495473</c:v>
                </c:pt>
                <c:pt idx="247">
                  <c:v>189.15636240447196</c:v>
                </c:pt>
                <c:pt idx="248">
                  <c:v>190.13082510486953</c:v>
                </c:pt>
                <c:pt idx="249">
                  <c:v>192.08971433695706</c:v>
                </c:pt>
                <c:pt idx="250">
                  <c:v>190.26135129480011</c:v>
                </c:pt>
                <c:pt idx="251">
                  <c:v>195.4166376054923</c:v>
                </c:pt>
                <c:pt idx="252">
                  <c:v>197.61166963920991</c:v>
                </c:pt>
                <c:pt idx="253">
                  <c:v>198.6010780865461</c:v>
                </c:pt>
                <c:pt idx="254">
                  <c:v>197.11746360710646</c:v>
                </c:pt>
                <c:pt idx="255">
                  <c:v>197.25297171268326</c:v>
                </c:pt>
                <c:pt idx="256">
                  <c:v>201.38696531590358</c:v>
                </c:pt>
                <c:pt idx="257">
                  <c:v>204.00446379641932</c:v>
                </c:pt>
                <c:pt idx="258">
                  <c:v>204.07919253111237</c:v>
                </c:pt>
                <c:pt idx="259">
                  <c:v>201.63705748134305</c:v>
                </c:pt>
                <c:pt idx="260">
                  <c:v>203.29802815778754</c:v>
                </c:pt>
                <c:pt idx="261">
                  <c:v>199.62237079401802</c:v>
                </c:pt>
                <c:pt idx="262">
                  <c:v>198.29917399838618</c:v>
                </c:pt>
                <c:pt idx="263">
                  <c:v>193.13790938891856</c:v>
                </c:pt>
                <c:pt idx="264">
                  <c:v>186.17219493239571</c:v>
                </c:pt>
                <c:pt idx="265">
                  <c:v>189.53996990922982</c:v>
                </c:pt>
                <c:pt idx="266">
                  <c:v>185.60624931498691</c:v>
                </c:pt>
                <c:pt idx="267">
                  <c:v>186.68333947769628</c:v>
                </c:pt>
                <c:pt idx="268">
                  <c:v>183.75098392834045</c:v>
                </c:pt>
                <c:pt idx="269">
                  <c:v>181.37162101571326</c:v>
                </c:pt>
                <c:pt idx="270">
                  <c:v>179.05303747396977</c:v>
                </c:pt>
                <c:pt idx="271">
                  <c:v>179.34597411396658</c:v>
                </c:pt>
                <c:pt idx="272">
                  <c:v>175.00373643673493</c:v>
                </c:pt>
                <c:pt idx="273">
                  <c:v>174.42683060490444</c:v>
                </c:pt>
                <c:pt idx="274">
                  <c:v>182.12887219393627</c:v>
                </c:pt>
                <c:pt idx="275">
                  <c:v>180.26065382660965</c:v>
                </c:pt>
                <c:pt idx="276">
                  <c:v>181.97244004264545</c:v>
                </c:pt>
                <c:pt idx="277">
                  <c:v>181.19825035122531</c:v>
                </c:pt>
                <c:pt idx="278">
                  <c:v>182.78050676045979</c:v>
                </c:pt>
                <c:pt idx="279">
                  <c:v>179.69969012484705</c:v>
                </c:pt>
                <c:pt idx="280">
                  <c:v>182.94490997678452</c:v>
                </c:pt>
                <c:pt idx="281">
                  <c:v>185.01539411934701</c:v>
                </c:pt>
                <c:pt idx="282">
                  <c:v>187.51332662435388</c:v>
                </c:pt>
                <c:pt idx="283">
                  <c:v>181.42642208782146</c:v>
                </c:pt>
                <c:pt idx="284">
                  <c:v>179.53429052539309</c:v>
                </c:pt>
                <c:pt idx="285">
                  <c:v>176.65374689875779</c:v>
                </c:pt>
                <c:pt idx="286">
                  <c:v>170.9404860356907</c:v>
                </c:pt>
                <c:pt idx="287">
                  <c:v>170.36059105447251</c:v>
                </c:pt>
                <c:pt idx="288">
                  <c:v>170.25597082590224</c:v>
                </c:pt>
                <c:pt idx="289">
                  <c:v>171.32110439106074</c:v>
                </c:pt>
                <c:pt idx="290">
                  <c:v>171.78043701364078</c:v>
                </c:pt>
                <c:pt idx="291">
                  <c:v>168.59898568197471</c:v>
                </c:pt>
                <c:pt idx="292">
                  <c:v>172.29755985771678</c:v>
                </c:pt>
                <c:pt idx="293">
                  <c:v>171.38586929446137</c:v>
                </c:pt>
                <c:pt idx="294">
                  <c:v>174.33217420762662</c:v>
                </c:pt>
                <c:pt idx="295">
                  <c:v>171.87409702778942</c:v>
                </c:pt>
                <c:pt idx="296">
                  <c:v>162.2410649342888</c:v>
                </c:pt>
                <c:pt idx="297">
                  <c:v>169.0762532008811</c:v>
                </c:pt>
                <c:pt idx="298">
                  <c:v>171.46259079541292</c:v>
                </c:pt>
                <c:pt idx="299">
                  <c:v>169.45687155625109</c:v>
                </c:pt>
                <c:pt idx="300">
                  <c:v>163.84922730488356</c:v>
                </c:pt>
                <c:pt idx="301">
                  <c:v>127.24111475344522</c:v>
                </c:pt>
                <c:pt idx="302">
                  <c:v>143.08858842402105</c:v>
                </c:pt>
                <c:pt idx="303">
                  <c:v>136.26834590436741</c:v>
                </c:pt>
                <c:pt idx="304">
                  <c:v>149.25420722776349</c:v>
                </c:pt>
                <c:pt idx="305">
                  <c:v>148.42920199675206</c:v>
                </c:pt>
                <c:pt idx="306">
                  <c:v>143.79103853013586</c:v>
                </c:pt>
                <c:pt idx="307">
                  <c:v>134.87540228968868</c:v>
                </c:pt>
                <c:pt idx="308">
                  <c:v>143.53795721530869</c:v>
                </c:pt>
                <c:pt idx="309">
                  <c:v>132.77502665324894</c:v>
                </c:pt>
                <c:pt idx="310">
                  <c:v>139.2654663571239</c:v>
                </c:pt>
                <c:pt idx="311">
                  <c:v>141.268196446898</c:v>
                </c:pt>
                <c:pt idx="312">
                  <c:v>140.06556200990428</c:v>
                </c:pt>
                <c:pt idx="313">
                  <c:v>144.01123920169809</c:v>
                </c:pt>
                <c:pt idx="314">
                  <c:v>144.52138736386939</c:v>
                </c:pt>
                <c:pt idx="315">
                  <c:v>138.14852086924486</c:v>
                </c:pt>
                <c:pt idx="316">
                  <c:v>132.89259986249934</c:v>
                </c:pt>
                <c:pt idx="317">
                  <c:v>137.19000029891515</c:v>
                </c:pt>
                <c:pt idx="318">
                  <c:v>142.02046570947479</c:v>
                </c:pt>
                <c:pt idx="319">
                  <c:v>136.49153572531728</c:v>
                </c:pt>
                <c:pt idx="320">
                  <c:v>130.58796568456521</c:v>
                </c:pt>
                <c:pt idx="321">
                  <c:v>127.43042754800094</c:v>
                </c:pt>
                <c:pt idx="322">
                  <c:v>115.94511921724158</c:v>
                </c:pt>
                <c:pt idx="323">
                  <c:v>116.01685880254693</c:v>
                </c:pt>
                <c:pt idx="324">
                  <c:v>123.86138317906017</c:v>
                </c:pt>
                <c:pt idx="325">
                  <c:v>122.12966930043957</c:v>
                </c:pt>
                <c:pt idx="326">
                  <c:v>122.85503621852691</c:v>
                </c:pt>
                <c:pt idx="327">
                  <c:v>122.43655530424574</c:v>
                </c:pt>
                <c:pt idx="328">
                  <c:v>124.50703944680824</c:v>
                </c:pt>
                <c:pt idx="329">
                  <c:v>122.71454619730393</c:v>
                </c:pt>
                <c:pt idx="330">
                  <c:v>127.64464992078769</c:v>
                </c:pt>
                <c:pt idx="331">
                  <c:v>129.23388101192688</c:v>
                </c:pt>
                <c:pt idx="332">
                  <c:v>128.11693552404788</c:v>
                </c:pt>
                <c:pt idx="333">
                  <c:v>131.34720962904674</c:v>
                </c:pt>
                <c:pt idx="334">
                  <c:v>135.27295915825573</c:v>
                </c:pt>
                <c:pt idx="335">
                  <c:v>131.09911022986577</c:v>
                </c:pt>
                <c:pt idx="336">
                  <c:v>132.4332672399193</c:v>
                </c:pt>
                <c:pt idx="337">
                  <c:v>133.85112043282902</c:v>
                </c:pt>
                <c:pt idx="338">
                  <c:v>133.47448760997597</c:v>
                </c:pt>
                <c:pt idx="339">
                  <c:v>132.57176449488375</c:v>
                </c:pt>
                <c:pt idx="340">
                  <c:v>129.88750834470886</c:v>
                </c:pt>
                <c:pt idx="341">
                  <c:v>133.84514213405356</c:v>
                </c:pt>
                <c:pt idx="342">
                  <c:v>137.29362414435616</c:v>
                </c:pt>
                <c:pt idx="343">
                  <c:v>138.57596923168913</c:v>
                </c:pt>
                <c:pt idx="344">
                  <c:v>139.22760379821264</c:v>
                </c:pt>
                <c:pt idx="345">
                  <c:v>140.4113069557508</c:v>
                </c:pt>
                <c:pt idx="346">
                  <c:v>143.86576726482886</c:v>
                </c:pt>
                <c:pt idx="347">
                  <c:v>142.50869344280281</c:v>
                </c:pt>
                <c:pt idx="348">
                  <c:v>141.32698305152317</c:v>
                </c:pt>
                <c:pt idx="349">
                  <c:v>145.87447565337843</c:v>
                </c:pt>
                <c:pt idx="350">
                  <c:v>147.51352590097966</c:v>
                </c:pt>
                <c:pt idx="351">
                  <c:v>144.10689198210517</c:v>
                </c:pt>
                <c:pt idx="352">
                  <c:v>143.69438936659947</c:v>
                </c:pt>
                <c:pt idx="353">
                  <c:v>145.39122983569663</c:v>
                </c:pt>
                <c:pt idx="354">
                  <c:v>145.41115749828148</c:v>
                </c:pt>
                <c:pt idx="355">
                  <c:v>146.59685342207808</c:v>
                </c:pt>
                <c:pt idx="356">
                  <c:v>146.60980640275824</c:v>
                </c:pt>
                <c:pt idx="357">
                  <c:v>149.04496677062286</c:v>
                </c:pt>
                <c:pt idx="358">
                  <c:v>153.06836184649748</c:v>
                </c:pt>
                <c:pt idx="359">
                  <c:v>154.25704691968184</c:v>
                </c:pt>
                <c:pt idx="360">
                  <c:v>155.52444626007622</c:v>
                </c:pt>
                <c:pt idx="361">
                  <c:v>157.1505435269973</c:v>
                </c:pt>
                <c:pt idx="362">
                  <c:v>157.64574594223001</c:v>
                </c:pt>
                <c:pt idx="363">
                  <c:v>157.62183274712822</c:v>
                </c:pt>
                <c:pt idx="364">
                  <c:v>160.69069278519004</c:v>
                </c:pt>
                <c:pt idx="365">
                  <c:v>162.62666520530502</c:v>
                </c:pt>
                <c:pt idx="366">
                  <c:v>159.48307643255009</c:v>
                </c:pt>
                <c:pt idx="367">
                  <c:v>159.4222970616664</c:v>
                </c:pt>
                <c:pt idx="368">
                  <c:v>155.68685671014242</c:v>
                </c:pt>
                <c:pt idx="369">
                  <c:v>153.11120632105479</c:v>
                </c:pt>
                <c:pt idx="370">
                  <c:v>149.14759423293467</c:v>
                </c:pt>
                <c:pt idx="371">
                  <c:v>150.06625947809474</c:v>
                </c:pt>
                <c:pt idx="372">
                  <c:v>153.02651375506932</c:v>
                </c:pt>
                <c:pt idx="373">
                  <c:v>151.95639827426464</c:v>
                </c:pt>
                <c:pt idx="374">
                  <c:v>154.62869782688864</c:v>
                </c:pt>
                <c:pt idx="375">
                  <c:v>155.15877365164476</c:v>
                </c:pt>
                <c:pt idx="376">
                  <c:v>154.21719159451214</c:v>
                </c:pt>
                <c:pt idx="377">
                  <c:v>153.09725695724543</c:v>
                </c:pt>
                <c:pt idx="378">
                  <c:v>157.27808056754009</c:v>
                </c:pt>
                <c:pt idx="379">
                  <c:v>158.18877474766623</c:v>
                </c:pt>
                <c:pt idx="380">
                  <c:v>157.2153084303979</c:v>
                </c:pt>
                <c:pt idx="381">
                  <c:v>157.62083636399896</c:v>
                </c:pt>
                <c:pt idx="382">
                  <c:v>153.53765830036991</c:v>
                </c:pt>
                <c:pt idx="383">
                  <c:v>142.01149826131169</c:v>
                </c:pt>
                <c:pt idx="384">
                  <c:v>145.55961858453841</c:v>
                </c:pt>
                <c:pt idx="385">
                  <c:v>137.21789902653396</c:v>
                </c:pt>
                <c:pt idx="386">
                  <c:v>136.58121020694904</c:v>
                </c:pt>
                <c:pt idx="387">
                  <c:v>133.99559598656901</c:v>
                </c:pt>
                <c:pt idx="388">
                  <c:v>137.67922441537246</c:v>
                </c:pt>
                <c:pt idx="389">
                  <c:v>144.14176539162867</c:v>
                </c:pt>
                <c:pt idx="390">
                  <c:v>138.9535984376715</c:v>
                </c:pt>
                <c:pt idx="391">
                  <c:v>137.35241074898144</c:v>
                </c:pt>
                <c:pt idx="392">
                  <c:v>141.91185994838762</c:v>
                </c:pt>
                <c:pt idx="393">
                  <c:v>142.1968255233505</c:v>
                </c:pt>
                <c:pt idx="394">
                  <c:v>146.85093112003455</c:v>
                </c:pt>
                <c:pt idx="395">
                  <c:v>149.31797574803491</c:v>
                </c:pt>
                <c:pt idx="396">
                  <c:v>154.25007223777715</c:v>
                </c:pt>
                <c:pt idx="397">
                  <c:v>152.55024261929225</c:v>
                </c:pt>
                <c:pt idx="398">
                  <c:v>150.08618714067961</c:v>
                </c:pt>
                <c:pt idx="399">
                  <c:v>153.75088429002747</c:v>
                </c:pt>
                <c:pt idx="400">
                  <c:v>155.08404491695177</c:v>
                </c:pt>
                <c:pt idx="401">
                  <c:v>156.33052021163209</c:v>
                </c:pt>
                <c:pt idx="402">
                  <c:v>156.54673535067735</c:v>
                </c:pt>
                <c:pt idx="403">
                  <c:v>158.50363181650638</c:v>
                </c:pt>
                <c:pt idx="404">
                  <c:v>159.09050147962924</c:v>
                </c:pt>
                <c:pt idx="405">
                  <c:v>163.28826360312095</c:v>
                </c:pt>
                <c:pt idx="406">
                  <c:v>165.21626495820203</c:v>
                </c:pt>
                <c:pt idx="407">
                  <c:v>166.33819236172727</c:v>
                </c:pt>
                <c:pt idx="408">
                  <c:v>169.30741408686501</c:v>
                </c:pt>
                <c:pt idx="409">
                  <c:v>172.15109153771843</c:v>
                </c:pt>
                <c:pt idx="410">
                  <c:v>168.62190249394732</c:v>
                </c:pt>
                <c:pt idx="411">
                  <c:v>166.37804768689691</c:v>
                </c:pt>
                <c:pt idx="412">
                  <c:v>162.59677371142783</c:v>
                </c:pt>
                <c:pt idx="413">
                  <c:v>162.09260384803196</c:v>
                </c:pt>
                <c:pt idx="414">
                  <c:v>161.56053525701734</c:v>
                </c:pt>
                <c:pt idx="415">
                  <c:v>161.58345206898989</c:v>
                </c:pt>
                <c:pt idx="416">
                  <c:v>163.73165409563316</c:v>
                </c:pt>
                <c:pt idx="417">
                  <c:v>163.13482060121788</c:v>
                </c:pt>
                <c:pt idx="418">
                  <c:v>164.3932524934491</c:v>
                </c:pt>
                <c:pt idx="419">
                  <c:v>161.89731275470075</c:v>
                </c:pt>
                <c:pt idx="420">
                  <c:v>165.00602811793223</c:v>
                </c:pt>
                <c:pt idx="421">
                  <c:v>165.31889242051386</c:v>
                </c:pt>
                <c:pt idx="422">
                  <c:v>167.71519384633811</c:v>
                </c:pt>
                <c:pt idx="423">
                  <c:v>170.24202146209294</c:v>
                </c:pt>
                <c:pt idx="424">
                  <c:v>171.1208313820834</c:v>
                </c:pt>
                <c:pt idx="425">
                  <c:v>170.12743740223024</c:v>
                </c:pt>
                <c:pt idx="426">
                  <c:v>172.23877325309161</c:v>
                </c:pt>
                <c:pt idx="427">
                  <c:v>170.64456024630624</c:v>
                </c:pt>
                <c:pt idx="428">
                  <c:v>170.74320217610108</c:v>
                </c:pt>
                <c:pt idx="429">
                  <c:v>174.04123033388831</c:v>
                </c:pt>
                <c:pt idx="430">
                  <c:v>177.09315185875306</c:v>
                </c:pt>
                <c:pt idx="431">
                  <c:v>177.46978468160611</c:v>
                </c:pt>
                <c:pt idx="432">
                  <c:v>177.65610832677413</c:v>
                </c:pt>
                <c:pt idx="433">
                  <c:v>179.88999930253215</c:v>
                </c:pt>
                <c:pt idx="434">
                  <c:v>185.31929097376556</c:v>
                </c:pt>
                <c:pt idx="435">
                  <c:v>184.02399290575244</c:v>
                </c:pt>
                <c:pt idx="436">
                  <c:v>184.5451012823454</c:v>
                </c:pt>
                <c:pt idx="437">
                  <c:v>185.75271763498529</c:v>
                </c:pt>
                <c:pt idx="438">
                  <c:v>184.26412123989942</c:v>
                </c:pt>
                <c:pt idx="439">
                  <c:v>179.74950928130912</c:v>
                </c:pt>
                <c:pt idx="440">
                  <c:v>177.27449358827485</c:v>
                </c:pt>
                <c:pt idx="441">
                  <c:v>177.84841027071758</c:v>
                </c:pt>
                <c:pt idx="442">
                  <c:v>175.06252304136015</c:v>
                </c:pt>
                <c:pt idx="443">
                  <c:v>182.51945438059872</c:v>
                </c:pt>
                <c:pt idx="444">
                  <c:v>181.06274224564859</c:v>
                </c:pt>
                <c:pt idx="445">
                  <c:v>178.21507926227821</c:v>
                </c:pt>
                <c:pt idx="446">
                  <c:v>182.11890836264391</c:v>
                </c:pt>
                <c:pt idx="447">
                  <c:v>178.13935414445592</c:v>
                </c:pt>
                <c:pt idx="448">
                  <c:v>172.83660313063609</c:v>
                </c:pt>
                <c:pt idx="449">
                  <c:v>173.59186154260064</c:v>
                </c:pt>
                <c:pt idx="450">
                  <c:v>172.43207158016429</c:v>
                </c:pt>
                <c:pt idx="451">
                  <c:v>175.60355908053796</c:v>
                </c:pt>
                <c:pt idx="452">
                  <c:v>178.50502675288732</c:v>
                </c:pt>
                <c:pt idx="453">
                  <c:v>174.478642527625</c:v>
                </c:pt>
                <c:pt idx="454">
                  <c:v>178.1831950021425</c:v>
                </c:pt>
                <c:pt idx="455">
                  <c:v>173.67655410858612</c:v>
                </c:pt>
                <c:pt idx="456">
                  <c:v>177.37413190119895</c:v>
                </c:pt>
                <c:pt idx="457">
                  <c:v>176.6318264699145</c:v>
                </c:pt>
                <c:pt idx="458">
                  <c:v>179.61699032512013</c:v>
                </c:pt>
                <c:pt idx="459">
                  <c:v>182.65894801869248</c:v>
                </c:pt>
                <c:pt idx="460">
                  <c:v>182.74961888345342</c:v>
                </c:pt>
                <c:pt idx="461">
                  <c:v>180.65920707830608</c:v>
                </c:pt>
                <c:pt idx="462">
                  <c:v>182.5762482189655</c:v>
                </c:pt>
                <c:pt idx="463">
                  <c:v>179.74851289817994</c:v>
                </c:pt>
                <c:pt idx="464">
                  <c:v>172.51078584737434</c:v>
                </c:pt>
                <c:pt idx="465">
                  <c:v>175.68924802965267</c:v>
                </c:pt>
                <c:pt idx="466">
                  <c:v>175.13924454231173</c:v>
                </c:pt>
                <c:pt idx="467">
                  <c:v>174.68290106911942</c:v>
                </c:pt>
                <c:pt idx="468">
                  <c:v>179.58610244811371</c:v>
                </c:pt>
                <c:pt idx="469">
                  <c:v>180.23175871586176</c:v>
                </c:pt>
                <c:pt idx="470">
                  <c:v>175.38734394149273</c:v>
                </c:pt>
                <c:pt idx="471">
                  <c:v>176.6208662554929</c:v>
                </c:pt>
                <c:pt idx="472">
                  <c:v>176.62784093739759</c:v>
                </c:pt>
                <c:pt idx="473">
                  <c:v>177.89025836214574</c:v>
                </c:pt>
                <c:pt idx="474">
                  <c:v>182.35903669679101</c:v>
                </c:pt>
                <c:pt idx="475">
                  <c:v>181.30685611231266</c:v>
                </c:pt>
                <c:pt idx="476">
                  <c:v>183.60053007582511</c:v>
                </c:pt>
                <c:pt idx="477">
                  <c:v>184.04192780207879</c:v>
                </c:pt>
                <c:pt idx="478">
                  <c:v>185.09610115281563</c:v>
                </c:pt>
                <c:pt idx="479">
                  <c:v>184.70452258302399</c:v>
                </c:pt>
                <c:pt idx="480">
                  <c:v>184.69555513486083</c:v>
                </c:pt>
                <c:pt idx="481">
                  <c:v>184.18640335581875</c:v>
                </c:pt>
                <c:pt idx="482">
                  <c:v>185.32925480505801</c:v>
                </c:pt>
                <c:pt idx="483">
                  <c:v>182.94490997678463</c:v>
                </c:pt>
                <c:pt idx="484">
                  <c:v>181.82696810577639</c:v>
                </c:pt>
                <c:pt idx="485">
                  <c:v>185.74474656995145</c:v>
                </c:pt>
                <c:pt idx="486">
                  <c:v>188.96306407739942</c:v>
                </c:pt>
                <c:pt idx="487">
                  <c:v>187.68669728884188</c:v>
                </c:pt>
                <c:pt idx="488">
                  <c:v>189.07465898787439</c:v>
                </c:pt>
                <c:pt idx="489">
                  <c:v>182.40885585325307</c:v>
                </c:pt>
                <c:pt idx="490">
                  <c:v>184.54908681486245</c:v>
                </c:pt>
                <c:pt idx="491">
                  <c:v>180.08030848021718</c:v>
                </c:pt>
                <c:pt idx="492">
                  <c:v>185.50860376832136</c:v>
                </c:pt>
                <c:pt idx="493">
                  <c:v>186.93940994191124</c:v>
                </c:pt>
                <c:pt idx="494">
                  <c:v>184.39564381295935</c:v>
                </c:pt>
                <c:pt idx="495">
                  <c:v>189.64757928718788</c:v>
                </c:pt>
                <c:pt idx="496">
                  <c:v>189.0457638771264</c:v>
                </c:pt>
                <c:pt idx="497">
                  <c:v>192.09768540199116</c:v>
                </c:pt>
                <c:pt idx="498">
                  <c:v>189.06768430596969</c:v>
                </c:pt>
                <c:pt idx="499">
                  <c:v>190.72965136554345</c:v>
                </c:pt>
                <c:pt idx="500">
                  <c:v>191.92830027002017</c:v>
                </c:pt>
                <c:pt idx="501">
                  <c:v>191.61543596743851</c:v>
                </c:pt>
                <c:pt idx="502">
                  <c:v>191.54967468090865</c:v>
                </c:pt>
                <c:pt idx="503">
                  <c:v>190.33508364636404</c:v>
                </c:pt>
                <c:pt idx="504">
                  <c:v>188.97302790869179</c:v>
                </c:pt>
                <c:pt idx="505">
                  <c:v>192.00801092035942</c:v>
                </c:pt>
                <c:pt idx="506">
                  <c:v>191.97712304335295</c:v>
                </c:pt>
                <c:pt idx="507">
                  <c:v>191.72404172852578</c:v>
                </c:pt>
                <c:pt idx="508">
                  <c:v>191.24478144336092</c:v>
                </c:pt>
                <c:pt idx="509">
                  <c:v>194.83076432549876</c:v>
                </c:pt>
                <c:pt idx="510">
                  <c:v>192.27504159899595</c:v>
                </c:pt>
                <c:pt idx="511">
                  <c:v>195.06391797774114</c:v>
                </c:pt>
                <c:pt idx="512">
                  <c:v>193.06218427109627</c:v>
                </c:pt>
                <c:pt idx="513">
                  <c:v>193.13292747327233</c:v>
                </c:pt>
                <c:pt idx="514">
                  <c:v>186.66640096449919</c:v>
                </c:pt>
                <c:pt idx="515">
                  <c:v>185.31630182437783</c:v>
                </c:pt>
                <c:pt idx="516">
                  <c:v>188.17293225591135</c:v>
                </c:pt>
                <c:pt idx="517">
                  <c:v>190.33408726323478</c:v>
                </c:pt>
                <c:pt idx="518">
                  <c:v>190.61207815629297</c:v>
                </c:pt>
                <c:pt idx="519">
                  <c:v>191.76887896934159</c:v>
                </c:pt>
                <c:pt idx="520">
                  <c:v>193.1986887598022</c:v>
                </c:pt>
                <c:pt idx="521">
                  <c:v>190.61108177316368</c:v>
                </c:pt>
                <c:pt idx="522">
                  <c:v>194.69625260305119</c:v>
                </c:pt>
                <c:pt idx="523">
                  <c:v>192.03989518049505</c:v>
                </c:pt>
                <c:pt idx="524">
                  <c:v>191.19595867002806</c:v>
                </c:pt>
                <c:pt idx="525">
                  <c:v>194.11237208931604</c:v>
                </c:pt>
                <c:pt idx="526">
                  <c:v>195.1067624522984</c:v>
                </c:pt>
                <c:pt idx="527">
                  <c:v>194.24887657802202</c:v>
                </c:pt>
                <c:pt idx="528">
                  <c:v>192.25710670266955</c:v>
                </c:pt>
                <c:pt idx="529">
                  <c:v>194.89054731325314</c:v>
                </c:pt>
                <c:pt idx="530">
                  <c:v>195.38176419596888</c:v>
                </c:pt>
                <c:pt idx="531">
                  <c:v>196.26954156412251</c:v>
                </c:pt>
                <c:pt idx="532">
                  <c:v>198.5373095662747</c:v>
                </c:pt>
                <c:pt idx="533">
                  <c:v>200.61975030638808</c:v>
                </c:pt>
                <c:pt idx="534">
                  <c:v>203.25916921574711</c:v>
                </c:pt>
                <c:pt idx="535">
                  <c:v>206.87006167611597</c:v>
                </c:pt>
                <c:pt idx="536">
                  <c:v>210.52778414355916</c:v>
                </c:pt>
                <c:pt idx="537">
                  <c:v>210.55070095553168</c:v>
                </c:pt>
                <c:pt idx="538">
                  <c:v>214.25326066379068</c:v>
                </c:pt>
                <c:pt idx="539">
                  <c:v>217.22547153831613</c:v>
                </c:pt>
                <c:pt idx="540">
                  <c:v>212.49763359006826</c:v>
                </c:pt>
                <c:pt idx="541">
                  <c:v>212.67897531959014</c:v>
                </c:pt>
                <c:pt idx="542">
                  <c:v>209.22551139364131</c:v>
                </c:pt>
                <c:pt idx="543">
                  <c:v>202.12030329902478</c:v>
                </c:pt>
                <c:pt idx="544">
                  <c:v>201.63107918256753</c:v>
                </c:pt>
                <c:pt idx="545">
                  <c:v>201.91504837440115</c:v>
                </c:pt>
                <c:pt idx="546">
                  <c:v>195.17053097256976</c:v>
                </c:pt>
                <c:pt idx="547">
                  <c:v>199.08532028735709</c:v>
                </c:pt>
                <c:pt idx="548">
                  <c:v>195.44951824875719</c:v>
                </c:pt>
                <c:pt idx="549">
                  <c:v>200.98940844733636</c:v>
                </c:pt>
                <c:pt idx="550">
                  <c:v>205.71625001245499</c:v>
                </c:pt>
                <c:pt idx="551">
                  <c:v>204.9390711716471</c:v>
                </c:pt>
                <c:pt idx="552">
                  <c:v>207.14406703665713</c:v>
                </c:pt>
                <c:pt idx="553">
                  <c:v>205.40139294361487</c:v>
                </c:pt>
                <c:pt idx="554">
                  <c:v>196.92516166316292</c:v>
                </c:pt>
                <c:pt idx="555">
                  <c:v>196.15695027051822</c:v>
                </c:pt>
                <c:pt idx="556">
                  <c:v>193.64606478483125</c:v>
                </c:pt>
                <c:pt idx="557">
                  <c:v>193.41091836633041</c:v>
                </c:pt>
                <c:pt idx="558">
                  <c:v>194.67134302482009</c:v>
                </c:pt>
                <c:pt idx="559">
                  <c:v>200.04483724081604</c:v>
                </c:pt>
                <c:pt idx="560">
                  <c:v>198.42372188954118</c:v>
                </c:pt>
                <c:pt idx="561">
                  <c:v>198.29219931648137</c:v>
                </c:pt>
                <c:pt idx="562">
                  <c:v>201.36404850393095</c:v>
                </c:pt>
                <c:pt idx="563">
                  <c:v>205.30374739694929</c:v>
                </c:pt>
                <c:pt idx="564">
                  <c:v>209.59417315146047</c:v>
                </c:pt>
                <c:pt idx="565">
                  <c:v>207.61037434114189</c:v>
                </c:pt>
                <c:pt idx="566">
                  <c:v>205.95737472973136</c:v>
                </c:pt>
                <c:pt idx="567">
                  <c:v>205.78500044837267</c:v>
                </c:pt>
                <c:pt idx="568">
                  <c:v>204.19975488975044</c:v>
                </c:pt>
                <c:pt idx="569">
                  <c:v>203.66868268186505</c:v>
                </c:pt>
                <c:pt idx="570">
                  <c:v>201.57627811045924</c:v>
                </c:pt>
                <c:pt idx="571">
                  <c:v>200.30290047128943</c:v>
                </c:pt>
                <c:pt idx="572">
                  <c:v>204.99785777627235</c:v>
                </c:pt>
                <c:pt idx="573">
                  <c:v>206.7843727270012</c:v>
                </c:pt>
                <c:pt idx="574">
                  <c:v>204.68499347369075</c:v>
                </c:pt>
                <c:pt idx="575">
                  <c:v>206.88998933870073</c:v>
                </c:pt>
                <c:pt idx="576">
                  <c:v>207.06834191883485</c:v>
                </c:pt>
                <c:pt idx="577">
                  <c:v>207.34732919502233</c:v>
                </c:pt>
                <c:pt idx="578">
                  <c:v>209.10694180126166</c:v>
                </c:pt>
                <c:pt idx="579">
                  <c:v>209.24942458874312</c:v>
                </c:pt>
                <c:pt idx="580">
                  <c:v>217.25137749967647</c:v>
                </c:pt>
                <c:pt idx="581">
                  <c:v>219.29695206400791</c:v>
                </c:pt>
                <c:pt idx="582">
                  <c:v>220.16380538644748</c:v>
                </c:pt>
                <c:pt idx="583">
                  <c:v>217.58317308171365</c:v>
                </c:pt>
                <c:pt idx="584">
                  <c:v>219.22620886183182</c:v>
                </c:pt>
                <c:pt idx="585">
                  <c:v>217.59911521178151</c:v>
                </c:pt>
                <c:pt idx="586">
                  <c:v>218.59549834102239</c:v>
                </c:pt>
                <c:pt idx="587">
                  <c:v>220.16081623705978</c:v>
                </c:pt>
                <c:pt idx="588">
                  <c:v>220.56335502127308</c:v>
                </c:pt>
                <c:pt idx="589">
                  <c:v>224.00286958341249</c:v>
                </c:pt>
                <c:pt idx="590">
                  <c:v>225.71864133196524</c:v>
                </c:pt>
                <c:pt idx="591">
                  <c:v>228.18568595996561</c:v>
                </c:pt>
                <c:pt idx="592">
                  <c:v>229.1163078026766</c:v>
                </c:pt>
                <c:pt idx="593">
                  <c:v>230.44349013082544</c:v>
                </c:pt>
                <c:pt idx="594">
                  <c:v>230.58298376891912</c:v>
                </c:pt>
                <c:pt idx="595">
                  <c:v>233.35292886820872</c:v>
                </c:pt>
                <c:pt idx="596">
                  <c:v>230.68760399748942</c:v>
                </c:pt>
                <c:pt idx="597">
                  <c:v>229.42419018961201</c:v>
                </c:pt>
                <c:pt idx="598">
                  <c:v>233.61597401432829</c:v>
                </c:pt>
                <c:pt idx="599">
                  <c:v>233.42267568725555</c:v>
                </c:pt>
                <c:pt idx="600">
                  <c:v>232.06759463148799</c:v>
                </c:pt>
                <c:pt idx="601">
                  <c:v>232.65844982712787</c:v>
                </c:pt>
                <c:pt idx="602">
                  <c:v>233.92684555065151</c:v>
                </c:pt>
                <c:pt idx="603">
                  <c:v>234.30148560724606</c:v>
                </c:pt>
                <c:pt idx="604">
                  <c:v>226.6891184998459</c:v>
                </c:pt>
                <c:pt idx="605">
                  <c:v>225.74554367645484</c:v>
                </c:pt>
                <c:pt idx="606">
                  <c:v>230.1346113607608</c:v>
                </c:pt>
                <c:pt idx="607">
                  <c:v>232.01877185815528</c:v>
                </c:pt>
                <c:pt idx="608">
                  <c:v>235.48219961539647</c:v>
                </c:pt>
                <c:pt idx="609">
                  <c:v>238.11962575849702</c:v>
                </c:pt>
                <c:pt idx="610">
                  <c:v>231.42692027938617</c:v>
                </c:pt>
                <c:pt idx="611">
                  <c:v>230.85698912946037</c:v>
                </c:pt>
                <c:pt idx="612">
                  <c:v>226.78477128025301</c:v>
                </c:pt>
                <c:pt idx="613">
                  <c:v>226.98006237358422</c:v>
                </c:pt>
                <c:pt idx="614">
                  <c:v>227.12055239480716</c:v>
                </c:pt>
                <c:pt idx="615">
                  <c:v>228.69782688839547</c:v>
                </c:pt>
                <c:pt idx="616">
                  <c:v>235.34170959417349</c:v>
                </c:pt>
                <c:pt idx="617">
                  <c:v>242.75480007572548</c:v>
                </c:pt>
                <c:pt idx="618">
                  <c:v>241.22136643982378</c:v>
                </c:pt>
                <c:pt idx="619">
                  <c:v>239.76066877235669</c:v>
                </c:pt>
                <c:pt idx="620">
                  <c:v>241.69963034185943</c:v>
                </c:pt>
                <c:pt idx="621">
                  <c:v>242.89230094756073</c:v>
                </c:pt>
                <c:pt idx="622">
                  <c:v>243.05570778075622</c:v>
                </c:pt>
                <c:pt idx="623">
                  <c:v>238.20730747387017</c:v>
                </c:pt>
                <c:pt idx="624">
                  <c:v>243.25000249095817</c:v>
                </c:pt>
                <c:pt idx="625">
                  <c:v>248.32258900192338</c:v>
                </c:pt>
                <c:pt idx="626">
                  <c:v>243.01385968932811</c:v>
                </c:pt>
                <c:pt idx="627">
                  <c:v>244.21250859380481</c:v>
                </c:pt>
                <c:pt idx="628">
                  <c:v>247.54541016111554</c:v>
                </c:pt>
                <c:pt idx="629">
                  <c:v>250.74778553849566</c:v>
                </c:pt>
                <c:pt idx="630">
                  <c:v>249.15955083048573</c:v>
                </c:pt>
                <c:pt idx="631">
                  <c:v>243.01485607245735</c:v>
                </c:pt>
                <c:pt idx="632">
                  <c:v>237.43511054870854</c:v>
                </c:pt>
                <c:pt idx="633">
                  <c:v>239.63113896555541</c:v>
                </c:pt>
                <c:pt idx="634">
                  <c:v>238.29698195550185</c:v>
                </c:pt>
                <c:pt idx="635">
                  <c:v>227.70144375915459</c:v>
                </c:pt>
                <c:pt idx="636">
                  <c:v>224.19417514422673</c:v>
                </c:pt>
                <c:pt idx="637">
                  <c:v>232.74812430875946</c:v>
                </c:pt>
                <c:pt idx="638">
                  <c:v>229.45707083287692</c:v>
                </c:pt>
                <c:pt idx="639">
                  <c:v>230.7782748622503</c:v>
                </c:pt>
                <c:pt idx="640">
                  <c:v>232.09150782658978</c:v>
                </c:pt>
                <c:pt idx="641">
                  <c:v>231.91813716210183</c:v>
                </c:pt>
                <c:pt idx="642">
                  <c:v>236.46961529647407</c:v>
                </c:pt>
                <c:pt idx="643">
                  <c:v>233.67974253459965</c:v>
                </c:pt>
                <c:pt idx="644">
                  <c:v>235.03283082410871</c:v>
                </c:pt>
                <c:pt idx="645">
                  <c:v>238.20531470761156</c:v>
                </c:pt>
                <c:pt idx="646">
                  <c:v>238.21029662325782</c:v>
                </c:pt>
                <c:pt idx="647">
                  <c:v>238.21129300638705</c:v>
                </c:pt>
                <c:pt idx="648">
                  <c:v>224.89263971782452</c:v>
                </c:pt>
                <c:pt idx="649">
                  <c:v>224.9215348285725</c:v>
                </c:pt>
                <c:pt idx="650">
                  <c:v>228.44673833982668</c:v>
                </c:pt>
                <c:pt idx="651">
                  <c:v>224.58575371401835</c:v>
                </c:pt>
                <c:pt idx="652">
                  <c:v>221.63645965146537</c:v>
                </c:pt>
                <c:pt idx="653">
                  <c:v>226.19192331835461</c:v>
                </c:pt>
                <c:pt idx="654">
                  <c:v>228.42681067724186</c:v>
                </c:pt>
                <c:pt idx="655">
                  <c:v>223.36319161443981</c:v>
                </c:pt>
                <c:pt idx="656">
                  <c:v>230.5271863136816</c:v>
                </c:pt>
                <c:pt idx="657">
                  <c:v>231.49367794904526</c:v>
                </c:pt>
                <c:pt idx="658">
                  <c:v>236.44869125076005</c:v>
                </c:pt>
                <c:pt idx="659">
                  <c:v>232.39839383039595</c:v>
                </c:pt>
                <c:pt idx="660">
                  <c:v>225.71266303318981</c:v>
                </c:pt>
                <c:pt idx="661">
                  <c:v>216.39349162540006</c:v>
                </c:pt>
                <c:pt idx="662">
                  <c:v>221.10439106045087</c:v>
                </c:pt>
                <c:pt idx="663">
                  <c:v>227.30687603997521</c:v>
                </c:pt>
                <c:pt idx="664">
                  <c:v>231.36115899285625</c:v>
                </c:pt>
                <c:pt idx="665">
                  <c:v>237.38329862598795</c:v>
                </c:pt>
                <c:pt idx="666">
                  <c:v>238.13058597291857</c:v>
                </c:pt>
                <c:pt idx="667">
                  <c:v>243.13143289857842</c:v>
                </c:pt>
                <c:pt idx="668">
                  <c:v>242.50769705967366</c:v>
                </c:pt>
                <c:pt idx="669">
                  <c:v>240.91348405288829</c:v>
                </c:pt>
                <c:pt idx="670">
                  <c:v>231.20273407530689</c:v>
                </c:pt>
                <c:pt idx="671">
                  <c:v>233.08888733895978</c:v>
                </c:pt>
                <c:pt idx="672">
                  <c:v>240.33857098731627</c:v>
                </c:pt>
                <c:pt idx="673">
                  <c:v>235.45330450464834</c:v>
                </c:pt>
                <c:pt idx="674">
                  <c:v>235.58183792832043</c:v>
                </c:pt>
                <c:pt idx="675">
                  <c:v>232.29178083556712</c:v>
                </c:pt>
                <c:pt idx="676">
                  <c:v>234.34731923119105</c:v>
                </c:pt>
                <c:pt idx="677">
                  <c:v>238.79019160447604</c:v>
                </c:pt>
                <c:pt idx="678">
                  <c:v>236.62704383089414</c:v>
                </c:pt>
                <c:pt idx="679">
                  <c:v>234.45293584289055</c:v>
                </c:pt>
                <c:pt idx="680">
                  <c:v>232.91950220698888</c:v>
                </c:pt>
                <c:pt idx="681">
                  <c:v>235.26399171009257</c:v>
                </c:pt>
                <c:pt idx="682">
                  <c:v>243.4831561432004</c:v>
                </c:pt>
                <c:pt idx="683">
                  <c:v>246.03788248657395</c:v>
                </c:pt>
                <c:pt idx="684">
                  <c:v>239.50459830814165</c:v>
                </c:pt>
                <c:pt idx="685">
                  <c:v>243.19320865259135</c:v>
                </c:pt>
                <c:pt idx="686">
                  <c:v>242.05533911899829</c:v>
                </c:pt>
                <c:pt idx="687">
                  <c:v>243.44429720116005</c:v>
                </c:pt>
                <c:pt idx="688">
                  <c:v>248.84170461225773</c:v>
                </c:pt>
                <c:pt idx="689">
                  <c:v>252.86410330500311</c:v>
                </c:pt>
                <c:pt idx="690">
                  <c:v>253.76782280322453</c:v>
                </c:pt>
                <c:pt idx="691">
                  <c:v>256.55271364945276</c:v>
                </c:pt>
                <c:pt idx="692">
                  <c:v>256.28667935394543</c:v>
                </c:pt>
                <c:pt idx="693">
                  <c:v>256.94030668672741</c:v>
                </c:pt>
                <c:pt idx="694">
                  <c:v>248.64641351892649</c:v>
                </c:pt>
                <c:pt idx="695">
                  <c:v>256.32454191285655</c:v>
                </c:pt>
                <c:pt idx="696">
                  <c:v>257.16050735828958</c:v>
                </c:pt>
                <c:pt idx="697">
                  <c:v>258.42790669868396</c:v>
                </c:pt>
                <c:pt idx="698">
                  <c:v>252.83421181112578</c:v>
                </c:pt>
                <c:pt idx="699">
                  <c:v>258.39901158793595</c:v>
                </c:pt>
                <c:pt idx="700">
                  <c:v>259.00082699799742</c:v>
                </c:pt>
                <c:pt idx="701">
                  <c:v>260.70962406464548</c:v>
                </c:pt>
                <c:pt idx="702">
                  <c:v>258.92908741269207</c:v>
                </c:pt>
                <c:pt idx="703">
                  <c:v>255.87517312156882</c:v>
                </c:pt>
                <c:pt idx="704">
                  <c:v>270.21212996821549</c:v>
                </c:pt>
                <c:pt idx="705">
                  <c:v>268.23929137231863</c:v>
                </c:pt>
                <c:pt idx="706">
                  <c:v>266.84136584199371</c:v>
                </c:pt>
                <c:pt idx="707">
                  <c:v>268.79925869095194</c:v>
                </c:pt>
                <c:pt idx="708">
                  <c:v>267.71818299572561</c:v>
                </c:pt>
                <c:pt idx="709">
                  <c:v>262.35664537728059</c:v>
                </c:pt>
                <c:pt idx="710">
                  <c:v>264.94823789643601</c:v>
                </c:pt>
                <c:pt idx="711">
                  <c:v>262.31380090272319</c:v>
                </c:pt>
                <c:pt idx="712">
                  <c:v>259.32963343064682</c:v>
                </c:pt>
                <c:pt idx="713">
                  <c:v>259.45517770493115</c:v>
                </c:pt>
                <c:pt idx="714">
                  <c:v>254.13150264539726</c:v>
                </c:pt>
                <c:pt idx="715">
                  <c:v>254.48023674063157</c:v>
                </c:pt>
                <c:pt idx="716">
                  <c:v>260.7016529996115</c:v>
                </c:pt>
                <c:pt idx="717">
                  <c:v>257.23822524237028</c:v>
                </c:pt>
                <c:pt idx="718">
                  <c:v>242.8564311549078</c:v>
                </c:pt>
                <c:pt idx="719">
                  <c:v>245.58951007841546</c:v>
                </c:pt>
                <c:pt idx="720">
                  <c:v>246.44141765391643</c:v>
                </c:pt>
                <c:pt idx="721">
                  <c:v>247.08408477227675</c:v>
                </c:pt>
                <c:pt idx="722">
                  <c:v>243.84285045285628</c:v>
                </c:pt>
                <c:pt idx="723">
                  <c:v>232.21306656835699</c:v>
                </c:pt>
                <c:pt idx="724">
                  <c:v>226.82861213793942</c:v>
                </c:pt>
                <c:pt idx="725">
                  <c:v>229.74502555722739</c:v>
                </c:pt>
                <c:pt idx="726">
                  <c:v>227.53903330908815</c:v>
                </c:pt>
                <c:pt idx="727">
                  <c:v>232.32964339447818</c:v>
                </c:pt>
                <c:pt idx="728">
                  <c:v>234.4150732839793</c:v>
                </c:pt>
                <c:pt idx="729">
                  <c:v>236.54434403116707</c:v>
                </c:pt>
                <c:pt idx="730">
                  <c:v>237.39724798979722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C59-4C94-BDB6-F57A146136EF}"/>
            </c:ext>
          </c:extLst>
        </c:ser>
        <c:ser>
          <c:idx val="7"/>
          <c:order val="7"/>
          <c:tx>
            <c:strRef>
              <c:f>Index!$W$1</c:f>
              <c:strCache>
                <c:ptCount val="1"/>
                <c:pt idx="0">
                  <c:v>Airports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Index!$W$2:$W$732</c:f>
              <c:numCache>
                <c:formatCode>General</c:formatCode>
                <c:ptCount val="731"/>
                <c:pt idx="0">
                  <c:v>100</c:v>
                </c:pt>
                <c:pt idx="1">
                  <c:v>98.224167672074273</c:v>
                </c:pt>
                <c:pt idx="2">
                  <c:v>97.187185290803782</c:v>
                </c:pt>
                <c:pt idx="3">
                  <c:v>95.399387781555689</c:v>
                </c:pt>
                <c:pt idx="4">
                  <c:v>92.330318772372422</c:v>
                </c:pt>
                <c:pt idx="5">
                  <c:v>90.489675045617275</c:v>
                </c:pt>
                <c:pt idx="6">
                  <c:v>85.216021377790653</c:v>
                </c:pt>
                <c:pt idx="7">
                  <c:v>84.87501371010363</c:v>
                </c:pt>
                <c:pt idx="8">
                  <c:v>86.210128525989404</c:v>
                </c:pt>
                <c:pt idx="9">
                  <c:v>87.945079817730431</c:v>
                </c:pt>
                <c:pt idx="10">
                  <c:v>90.015056186497318</c:v>
                </c:pt>
                <c:pt idx="11">
                  <c:v>93.618569961412319</c:v>
                </c:pt>
                <c:pt idx="12">
                  <c:v>93.399208303835877</c:v>
                </c:pt>
                <c:pt idx="13">
                  <c:v>91.06599794597723</c:v>
                </c:pt>
                <c:pt idx="14">
                  <c:v>91.052038567767823</c:v>
                </c:pt>
                <c:pt idx="15">
                  <c:v>92.846815766120613</c:v>
                </c:pt>
                <c:pt idx="16">
                  <c:v>92.264510275099497</c:v>
                </c:pt>
                <c:pt idx="17">
                  <c:v>97.829316688436677</c:v>
                </c:pt>
                <c:pt idx="18">
                  <c:v>99.355874405480094</c:v>
                </c:pt>
                <c:pt idx="19">
                  <c:v>102.50371419170219</c:v>
                </c:pt>
                <c:pt idx="20">
                  <c:v>102.36511750805163</c:v>
                </c:pt>
                <c:pt idx="21">
                  <c:v>99.849438135027114</c:v>
                </c:pt>
                <c:pt idx="22">
                  <c:v>103.85777387801501</c:v>
                </c:pt>
                <c:pt idx="23">
                  <c:v>104.20576123480674</c:v>
                </c:pt>
                <c:pt idx="24">
                  <c:v>103.6603483861962</c:v>
                </c:pt>
                <c:pt idx="25">
                  <c:v>102.67621222243277</c:v>
                </c:pt>
                <c:pt idx="26">
                  <c:v>106.59680330239009</c:v>
                </c:pt>
                <c:pt idx="27">
                  <c:v>106.17403356233365</c:v>
                </c:pt>
                <c:pt idx="28">
                  <c:v>98.809464458426021</c:v>
                </c:pt>
                <c:pt idx="29">
                  <c:v>103.2993987496386</c:v>
                </c:pt>
                <c:pt idx="30">
                  <c:v>96.90002093906736</c:v>
                </c:pt>
                <c:pt idx="31">
                  <c:v>99.576233161500085</c:v>
                </c:pt>
                <c:pt idx="32">
                  <c:v>98.537256583342526</c:v>
                </c:pt>
                <c:pt idx="33">
                  <c:v>96.531094514961509</c:v>
                </c:pt>
                <c:pt idx="34">
                  <c:v>95.043423637215753</c:v>
                </c:pt>
                <c:pt idx="35">
                  <c:v>98.689812645202508</c:v>
                </c:pt>
                <c:pt idx="36">
                  <c:v>101.00607232952115</c:v>
                </c:pt>
                <c:pt idx="37">
                  <c:v>105.26467978183493</c:v>
                </c:pt>
                <c:pt idx="38">
                  <c:v>104.25362196009618</c:v>
                </c:pt>
                <c:pt idx="39">
                  <c:v>103.97842278968209</c:v>
                </c:pt>
                <c:pt idx="40">
                  <c:v>106.3245954273066</c:v>
                </c:pt>
                <c:pt idx="41">
                  <c:v>106.55592226620543</c:v>
                </c:pt>
                <c:pt idx="42">
                  <c:v>106.53697739577837</c:v>
                </c:pt>
                <c:pt idx="43">
                  <c:v>106.46817760317484</c:v>
                </c:pt>
                <c:pt idx="44">
                  <c:v>107.67865511361944</c:v>
                </c:pt>
                <c:pt idx="45">
                  <c:v>109.93209759599573</c:v>
                </c:pt>
                <c:pt idx="46">
                  <c:v>107.69361159027237</c:v>
                </c:pt>
                <c:pt idx="47">
                  <c:v>108.79839666570288</c:v>
                </c:pt>
                <c:pt idx="48">
                  <c:v>109.19723604311461</c:v>
                </c:pt>
                <c:pt idx="49">
                  <c:v>111.09471438115092</c:v>
                </c:pt>
                <c:pt idx="50">
                  <c:v>112.92638422191429</c:v>
                </c:pt>
                <c:pt idx="51">
                  <c:v>115.29748432062705</c:v>
                </c:pt>
                <c:pt idx="52">
                  <c:v>117.66858441933979</c:v>
                </c:pt>
                <c:pt idx="53">
                  <c:v>119.97686731611019</c:v>
                </c:pt>
                <c:pt idx="54">
                  <c:v>122.46462793271586</c:v>
                </c:pt>
                <c:pt idx="55">
                  <c:v>124.61038378319097</c:v>
                </c:pt>
                <c:pt idx="56">
                  <c:v>123.56143622059813</c:v>
                </c:pt>
                <c:pt idx="57">
                  <c:v>127.16694419240017</c:v>
                </c:pt>
                <c:pt idx="58">
                  <c:v>129.93389237319406</c:v>
                </c:pt>
                <c:pt idx="59">
                  <c:v>128.3205870915636</c:v>
                </c:pt>
                <c:pt idx="60">
                  <c:v>126.70329341615903</c:v>
                </c:pt>
                <c:pt idx="61">
                  <c:v>129.66866418721526</c:v>
                </c:pt>
                <c:pt idx="62">
                  <c:v>122.90335124786874</c:v>
                </c:pt>
                <c:pt idx="63">
                  <c:v>122.87642958989345</c:v>
                </c:pt>
                <c:pt idx="64">
                  <c:v>120.25804907718542</c:v>
                </c:pt>
                <c:pt idx="65">
                  <c:v>124.37407145207447</c:v>
                </c:pt>
                <c:pt idx="66">
                  <c:v>124.99127538861913</c:v>
                </c:pt>
                <c:pt idx="67">
                  <c:v>121.98602067982175</c:v>
                </c:pt>
                <c:pt idx="68">
                  <c:v>123.60231725678278</c:v>
                </c:pt>
                <c:pt idx="69">
                  <c:v>121.49644534404885</c:v>
                </c:pt>
                <c:pt idx="70">
                  <c:v>121.71580700162532</c:v>
                </c:pt>
                <c:pt idx="71">
                  <c:v>120.49834980207601</c:v>
                </c:pt>
                <c:pt idx="72">
                  <c:v>124.20356761823101</c:v>
                </c:pt>
                <c:pt idx="73">
                  <c:v>128.81514791955416</c:v>
                </c:pt>
                <c:pt idx="74">
                  <c:v>129.9727792124917</c:v>
                </c:pt>
                <c:pt idx="75">
                  <c:v>127.64455434685073</c:v>
                </c:pt>
                <c:pt idx="76">
                  <c:v>131.08554107547045</c:v>
                </c:pt>
                <c:pt idx="77">
                  <c:v>129.62678605258702</c:v>
                </c:pt>
                <c:pt idx="78">
                  <c:v>133.41476303955494</c:v>
                </c:pt>
                <c:pt idx="79">
                  <c:v>134.59133920291953</c:v>
                </c:pt>
                <c:pt idx="80">
                  <c:v>136.83879909463462</c:v>
                </c:pt>
                <c:pt idx="81">
                  <c:v>132.91721091623378</c:v>
                </c:pt>
                <c:pt idx="82">
                  <c:v>134.34505588736778</c:v>
                </c:pt>
                <c:pt idx="83">
                  <c:v>136.11689982151944</c:v>
                </c:pt>
                <c:pt idx="84">
                  <c:v>134.67310127528896</c:v>
                </c:pt>
                <c:pt idx="85">
                  <c:v>134.06985671695369</c:v>
                </c:pt>
                <c:pt idx="86">
                  <c:v>136.18669671256649</c:v>
                </c:pt>
                <c:pt idx="87">
                  <c:v>133.67600283175966</c:v>
                </c:pt>
                <c:pt idx="88">
                  <c:v>135.42591060015366</c:v>
                </c:pt>
                <c:pt idx="89">
                  <c:v>135.03803930562074</c:v>
                </c:pt>
                <c:pt idx="90">
                  <c:v>135.65225194683481</c:v>
                </c:pt>
                <c:pt idx="91">
                  <c:v>138.26764116421225</c:v>
                </c:pt>
                <c:pt idx="92">
                  <c:v>138.39227846965341</c:v>
                </c:pt>
                <c:pt idx="93">
                  <c:v>139.72639618709565</c:v>
                </c:pt>
                <c:pt idx="94">
                  <c:v>141.45137649440139</c:v>
                </c:pt>
                <c:pt idx="95">
                  <c:v>144.87640964792465</c:v>
                </c:pt>
                <c:pt idx="96">
                  <c:v>149.08615927650547</c:v>
                </c:pt>
                <c:pt idx="97">
                  <c:v>150.51599844452653</c:v>
                </c:pt>
                <c:pt idx="98">
                  <c:v>152.30379595377462</c:v>
                </c:pt>
                <c:pt idx="99">
                  <c:v>155.28013480770966</c:v>
                </c:pt>
                <c:pt idx="100">
                  <c:v>158.84476174332701</c:v>
                </c:pt>
                <c:pt idx="101">
                  <c:v>153.67081791985333</c:v>
                </c:pt>
                <c:pt idx="102">
                  <c:v>155.55134558434963</c:v>
                </c:pt>
                <c:pt idx="103">
                  <c:v>157.4029573939836</c:v>
                </c:pt>
                <c:pt idx="104">
                  <c:v>158.74704609586115</c:v>
                </c:pt>
                <c:pt idx="105">
                  <c:v>154.78657107816264</c:v>
                </c:pt>
                <c:pt idx="106">
                  <c:v>157.85663718578945</c:v>
                </c:pt>
                <c:pt idx="107">
                  <c:v>158.69719117368467</c:v>
                </c:pt>
                <c:pt idx="108">
                  <c:v>163.49124049017371</c:v>
                </c:pt>
                <c:pt idx="109">
                  <c:v>165.31991903560649</c:v>
                </c:pt>
                <c:pt idx="110">
                  <c:v>166.47156773788288</c:v>
                </c:pt>
                <c:pt idx="111">
                  <c:v>167.51353561137103</c:v>
                </c:pt>
                <c:pt idx="112">
                  <c:v>165.87929126242645</c:v>
                </c:pt>
                <c:pt idx="113">
                  <c:v>165.03873727453126</c:v>
                </c:pt>
                <c:pt idx="114">
                  <c:v>163.07744463610905</c:v>
                </c:pt>
                <c:pt idx="115">
                  <c:v>162.81022225324318</c:v>
                </c:pt>
                <c:pt idx="116">
                  <c:v>157.6233161500036</c:v>
                </c:pt>
                <c:pt idx="117">
                  <c:v>158.23453749588711</c:v>
                </c:pt>
                <c:pt idx="118">
                  <c:v>158.64434495617763</c:v>
                </c:pt>
                <c:pt idx="119">
                  <c:v>157.77088671964594</c:v>
                </c:pt>
                <c:pt idx="120">
                  <c:v>158.68024050014469</c:v>
                </c:pt>
                <c:pt idx="121">
                  <c:v>157.95335573481182</c:v>
                </c:pt>
                <c:pt idx="122">
                  <c:v>160.09811448684343</c:v>
                </c:pt>
                <c:pt idx="123">
                  <c:v>158.25148816942709</c:v>
                </c:pt>
                <c:pt idx="124">
                  <c:v>159.52079448803991</c:v>
                </c:pt>
                <c:pt idx="125">
                  <c:v>163.36261479095845</c:v>
                </c:pt>
                <c:pt idx="126">
                  <c:v>162.07835199569266</c:v>
                </c:pt>
                <c:pt idx="127">
                  <c:v>159.64742599036813</c:v>
                </c:pt>
                <c:pt idx="128">
                  <c:v>162.00157541554088</c:v>
                </c:pt>
                <c:pt idx="129">
                  <c:v>159.2276475456423</c:v>
                </c:pt>
                <c:pt idx="130">
                  <c:v>160.0093727253693</c:v>
                </c:pt>
                <c:pt idx="131">
                  <c:v>154.70082061201916</c:v>
                </c:pt>
                <c:pt idx="132">
                  <c:v>156.77179407922958</c:v>
                </c:pt>
                <c:pt idx="133">
                  <c:v>156.49061231815432</c:v>
                </c:pt>
                <c:pt idx="134">
                  <c:v>156.3679692096002</c:v>
                </c:pt>
                <c:pt idx="135">
                  <c:v>156.91637335354133</c:v>
                </c:pt>
                <c:pt idx="136">
                  <c:v>160.3633426728222</c:v>
                </c:pt>
                <c:pt idx="137">
                  <c:v>158.52269894606707</c:v>
                </c:pt>
                <c:pt idx="138">
                  <c:v>159.62150143083639</c:v>
                </c:pt>
                <c:pt idx="139">
                  <c:v>163.10436629408434</c:v>
                </c:pt>
                <c:pt idx="140">
                  <c:v>164.52024608389601</c:v>
                </c:pt>
                <c:pt idx="141">
                  <c:v>164.26698307923957</c:v>
                </c:pt>
                <c:pt idx="142">
                  <c:v>160.14298391680225</c:v>
                </c:pt>
                <c:pt idx="143">
                  <c:v>162.0554187314915</c:v>
                </c:pt>
                <c:pt idx="144">
                  <c:v>159.1897578047882</c:v>
                </c:pt>
                <c:pt idx="145">
                  <c:v>154.2670827890839</c:v>
                </c:pt>
                <c:pt idx="146">
                  <c:v>151.15414144838533</c:v>
                </c:pt>
                <c:pt idx="147">
                  <c:v>152.82527843974049</c:v>
                </c:pt>
                <c:pt idx="148">
                  <c:v>155.14353232094618</c:v>
                </c:pt>
                <c:pt idx="149">
                  <c:v>154.80053045637209</c:v>
                </c:pt>
                <c:pt idx="150">
                  <c:v>153.95399387781566</c:v>
                </c:pt>
                <c:pt idx="151">
                  <c:v>154.41066496495208</c:v>
                </c:pt>
                <c:pt idx="152">
                  <c:v>156.93332402708128</c:v>
                </c:pt>
                <c:pt idx="153">
                  <c:v>157.08887138427184</c:v>
                </c:pt>
                <c:pt idx="154">
                  <c:v>159.56067842578105</c:v>
                </c:pt>
                <c:pt idx="155">
                  <c:v>156.28620713723072</c:v>
                </c:pt>
                <c:pt idx="156">
                  <c:v>155.26118993728258</c:v>
                </c:pt>
                <c:pt idx="157">
                  <c:v>163.99876359793006</c:v>
                </c:pt>
                <c:pt idx="158">
                  <c:v>165.29698577140525</c:v>
                </c:pt>
                <c:pt idx="159">
                  <c:v>161.92679303227612</c:v>
                </c:pt>
                <c:pt idx="160">
                  <c:v>162.7324485746478</c:v>
                </c:pt>
                <c:pt idx="161">
                  <c:v>165.2451366523417</c:v>
                </c:pt>
                <c:pt idx="162">
                  <c:v>182.24765931140385</c:v>
                </c:pt>
                <c:pt idx="163">
                  <c:v>188.29207007607866</c:v>
                </c:pt>
                <c:pt idx="164">
                  <c:v>190.9822416767208</c:v>
                </c:pt>
                <c:pt idx="165">
                  <c:v>193.56472664546175</c:v>
                </c:pt>
                <c:pt idx="166">
                  <c:v>188.59020251069393</c:v>
                </c:pt>
                <c:pt idx="167">
                  <c:v>194.56481638432166</c:v>
                </c:pt>
                <c:pt idx="168">
                  <c:v>192.92558654315943</c:v>
                </c:pt>
                <c:pt idx="169">
                  <c:v>192.27946675175244</c:v>
                </c:pt>
                <c:pt idx="170">
                  <c:v>195.01450778235335</c:v>
                </c:pt>
                <c:pt idx="171">
                  <c:v>193.07216001435822</c:v>
                </c:pt>
                <c:pt idx="172">
                  <c:v>201.57441844233284</c:v>
                </c:pt>
                <c:pt idx="173">
                  <c:v>203.88968102820795</c:v>
                </c:pt>
                <c:pt idx="174">
                  <c:v>207.44732827472063</c:v>
                </c:pt>
                <c:pt idx="175">
                  <c:v>207.30972868951358</c:v>
                </c:pt>
                <c:pt idx="176">
                  <c:v>200.31009761593768</c:v>
                </c:pt>
                <c:pt idx="177">
                  <c:v>196.55901327138034</c:v>
                </c:pt>
                <c:pt idx="178">
                  <c:v>211.16451127219796</c:v>
                </c:pt>
                <c:pt idx="179">
                  <c:v>208.52319749528877</c:v>
                </c:pt>
                <c:pt idx="180">
                  <c:v>207.88605158987349</c:v>
                </c:pt>
                <c:pt idx="181">
                  <c:v>209.30891106878985</c:v>
                </c:pt>
                <c:pt idx="182">
                  <c:v>213.58048080086954</c:v>
                </c:pt>
                <c:pt idx="183">
                  <c:v>214.65535292299418</c:v>
                </c:pt>
                <c:pt idx="184">
                  <c:v>209.41560060224754</c:v>
                </c:pt>
                <c:pt idx="185">
                  <c:v>211.75778484609791</c:v>
                </c:pt>
                <c:pt idx="186">
                  <c:v>213.93245655143542</c:v>
                </c:pt>
                <c:pt idx="187">
                  <c:v>217.90988224267392</c:v>
                </c:pt>
                <c:pt idx="188">
                  <c:v>215.44904328404357</c:v>
                </c:pt>
                <c:pt idx="189">
                  <c:v>218.20302918507156</c:v>
                </c:pt>
                <c:pt idx="190">
                  <c:v>217.11320058629397</c:v>
                </c:pt>
                <c:pt idx="191">
                  <c:v>225.69223559442034</c:v>
                </c:pt>
                <c:pt idx="192">
                  <c:v>221.52536119891127</c:v>
                </c:pt>
                <c:pt idx="193">
                  <c:v>224.89056844582277</c:v>
                </c:pt>
                <c:pt idx="194">
                  <c:v>224.12778813652287</c:v>
                </c:pt>
                <c:pt idx="195">
                  <c:v>224.0041479295252</c:v>
                </c:pt>
                <c:pt idx="196">
                  <c:v>227.0223649180885</c:v>
                </c:pt>
                <c:pt idx="197">
                  <c:v>229.15416139035423</c:v>
                </c:pt>
                <c:pt idx="198">
                  <c:v>231.18724511671053</c:v>
                </c:pt>
                <c:pt idx="199">
                  <c:v>234.79375018695612</c:v>
                </c:pt>
                <c:pt idx="200">
                  <c:v>234.23338086169264</c:v>
                </c:pt>
                <c:pt idx="201">
                  <c:v>238.12804738211818</c:v>
                </c:pt>
                <c:pt idx="202">
                  <c:v>241.88112592356254</c:v>
                </c:pt>
                <c:pt idx="203">
                  <c:v>247.51473212950327</c:v>
                </c:pt>
                <c:pt idx="204">
                  <c:v>251.41936963436413</c:v>
                </c:pt>
                <c:pt idx="205">
                  <c:v>249.82600632160424</c:v>
                </c:pt>
                <c:pt idx="206">
                  <c:v>254.18930911048858</c:v>
                </c:pt>
                <c:pt idx="207">
                  <c:v>256.35899532360844</c:v>
                </c:pt>
                <c:pt idx="208">
                  <c:v>259.78303137868812</c:v>
                </c:pt>
                <c:pt idx="209">
                  <c:v>256.76381729168133</c:v>
                </c:pt>
                <c:pt idx="210">
                  <c:v>262.41237997427498</c:v>
                </c:pt>
                <c:pt idx="211">
                  <c:v>268.88654016811091</c:v>
                </c:pt>
                <c:pt idx="212">
                  <c:v>264.70171800061826</c:v>
                </c:pt>
                <c:pt idx="213">
                  <c:v>274.05649559781045</c:v>
                </c:pt>
                <c:pt idx="214">
                  <c:v>278.03591548593602</c:v>
                </c:pt>
                <c:pt idx="215">
                  <c:v>285.35262386455429</c:v>
                </c:pt>
                <c:pt idx="216">
                  <c:v>290.31418571955629</c:v>
                </c:pt>
                <c:pt idx="217">
                  <c:v>274.59692295420342</c:v>
                </c:pt>
                <c:pt idx="218">
                  <c:v>279.30522180454886</c:v>
                </c:pt>
                <c:pt idx="219">
                  <c:v>281.43901247370161</c:v>
                </c:pt>
                <c:pt idx="220">
                  <c:v>294.18292768044995</c:v>
                </c:pt>
                <c:pt idx="221">
                  <c:v>294.79215482944636</c:v>
                </c:pt>
                <c:pt idx="222">
                  <c:v>301.5135954372775</c:v>
                </c:pt>
                <c:pt idx="223">
                  <c:v>305.11810631063605</c:v>
                </c:pt>
                <c:pt idx="224">
                  <c:v>304.02528641652788</c:v>
                </c:pt>
                <c:pt idx="225">
                  <c:v>306.97869200626172</c:v>
                </c:pt>
                <c:pt idx="226">
                  <c:v>313.01811727871888</c:v>
                </c:pt>
                <c:pt idx="227">
                  <c:v>313.00714919584004</c:v>
                </c:pt>
                <c:pt idx="228">
                  <c:v>323.23438793112041</c:v>
                </c:pt>
                <c:pt idx="229">
                  <c:v>317.63468307225969</c:v>
                </c:pt>
                <c:pt idx="230">
                  <c:v>324.34615269565563</c:v>
                </c:pt>
                <c:pt idx="231">
                  <c:v>318.37353301891494</c:v>
                </c:pt>
                <c:pt idx="232">
                  <c:v>327.3952797359683</c:v>
                </c:pt>
                <c:pt idx="233">
                  <c:v>336.66231267012989</c:v>
                </c:pt>
                <c:pt idx="234">
                  <c:v>334.96026562702531</c:v>
                </c:pt>
                <c:pt idx="235">
                  <c:v>348.12495637694303</c:v>
                </c:pt>
                <c:pt idx="236">
                  <c:v>350.94973626746162</c:v>
                </c:pt>
                <c:pt idx="237">
                  <c:v>352.73853087515323</c:v>
                </c:pt>
                <c:pt idx="238">
                  <c:v>339.00948240619789</c:v>
                </c:pt>
                <c:pt idx="239">
                  <c:v>341.92898664885178</c:v>
                </c:pt>
                <c:pt idx="240">
                  <c:v>337.64744593233689</c:v>
                </c:pt>
                <c:pt idx="241">
                  <c:v>301.07287792523755</c:v>
                </c:pt>
                <c:pt idx="242">
                  <c:v>329.29275807400472</c:v>
                </c:pt>
                <c:pt idx="243">
                  <c:v>335.49271619587006</c:v>
                </c:pt>
                <c:pt idx="244">
                  <c:v>341.84622747803894</c:v>
                </c:pt>
                <c:pt idx="245">
                  <c:v>340.24787867306145</c:v>
                </c:pt>
                <c:pt idx="246">
                  <c:v>352.97584030471336</c:v>
                </c:pt>
                <c:pt idx="247">
                  <c:v>363.28384401391952</c:v>
                </c:pt>
                <c:pt idx="248">
                  <c:v>362.64171261628667</c:v>
                </c:pt>
                <c:pt idx="249">
                  <c:v>370.52078451705546</c:v>
                </c:pt>
                <c:pt idx="250">
                  <c:v>369.87466472564847</c:v>
                </c:pt>
                <c:pt idx="251">
                  <c:v>370.06311633147544</c:v>
                </c:pt>
                <c:pt idx="252">
                  <c:v>362.04744194394317</c:v>
                </c:pt>
                <c:pt idx="253">
                  <c:v>354.24215532799553</c:v>
                </c:pt>
                <c:pt idx="254">
                  <c:v>350.25974414453941</c:v>
                </c:pt>
                <c:pt idx="255">
                  <c:v>339.99262147151796</c:v>
                </c:pt>
                <c:pt idx="256">
                  <c:v>350.50901875542178</c:v>
                </c:pt>
                <c:pt idx="257">
                  <c:v>347.99533357928436</c:v>
                </c:pt>
                <c:pt idx="258">
                  <c:v>335.21851412389958</c:v>
                </c:pt>
                <c:pt idx="259">
                  <c:v>328.26674377561307</c:v>
                </c:pt>
                <c:pt idx="260">
                  <c:v>335.0250770258549</c:v>
                </c:pt>
                <c:pt idx="261">
                  <c:v>333.42772531932093</c:v>
                </c:pt>
                <c:pt idx="262">
                  <c:v>330.76746667198472</c:v>
                </c:pt>
                <c:pt idx="263">
                  <c:v>313.38205821060728</c:v>
                </c:pt>
                <c:pt idx="264">
                  <c:v>309.07359583611702</c:v>
                </c:pt>
                <c:pt idx="265">
                  <c:v>318.78234338076214</c:v>
                </c:pt>
                <c:pt idx="266">
                  <c:v>308.61393345365002</c:v>
                </c:pt>
                <c:pt idx="267">
                  <c:v>314.51875043623079</c:v>
                </c:pt>
                <c:pt idx="268">
                  <c:v>324.1158229552006</c:v>
                </c:pt>
                <c:pt idx="269">
                  <c:v>322.71489964204187</c:v>
                </c:pt>
                <c:pt idx="270">
                  <c:v>309.1314275458418</c:v>
                </c:pt>
                <c:pt idx="271">
                  <c:v>305.84798237129974</c:v>
                </c:pt>
                <c:pt idx="272">
                  <c:v>291.48677348914674</c:v>
                </c:pt>
                <c:pt idx="273">
                  <c:v>311.26422111655097</c:v>
                </c:pt>
                <c:pt idx="274">
                  <c:v>314.82685385528123</c:v>
                </c:pt>
                <c:pt idx="275">
                  <c:v>306.11121636039138</c:v>
                </c:pt>
                <c:pt idx="276">
                  <c:v>306.32858382108071</c:v>
                </c:pt>
                <c:pt idx="277">
                  <c:v>311.14357220488381</c:v>
                </c:pt>
                <c:pt idx="278">
                  <c:v>311.54340868073905</c:v>
                </c:pt>
                <c:pt idx="279">
                  <c:v>302.17766300066808</c:v>
                </c:pt>
                <c:pt idx="280">
                  <c:v>308.1682304493923</c:v>
                </c:pt>
                <c:pt idx="281">
                  <c:v>299.85342652880121</c:v>
                </c:pt>
                <c:pt idx="282">
                  <c:v>290.86558115882781</c:v>
                </c:pt>
                <c:pt idx="283">
                  <c:v>284.19698676850362</c:v>
                </c:pt>
                <c:pt idx="284">
                  <c:v>264.9051260830982</c:v>
                </c:pt>
                <c:pt idx="285">
                  <c:v>256.57237439052358</c:v>
                </c:pt>
                <c:pt idx="286">
                  <c:v>245.62423348057152</c:v>
                </c:pt>
                <c:pt idx="287">
                  <c:v>241.28286685744482</c:v>
                </c:pt>
                <c:pt idx="288">
                  <c:v>237.85783370392159</c:v>
                </c:pt>
                <c:pt idx="289">
                  <c:v>239.19294851980737</c:v>
                </c:pt>
                <c:pt idx="290">
                  <c:v>248.54772611699954</c:v>
                </c:pt>
                <c:pt idx="291">
                  <c:v>245.03395120200216</c:v>
                </c:pt>
                <c:pt idx="292">
                  <c:v>249.17190974264884</c:v>
                </c:pt>
                <c:pt idx="293">
                  <c:v>237.42609007787337</c:v>
                </c:pt>
                <c:pt idx="294">
                  <c:v>240.83018416408248</c:v>
                </c:pt>
                <c:pt idx="295">
                  <c:v>247.88964114427012</c:v>
                </c:pt>
                <c:pt idx="296">
                  <c:v>231.48238625599498</c:v>
                </c:pt>
                <c:pt idx="297">
                  <c:v>230.75151309688798</c:v>
                </c:pt>
                <c:pt idx="298">
                  <c:v>219.2410086647854</c:v>
                </c:pt>
                <c:pt idx="299">
                  <c:v>220.9001804748182</c:v>
                </c:pt>
                <c:pt idx="300">
                  <c:v>211.51748412120722</c:v>
                </c:pt>
                <c:pt idx="301">
                  <c:v>161.59475925058078</c:v>
                </c:pt>
                <c:pt idx="302">
                  <c:v>164.73163095392403</c:v>
                </c:pt>
                <c:pt idx="303">
                  <c:v>148.701279277303</c:v>
                </c:pt>
                <c:pt idx="304">
                  <c:v>152.92698248098031</c:v>
                </c:pt>
                <c:pt idx="305">
                  <c:v>157.76789542431521</c:v>
                </c:pt>
                <c:pt idx="306">
                  <c:v>146.54056695017496</c:v>
                </c:pt>
                <c:pt idx="307">
                  <c:v>134.66412738929711</c:v>
                </c:pt>
                <c:pt idx="308">
                  <c:v>149.40024528621706</c:v>
                </c:pt>
                <c:pt idx="309">
                  <c:v>138.83997567079794</c:v>
                </c:pt>
                <c:pt idx="310">
                  <c:v>153.62196009612023</c:v>
                </c:pt>
                <c:pt idx="311">
                  <c:v>162.67162556959241</c:v>
                </c:pt>
                <c:pt idx="312">
                  <c:v>160.9885233969149</c:v>
                </c:pt>
                <c:pt idx="313">
                  <c:v>169.41899073695538</c:v>
                </c:pt>
                <c:pt idx="314">
                  <c:v>166.70189747833797</c:v>
                </c:pt>
                <c:pt idx="315">
                  <c:v>152.30279885533093</c:v>
                </c:pt>
                <c:pt idx="316">
                  <c:v>138.452104376265</c:v>
                </c:pt>
                <c:pt idx="317">
                  <c:v>145.81567638172911</c:v>
                </c:pt>
                <c:pt idx="318">
                  <c:v>146.4278948260561</c:v>
                </c:pt>
                <c:pt idx="319">
                  <c:v>145.56341047551618</c:v>
                </c:pt>
                <c:pt idx="320">
                  <c:v>129.41340698567166</c:v>
                </c:pt>
                <c:pt idx="321">
                  <c:v>124.94939725399085</c:v>
                </c:pt>
                <c:pt idx="322">
                  <c:v>116.48004307465273</c:v>
                </c:pt>
                <c:pt idx="323">
                  <c:v>128.81215662422343</c:v>
                </c:pt>
                <c:pt idx="324">
                  <c:v>134.01102790878537</c:v>
                </c:pt>
                <c:pt idx="325">
                  <c:v>136.38811059815927</c:v>
                </c:pt>
                <c:pt idx="326">
                  <c:v>144.14154809504333</c:v>
                </c:pt>
                <c:pt idx="327">
                  <c:v>144.70291451875036</c:v>
                </c:pt>
                <c:pt idx="328">
                  <c:v>151.15613564527217</c:v>
                </c:pt>
                <c:pt idx="329">
                  <c:v>154.92616486025656</c:v>
                </c:pt>
                <c:pt idx="330">
                  <c:v>149.87386704689345</c:v>
                </c:pt>
                <c:pt idx="331">
                  <c:v>164.48235634304163</c:v>
                </c:pt>
                <c:pt idx="332">
                  <c:v>158.42897169237509</c:v>
                </c:pt>
                <c:pt idx="333">
                  <c:v>167.02794866937202</c:v>
                </c:pt>
                <c:pt idx="334">
                  <c:v>174.40847134837614</c:v>
                </c:pt>
                <c:pt idx="335">
                  <c:v>181.20668853635908</c:v>
                </c:pt>
                <c:pt idx="336">
                  <c:v>181.76805496006608</c:v>
                </c:pt>
                <c:pt idx="337">
                  <c:v>174.04253621960083</c:v>
                </c:pt>
                <c:pt idx="338">
                  <c:v>175.57009103508776</c:v>
                </c:pt>
                <c:pt idx="339">
                  <c:v>173.93684378458673</c:v>
                </c:pt>
                <c:pt idx="340">
                  <c:v>168.43286037630483</c:v>
                </c:pt>
                <c:pt idx="341">
                  <c:v>179.78881454966034</c:v>
                </c:pt>
                <c:pt idx="342">
                  <c:v>191.09989929305706</c:v>
                </c:pt>
                <c:pt idx="343">
                  <c:v>193.40120250072275</c:v>
                </c:pt>
                <c:pt idx="344">
                  <c:v>195.54695835119787</c:v>
                </c:pt>
                <c:pt idx="345">
                  <c:v>197.41352663748481</c:v>
                </c:pt>
                <c:pt idx="346">
                  <c:v>195.7234447757026</c:v>
                </c:pt>
                <c:pt idx="347">
                  <c:v>201.31218155168449</c:v>
                </c:pt>
                <c:pt idx="348">
                  <c:v>194.90881534733913</c:v>
                </c:pt>
                <c:pt idx="349">
                  <c:v>208.5411452672721</c:v>
                </c:pt>
                <c:pt idx="350">
                  <c:v>216.59670359254554</c:v>
                </c:pt>
                <c:pt idx="351">
                  <c:v>215.36728121167388</c:v>
                </c:pt>
                <c:pt idx="352">
                  <c:v>213.52464328803168</c:v>
                </c:pt>
                <c:pt idx="353">
                  <c:v>220.22015933633114</c:v>
                </c:pt>
                <c:pt idx="354">
                  <c:v>224.08092450967669</c:v>
                </c:pt>
                <c:pt idx="355">
                  <c:v>223.07086378638147</c:v>
                </c:pt>
                <c:pt idx="356">
                  <c:v>211.70693282547774</c:v>
                </c:pt>
                <c:pt idx="357">
                  <c:v>215.72125115912678</c:v>
                </c:pt>
                <c:pt idx="358">
                  <c:v>218.81026213718064</c:v>
                </c:pt>
                <c:pt idx="359">
                  <c:v>212.69306318612823</c:v>
                </c:pt>
                <c:pt idx="360">
                  <c:v>209.02274381549677</c:v>
                </c:pt>
                <c:pt idx="361">
                  <c:v>215.81298421593146</c:v>
                </c:pt>
                <c:pt idx="362">
                  <c:v>213.08093448066114</c:v>
                </c:pt>
                <c:pt idx="363">
                  <c:v>217.83509985940898</c:v>
                </c:pt>
                <c:pt idx="364">
                  <c:v>218.50315581657364</c:v>
                </c:pt>
                <c:pt idx="365">
                  <c:v>224.29829197036614</c:v>
                </c:pt>
                <c:pt idx="366">
                  <c:v>234.07484220917121</c:v>
                </c:pt>
                <c:pt idx="367">
                  <c:v>228.36146812774817</c:v>
                </c:pt>
                <c:pt idx="368">
                  <c:v>219.54412659161829</c:v>
                </c:pt>
                <c:pt idx="369">
                  <c:v>212.88849448106004</c:v>
                </c:pt>
                <c:pt idx="370">
                  <c:v>207.41143273075343</c:v>
                </c:pt>
                <c:pt idx="371">
                  <c:v>211.55537386206132</c:v>
                </c:pt>
                <c:pt idx="372">
                  <c:v>218.29775353720663</c:v>
                </c:pt>
                <c:pt idx="373">
                  <c:v>222.89836575565096</c:v>
                </c:pt>
                <c:pt idx="374">
                  <c:v>232.00187454507378</c:v>
                </c:pt>
                <c:pt idx="375">
                  <c:v>234.3620065609077</c:v>
                </c:pt>
                <c:pt idx="376">
                  <c:v>229.42836346232457</c:v>
                </c:pt>
                <c:pt idx="377">
                  <c:v>229.6806293685375</c:v>
                </c:pt>
                <c:pt idx="378">
                  <c:v>235.34315142934062</c:v>
                </c:pt>
                <c:pt idx="379">
                  <c:v>241.6727323488648</c:v>
                </c:pt>
                <c:pt idx="380">
                  <c:v>238.38230748521801</c:v>
                </c:pt>
                <c:pt idx="381">
                  <c:v>239.47213608399557</c:v>
                </c:pt>
                <c:pt idx="382">
                  <c:v>237.47594500004985</c:v>
                </c:pt>
                <c:pt idx="383">
                  <c:v>212.52255935228484</c:v>
                </c:pt>
                <c:pt idx="384">
                  <c:v>216.21780618400453</c:v>
                </c:pt>
                <c:pt idx="385">
                  <c:v>199.89430756498589</c:v>
                </c:pt>
                <c:pt idx="386">
                  <c:v>203.92757076906202</c:v>
                </c:pt>
                <c:pt idx="387">
                  <c:v>198.62500124637305</c:v>
                </c:pt>
                <c:pt idx="388">
                  <c:v>202.29731481389155</c:v>
                </c:pt>
                <c:pt idx="389">
                  <c:v>209.00080764973924</c:v>
                </c:pt>
                <c:pt idx="390">
                  <c:v>205.46908496275836</c:v>
                </c:pt>
                <c:pt idx="391">
                  <c:v>196.57596394492026</c:v>
                </c:pt>
                <c:pt idx="392">
                  <c:v>208.44342961980635</c:v>
                </c:pt>
                <c:pt idx="393">
                  <c:v>210.62408391580502</c:v>
                </c:pt>
                <c:pt idx="394">
                  <c:v>214.8497871194823</c:v>
                </c:pt>
                <c:pt idx="395">
                  <c:v>220.95701508609943</c:v>
                </c:pt>
                <c:pt idx="396">
                  <c:v>229.65669900589282</c:v>
                </c:pt>
                <c:pt idx="397">
                  <c:v>217.09425571586681</c:v>
                </c:pt>
                <c:pt idx="398">
                  <c:v>213.43789572344477</c:v>
                </c:pt>
                <c:pt idx="399">
                  <c:v>214.51077364868232</c:v>
                </c:pt>
                <c:pt idx="400">
                  <c:v>225.12688077693912</c:v>
                </c:pt>
                <c:pt idx="401">
                  <c:v>224.57648243611092</c:v>
                </c:pt>
                <c:pt idx="402">
                  <c:v>232.06469174701616</c:v>
                </c:pt>
                <c:pt idx="403">
                  <c:v>238.0293346362086</c:v>
                </c:pt>
                <c:pt idx="404">
                  <c:v>240.65369773957784</c:v>
                </c:pt>
                <c:pt idx="405">
                  <c:v>245.33008943973039</c:v>
                </c:pt>
                <c:pt idx="406">
                  <c:v>249.50693481967471</c:v>
                </c:pt>
                <c:pt idx="407">
                  <c:v>248.23762850106186</c:v>
                </c:pt>
                <c:pt idx="408">
                  <c:v>250.35945398889231</c:v>
                </c:pt>
                <c:pt idx="409">
                  <c:v>258.2504910709834</c:v>
                </c:pt>
                <c:pt idx="410">
                  <c:v>247.49080176685843</c:v>
                </c:pt>
                <c:pt idx="411">
                  <c:v>246.25539679532557</c:v>
                </c:pt>
                <c:pt idx="412">
                  <c:v>241.11535431893188</c:v>
                </c:pt>
                <c:pt idx="413">
                  <c:v>249.91075968930409</c:v>
                </c:pt>
                <c:pt idx="414">
                  <c:v>248.24061979639245</c:v>
                </c:pt>
                <c:pt idx="415">
                  <c:v>246.9274411462643</c:v>
                </c:pt>
                <c:pt idx="416">
                  <c:v>250.46115803013222</c:v>
                </c:pt>
                <c:pt idx="417">
                  <c:v>254.92815905714357</c:v>
                </c:pt>
                <c:pt idx="418">
                  <c:v>253.13537605567782</c:v>
                </c:pt>
                <c:pt idx="419">
                  <c:v>253.31385667706959</c:v>
                </c:pt>
                <c:pt idx="420">
                  <c:v>255.04581667348003</c:v>
                </c:pt>
                <c:pt idx="421">
                  <c:v>258.03412070873742</c:v>
                </c:pt>
                <c:pt idx="422">
                  <c:v>262.15512857584412</c:v>
                </c:pt>
                <c:pt idx="423">
                  <c:v>260.57373044440664</c:v>
                </c:pt>
                <c:pt idx="424">
                  <c:v>262.98172318552992</c:v>
                </c:pt>
                <c:pt idx="425">
                  <c:v>257.72801148657391</c:v>
                </c:pt>
                <c:pt idx="426">
                  <c:v>264.65884276754622</c:v>
                </c:pt>
                <c:pt idx="427">
                  <c:v>258.63337687329852</c:v>
                </c:pt>
                <c:pt idx="428">
                  <c:v>252.90305211833544</c:v>
                </c:pt>
                <c:pt idx="429">
                  <c:v>259.61252754484428</c:v>
                </c:pt>
                <c:pt idx="430">
                  <c:v>267.66509457478713</c:v>
                </c:pt>
                <c:pt idx="431">
                  <c:v>266.24422929275784</c:v>
                </c:pt>
                <c:pt idx="432">
                  <c:v>265.17533976129437</c:v>
                </c:pt>
                <c:pt idx="433">
                  <c:v>273.33160502936425</c:v>
                </c:pt>
                <c:pt idx="434">
                  <c:v>276.86133351945807</c:v>
                </c:pt>
                <c:pt idx="435">
                  <c:v>272.57181601539492</c:v>
                </c:pt>
                <c:pt idx="436">
                  <c:v>269.37711260232697</c:v>
                </c:pt>
                <c:pt idx="437">
                  <c:v>268.68811757784817</c:v>
                </c:pt>
                <c:pt idx="438">
                  <c:v>272.82807031538192</c:v>
                </c:pt>
                <c:pt idx="439">
                  <c:v>274.6009113479771</c:v>
                </c:pt>
                <c:pt idx="440">
                  <c:v>271.06918866099619</c:v>
                </c:pt>
                <c:pt idx="441">
                  <c:v>271.73126202749961</c:v>
                </c:pt>
                <c:pt idx="442">
                  <c:v>269.74005643577158</c:v>
                </c:pt>
                <c:pt idx="443">
                  <c:v>279.96031548194725</c:v>
                </c:pt>
                <c:pt idx="444">
                  <c:v>280.4409169317284</c:v>
                </c:pt>
                <c:pt idx="445">
                  <c:v>279.04198781545671</c:v>
                </c:pt>
                <c:pt idx="446">
                  <c:v>284.02847713154694</c:v>
                </c:pt>
                <c:pt idx="447">
                  <c:v>282.50790200516468</c:v>
                </c:pt>
                <c:pt idx="448">
                  <c:v>259.2605517942784</c:v>
                </c:pt>
                <c:pt idx="449">
                  <c:v>256.40785314734097</c:v>
                </c:pt>
                <c:pt idx="450">
                  <c:v>248.29346601389929</c:v>
                </c:pt>
                <c:pt idx="451">
                  <c:v>255.74378558395046</c:v>
                </c:pt>
                <c:pt idx="452">
                  <c:v>266.03583571806018</c:v>
                </c:pt>
                <c:pt idx="453">
                  <c:v>257.54953086518208</c:v>
                </c:pt>
                <c:pt idx="454">
                  <c:v>255.60219760496935</c:v>
                </c:pt>
                <c:pt idx="455">
                  <c:v>235.23945319121339</c:v>
                </c:pt>
                <c:pt idx="456">
                  <c:v>239.79021048748129</c:v>
                </c:pt>
                <c:pt idx="457">
                  <c:v>245.27325482844907</c:v>
                </c:pt>
                <c:pt idx="458">
                  <c:v>256.78176506366464</c:v>
                </c:pt>
                <c:pt idx="459">
                  <c:v>255.16746268359066</c:v>
                </c:pt>
                <c:pt idx="460">
                  <c:v>265.20525271460042</c:v>
                </c:pt>
                <c:pt idx="461">
                  <c:v>254.95308651823183</c:v>
                </c:pt>
                <c:pt idx="462">
                  <c:v>253.88319988832487</c:v>
                </c:pt>
                <c:pt idx="463">
                  <c:v>244.85547058061033</c:v>
                </c:pt>
                <c:pt idx="464">
                  <c:v>230.59995413347153</c:v>
                </c:pt>
                <c:pt idx="465">
                  <c:v>250.06530994805109</c:v>
                </c:pt>
                <c:pt idx="466">
                  <c:v>247.13683181940547</c:v>
                </c:pt>
                <c:pt idx="467">
                  <c:v>241.00268219481305</c:v>
                </c:pt>
                <c:pt idx="468">
                  <c:v>241.74452343679889</c:v>
                </c:pt>
                <c:pt idx="469">
                  <c:v>242.51627763209055</c:v>
                </c:pt>
                <c:pt idx="470">
                  <c:v>242.61798167333055</c:v>
                </c:pt>
                <c:pt idx="471">
                  <c:v>247.03911617193961</c:v>
                </c:pt>
                <c:pt idx="472">
                  <c:v>256.22239283684473</c:v>
                </c:pt>
                <c:pt idx="473">
                  <c:v>263.10536339252769</c:v>
                </c:pt>
                <c:pt idx="474">
                  <c:v>265.25610473522045</c:v>
                </c:pt>
                <c:pt idx="475">
                  <c:v>263.26789043882297</c:v>
                </c:pt>
                <c:pt idx="476">
                  <c:v>265.2660757196557</c:v>
                </c:pt>
                <c:pt idx="477">
                  <c:v>270.3153822376882</c:v>
                </c:pt>
                <c:pt idx="478">
                  <c:v>266.30604939625675</c:v>
                </c:pt>
                <c:pt idx="479">
                  <c:v>266.41074473282737</c:v>
                </c:pt>
                <c:pt idx="480">
                  <c:v>272.65357808776446</c:v>
                </c:pt>
                <c:pt idx="481">
                  <c:v>270.9315890757893</c:v>
                </c:pt>
                <c:pt idx="482">
                  <c:v>274.21204295500081</c:v>
                </c:pt>
                <c:pt idx="483">
                  <c:v>271.66944192400103</c:v>
                </c:pt>
                <c:pt idx="484">
                  <c:v>274.14224606395379</c:v>
                </c:pt>
                <c:pt idx="485">
                  <c:v>278.22835548553695</c:v>
                </c:pt>
                <c:pt idx="486">
                  <c:v>283.81410096618822</c:v>
                </c:pt>
                <c:pt idx="487">
                  <c:v>278.06582843924161</c:v>
                </c:pt>
                <c:pt idx="488">
                  <c:v>270.97745560419162</c:v>
                </c:pt>
                <c:pt idx="489">
                  <c:v>254.67689024937414</c:v>
                </c:pt>
                <c:pt idx="490">
                  <c:v>252.70064113429902</c:v>
                </c:pt>
                <c:pt idx="491">
                  <c:v>251.56494600711909</c:v>
                </c:pt>
                <c:pt idx="492">
                  <c:v>255.51046454816466</c:v>
                </c:pt>
                <c:pt idx="493">
                  <c:v>257.48771076168327</c:v>
                </c:pt>
                <c:pt idx="494">
                  <c:v>259.72320547207602</c:v>
                </c:pt>
                <c:pt idx="495">
                  <c:v>268.1466931230118</c:v>
                </c:pt>
                <c:pt idx="496">
                  <c:v>266.50247778963194</c:v>
                </c:pt>
                <c:pt idx="497">
                  <c:v>272.49404233679968</c:v>
                </c:pt>
                <c:pt idx="498">
                  <c:v>279.25636398081559</c:v>
                </c:pt>
                <c:pt idx="499">
                  <c:v>285.72454158399034</c:v>
                </c:pt>
                <c:pt idx="500">
                  <c:v>287.22318054461499</c:v>
                </c:pt>
                <c:pt idx="501">
                  <c:v>284.23886490313168</c:v>
                </c:pt>
                <c:pt idx="502">
                  <c:v>286.11141578007977</c:v>
                </c:pt>
                <c:pt idx="503">
                  <c:v>294.96066446640253</c:v>
                </c:pt>
                <c:pt idx="504">
                  <c:v>293.07216001435796</c:v>
                </c:pt>
                <c:pt idx="505">
                  <c:v>295.70150860994477</c:v>
                </c:pt>
                <c:pt idx="506">
                  <c:v>301.76087585127254</c:v>
                </c:pt>
                <c:pt idx="507">
                  <c:v>299.17639668564453</c:v>
                </c:pt>
                <c:pt idx="508">
                  <c:v>297.32578197445412</c:v>
                </c:pt>
                <c:pt idx="509">
                  <c:v>299.36285409458458</c:v>
                </c:pt>
                <c:pt idx="510">
                  <c:v>295.94779192549663</c:v>
                </c:pt>
                <c:pt idx="511">
                  <c:v>303.87671874844182</c:v>
                </c:pt>
                <c:pt idx="512">
                  <c:v>302.4618360570737</c:v>
                </c:pt>
                <c:pt idx="513">
                  <c:v>302.44687958042073</c:v>
                </c:pt>
                <c:pt idx="514">
                  <c:v>303.34327108115366</c:v>
                </c:pt>
                <c:pt idx="515">
                  <c:v>297.28390383982588</c:v>
                </c:pt>
                <c:pt idx="516">
                  <c:v>306.49210796581929</c:v>
                </c:pt>
                <c:pt idx="517">
                  <c:v>311.31806443250122</c:v>
                </c:pt>
                <c:pt idx="518">
                  <c:v>317.11220348785019</c:v>
                </c:pt>
                <c:pt idx="519">
                  <c:v>320.45746876589106</c:v>
                </c:pt>
                <c:pt idx="520">
                  <c:v>317.3395419329749</c:v>
                </c:pt>
                <c:pt idx="521">
                  <c:v>316.86392597541141</c:v>
                </c:pt>
                <c:pt idx="522">
                  <c:v>322.51647705177919</c:v>
                </c:pt>
                <c:pt idx="523">
                  <c:v>321.37180803860753</c:v>
                </c:pt>
                <c:pt idx="524">
                  <c:v>321.97505259694276</c:v>
                </c:pt>
                <c:pt idx="525">
                  <c:v>328.88693900748808</c:v>
                </c:pt>
                <c:pt idx="526">
                  <c:v>334.11971163913</c:v>
                </c:pt>
                <c:pt idx="527">
                  <c:v>329.37152885104337</c:v>
                </c:pt>
                <c:pt idx="528">
                  <c:v>329.37452014637392</c:v>
                </c:pt>
                <c:pt idx="529">
                  <c:v>330.25994356422797</c:v>
                </c:pt>
                <c:pt idx="530">
                  <c:v>330.75051599844443</c:v>
                </c:pt>
                <c:pt idx="531">
                  <c:v>333.15352324735005</c:v>
                </c:pt>
                <c:pt idx="532">
                  <c:v>328.38340429350575</c:v>
                </c:pt>
                <c:pt idx="533">
                  <c:v>329.95782273583853</c:v>
                </c:pt>
                <c:pt idx="534">
                  <c:v>335.05299578227346</c:v>
                </c:pt>
                <c:pt idx="535">
                  <c:v>338.76020779531552</c:v>
                </c:pt>
                <c:pt idx="536">
                  <c:v>343.35782871842929</c:v>
                </c:pt>
                <c:pt idx="537">
                  <c:v>335.99026831919105</c:v>
                </c:pt>
                <c:pt idx="538">
                  <c:v>335.50767267252286</c:v>
                </c:pt>
                <c:pt idx="539">
                  <c:v>343.52035576472451</c:v>
                </c:pt>
                <c:pt idx="540">
                  <c:v>341.34668115783057</c:v>
                </c:pt>
                <c:pt idx="541">
                  <c:v>336.28939785224981</c:v>
                </c:pt>
                <c:pt idx="542">
                  <c:v>335.88756717950753</c:v>
                </c:pt>
                <c:pt idx="543">
                  <c:v>332.47848760108076</c:v>
                </c:pt>
                <c:pt idx="544">
                  <c:v>328.15706294682462</c:v>
                </c:pt>
                <c:pt idx="545">
                  <c:v>329.25885672692459</c:v>
                </c:pt>
                <c:pt idx="546">
                  <c:v>317.03542690769854</c:v>
                </c:pt>
                <c:pt idx="547">
                  <c:v>329.66467579344101</c:v>
                </c:pt>
                <c:pt idx="548">
                  <c:v>326.69332243172363</c:v>
                </c:pt>
                <c:pt idx="549">
                  <c:v>339.05136054082612</c:v>
                </c:pt>
                <c:pt idx="550">
                  <c:v>346.51165109531252</c:v>
                </c:pt>
                <c:pt idx="551">
                  <c:v>352.87912175569085</c:v>
                </c:pt>
                <c:pt idx="552">
                  <c:v>357.81077065738691</c:v>
                </c:pt>
                <c:pt idx="553">
                  <c:v>363.68966308043582</c:v>
                </c:pt>
                <c:pt idx="554">
                  <c:v>362.65966038827003</c:v>
                </c:pt>
                <c:pt idx="555">
                  <c:v>355.73281750107179</c:v>
                </c:pt>
                <c:pt idx="556">
                  <c:v>342.0935078920341</c:v>
                </c:pt>
                <c:pt idx="557">
                  <c:v>348.90668155666998</c:v>
                </c:pt>
                <c:pt idx="558">
                  <c:v>359.45000049854917</c:v>
                </c:pt>
                <c:pt idx="559">
                  <c:v>372.12611301113759</c:v>
                </c:pt>
                <c:pt idx="560">
                  <c:v>372.05631612009051</c:v>
                </c:pt>
                <c:pt idx="561">
                  <c:v>377.00391859688307</c:v>
                </c:pt>
                <c:pt idx="562">
                  <c:v>384.03146842687772</c:v>
                </c:pt>
                <c:pt idx="563">
                  <c:v>391.00617203936537</c:v>
                </c:pt>
                <c:pt idx="564">
                  <c:v>395.00154550258736</c:v>
                </c:pt>
                <c:pt idx="565">
                  <c:v>387.79052955898322</c:v>
                </c:pt>
                <c:pt idx="566">
                  <c:v>378.86350719406511</c:v>
                </c:pt>
                <c:pt idx="567">
                  <c:v>388.547327277622</c:v>
                </c:pt>
                <c:pt idx="568">
                  <c:v>380.93846905504961</c:v>
                </c:pt>
                <c:pt idx="569">
                  <c:v>391.5625529708546</c:v>
                </c:pt>
                <c:pt idx="570">
                  <c:v>392.59056146613329</c:v>
                </c:pt>
                <c:pt idx="571">
                  <c:v>388.38878862510074</c:v>
                </c:pt>
                <c:pt idx="572">
                  <c:v>389.87546240440298</c:v>
                </c:pt>
                <c:pt idx="573">
                  <c:v>391.14975421523343</c:v>
                </c:pt>
                <c:pt idx="574">
                  <c:v>385.6018984754362</c:v>
                </c:pt>
                <c:pt idx="575">
                  <c:v>387.46846676172311</c:v>
                </c:pt>
                <c:pt idx="576">
                  <c:v>384.99665972021387</c:v>
                </c:pt>
                <c:pt idx="577">
                  <c:v>386.17124168669136</c:v>
                </c:pt>
                <c:pt idx="578">
                  <c:v>383.95768314205628</c:v>
                </c:pt>
                <c:pt idx="579">
                  <c:v>387.26306448235601</c:v>
                </c:pt>
                <c:pt idx="580">
                  <c:v>393.0223050921814</c:v>
                </c:pt>
                <c:pt idx="581">
                  <c:v>392.7760217766297</c:v>
                </c:pt>
                <c:pt idx="582">
                  <c:v>405.21582195810157</c:v>
                </c:pt>
                <c:pt idx="583">
                  <c:v>413.62535023082791</c:v>
                </c:pt>
                <c:pt idx="584">
                  <c:v>411.11266215313401</c:v>
                </c:pt>
                <c:pt idx="585">
                  <c:v>414.91160722298065</c:v>
                </c:pt>
                <c:pt idx="586">
                  <c:v>420.42456451725434</c:v>
                </c:pt>
                <c:pt idx="587">
                  <c:v>425.03813901546459</c:v>
                </c:pt>
                <c:pt idx="588">
                  <c:v>419.41151249862855</c:v>
                </c:pt>
                <c:pt idx="589">
                  <c:v>418.02554566212279</c:v>
                </c:pt>
                <c:pt idx="590">
                  <c:v>419.8990936375144</c:v>
                </c:pt>
                <c:pt idx="591">
                  <c:v>425.75405569791866</c:v>
                </c:pt>
                <c:pt idx="592">
                  <c:v>427.71235704101019</c:v>
                </c:pt>
                <c:pt idx="593">
                  <c:v>425.54267082789045</c:v>
                </c:pt>
                <c:pt idx="594">
                  <c:v>426.25459911657032</c:v>
                </c:pt>
                <c:pt idx="595">
                  <c:v>431.22912325133814</c:v>
                </c:pt>
                <c:pt idx="596">
                  <c:v>436.77299059736117</c:v>
                </c:pt>
                <c:pt idx="597">
                  <c:v>434.35702106868968</c:v>
                </c:pt>
                <c:pt idx="598">
                  <c:v>436.92554665922125</c:v>
                </c:pt>
                <c:pt idx="599">
                  <c:v>434.18950853017674</c:v>
                </c:pt>
                <c:pt idx="600">
                  <c:v>440.21597152286802</c:v>
                </c:pt>
                <c:pt idx="601">
                  <c:v>434.22041858192614</c:v>
                </c:pt>
                <c:pt idx="602">
                  <c:v>440.3505798127444</c:v>
                </c:pt>
                <c:pt idx="603">
                  <c:v>442.0915136951466</c:v>
                </c:pt>
                <c:pt idx="604">
                  <c:v>437.5437476942094</c:v>
                </c:pt>
                <c:pt idx="605">
                  <c:v>426.82593652471269</c:v>
                </c:pt>
                <c:pt idx="606">
                  <c:v>438.73428323578344</c:v>
                </c:pt>
                <c:pt idx="607">
                  <c:v>443.61009462464187</c:v>
                </c:pt>
                <c:pt idx="608">
                  <c:v>447.61743326918617</c:v>
                </c:pt>
                <c:pt idx="609">
                  <c:v>461.56684049416157</c:v>
                </c:pt>
                <c:pt idx="610">
                  <c:v>448.87477440647677</c:v>
                </c:pt>
                <c:pt idx="611">
                  <c:v>438.07619826305415</c:v>
                </c:pt>
                <c:pt idx="612">
                  <c:v>430.14428014477829</c:v>
                </c:pt>
                <c:pt idx="613">
                  <c:v>426.54076636986326</c:v>
                </c:pt>
                <c:pt idx="614">
                  <c:v>413.46581447986313</c:v>
                </c:pt>
                <c:pt idx="615">
                  <c:v>413.85567997128317</c:v>
                </c:pt>
                <c:pt idx="616">
                  <c:v>423.15262585875064</c:v>
                </c:pt>
                <c:pt idx="617">
                  <c:v>430.49127040312641</c:v>
                </c:pt>
                <c:pt idx="618">
                  <c:v>430.88013879610287</c:v>
                </c:pt>
                <c:pt idx="619">
                  <c:v>435.56749857913422</c:v>
                </c:pt>
                <c:pt idx="620">
                  <c:v>437.33335992262471</c:v>
                </c:pt>
                <c:pt idx="621">
                  <c:v>435.44684966746718</c:v>
                </c:pt>
                <c:pt idx="622">
                  <c:v>437.16485028566819</c:v>
                </c:pt>
                <c:pt idx="623">
                  <c:v>433.00794687459444</c:v>
                </c:pt>
                <c:pt idx="624">
                  <c:v>437.8069816833011</c:v>
                </c:pt>
                <c:pt idx="625">
                  <c:v>444.88737773080283</c:v>
                </c:pt>
                <c:pt idx="626">
                  <c:v>434.17754334885433</c:v>
                </c:pt>
                <c:pt idx="627">
                  <c:v>445.07981773040405</c:v>
                </c:pt>
                <c:pt idx="628">
                  <c:v>459.11098702774876</c:v>
                </c:pt>
                <c:pt idx="629">
                  <c:v>458.13781894686412</c:v>
                </c:pt>
                <c:pt idx="630">
                  <c:v>450.17399367839539</c:v>
                </c:pt>
                <c:pt idx="631">
                  <c:v>453.34277253193153</c:v>
                </c:pt>
                <c:pt idx="632">
                  <c:v>455.91628361468082</c:v>
                </c:pt>
                <c:pt idx="633">
                  <c:v>456.92933563330666</c:v>
                </c:pt>
                <c:pt idx="634">
                  <c:v>464.81638432162356</c:v>
                </c:pt>
                <c:pt idx="635">
                  <c:v>453.29192051131156</c:v>
                </c:pt>
                <c:pt idx="636">
                  <c:v>456.00901376992897</c:v>
                </c:pt>
                <c:pt idx="637">
                  <c:v>479.49666470570583</c:v>
                </c:pt>
                <c:pt idx="638">
                  <c:v>486.82932665942053</c:v>
                </c:pt>
                <c:pt idx="639">
                  <c:v>493.80702156723873</c:v>
                </c:pt>
                <c:pt idx="640">
                  <c:v>500.74882093108999</c:v>
                </c:pt>
                <c:pt idx="641">
                  <c:v>492.42304892762007</c:v>
                </c:pt>
                <c:pt idx="642">
                  <c:v>506.69551604829883</c:v>
                </c:pt>
                <c:pt idx="643">
                  <c:v>493.31345783769166</c:v>
                </c:pt>
                <c:pt idx="644">
                  <c:v>496.22997078501498</c:v>
                </c:pt>
                <c:pt idx="645">
                  <c:v>506.81616495996582</c:v>
                </c:pt>
                <c:pt idx="646">
                  <c:v>510.48349303526669</c:v>
                </c:pt>
                <c:pt idx="647">
                  <c:v>505.26069138806014</c:v>
                </c:pt>
                <c:pt idx="648">
                  <c:v>492.48088063734468</c:v>
                </c:pt>
                <c:pt idx="649">
                  <c:v>496.20604042237017</c:v>
                </c:pt>
                <c:pt idx="650">
                  <c:v>488.26514841810257</c:v>
                </c:pt>
                <c:pt idx="651">
                  <c:v>485.26487920152294</c:v>
                </c:pt>
                <c:pt idx="652">
                  <c:v>485.02956396884997</c:v>
                </c:pt>
                <c:pt idx="653">
                  <c:v>483.93076148408068</c:v>
                </c:pt>
                <c:pt idx="654">
                  <c:v>494.10315980496682</c:v>
                </c:pt>
                <c:pt idx="655">
                  <c:v>496.36457907489137</c:v>
                </c:pt>
                <c:pt idx="656">
                  <c:v>500.86847274431335</c:v>
                </c:pt>
                <c:pt idx="657">
                  <c:v>503.489844552352</c:v>
                </c:pt>
                <c:pt idx="658">
                  <c:v>504.64647874684596</c:v>
                </c:pt>
                <c:pt idx="659">
                  <c:v>485.87310925207578</c:v>
                </c:pt>
                <c:pt idx="660">
                  <c:v>486.9310307006603</c:v>
                </c:pt>
                <c:pt idx="661">
                  <c:v>467.1924699125538</c:v>
                </c:pt>
                <c:pt idx="662">
                  <c:v>476.10453580081884</c:v>
                </c:pt>
                <c:pt idx="663">
                  <c:v>486.58703173764263</c:v>
                </c:pt>
                <c:pt idx="664">
                  <c:v>475.44744792653302</c:v>
                </c:pt>
                <c:pt idx="665">
                  <c:v>484.21593163892987</c:v>
                </c:pt>
                <c:pt idx="666">
                  <c:v>500.88542341785325</c:v>
                </c:pt>
                <c:pt idx="667">
                  <c:v>516.25469882641426</c:v>
                </c:pt>
                <c:pt idx="668">
                  <c:v>516.06923851591785</c:v>
                </c:pt>
                <c:pt idx="669">
                  <c:v>516.32050732368714</c:v>
                </c:pt>
                <c:pt idx="670">
                  <c:v>510.78760806054294</c:v>
                </c:pt>
                <c:pt idx="671">
                  <c:v>502.96138237728127</c:v>
                </c:pt>
                <c:pt idx="672">
                  <c:v>515.33836535681075</c:v>
                </c:pt>
                <c:pt idx="673">
                  <c:v>502.38107108314716</c:v>
                </c:pt>
                <c:pt idx="674">
                  <c:v>503.58756019981763</c:v>
                </c:pt>
                <c:pt idx="675">
                  <c:v>496.22897368657118</c:v>
                </c:pt>
                <c:pt idx="676">
                  <c:v>504.40218962818108</c:v>
                </c:pt>
                <c:pt idx="677">
                  <c:v>503.8298551215953</c:v>
                </c:pt>
                <c:pt idx="678">
                  <c:v>504.46301263323647</c:v>
                </c:pt>
                <c:pt idx="679">
                  <c:v>477.03383155018815</c:v>
                </c:pt>
                <c:pt idx="680">
                  <c:v>459.99042785494134</c:v>
                </c:pt>
                <c:pt idx="681">
                  <c:v>469.19364648871704</c:v>
                </c:pt>
                <c:pt idx="682">
                  <c:v>479.8994924768914</c:v>
                </c:pt>
                <c:pt idx="683">
                  <c:v>476.51833165488347</c:v>
                </c:pt>
                <c:pt idx="684">
                  <c:v>462.41636836804815</c:v>
                </c:pt>
                <c:pt idx="685">
                  <c:v>489.26922655073651</c:v>
                </c:pt>
                <c:pt idx="686">
                  <c:v>488.27910779631185</c:v>
                </c:pt>
                <c:pt idx="687">
                  <c:v>501.4946505668496</c:v>
                </c:pt>
                <c:pt idx="688">
                  <c:v>515.61157033033783</c:v>
                </c:pt>
                <c:pt idx="689">
                  <c:v>528.61871952617798</c:v>
                </c:pt>
                <c:pt idx="690">
                  <c:v>523.74290813731966</c:v>
                </c:pt>
                <c:pt idx="691">
                  <c:v>529.00958211604154</c:v>
                </c:pt>
                <c:pt idx="692">
                  <c:v>541.90904467998041</c:v>
                </c:pt>
                <c:pt idx="693">
                  <c:v>546.53259016262587</c:v>
                </c:pt>
                <c:pt idx="694">
                  <c:v>537.99742748601489</c:v>
                </c:pt>
                <c:pt idx="695">
                  <c:v>556.19646827731219</c:v>
                </c:pt>
                <c:pt idx="696">
                  <c:v>548.60755202361054</c:v>
                </c:pt>
                <c:pt idx="697">
                  <c:v>545.90042974942844</c:v>
                </c:pt>
                <c:pt idx="698">
                  <c:v>543.4665124487733</c:v>
                </c:pt>
                <c:pt idx="699">
                  <c:v>544.46061959697204</c:v>
                </c:pt>
                <c:pt idx="700">
                  <c:v>543.62405400285104</c:v>
                </c:pt>
                <c:pt idx="701">
                  <c:v>542.64191203597454</c:v>
                </c:pt>
                <c:pt idx="702">
                  <c:v>533.07574956875419</c:v>
                </c:pt>
                <c:pt idx="703">
                  <c:v>521.40570938568681</c:v>
                </c:pt>
                <c:pt idx="704">
                  <c:v>544.1933972141062</c:v>
                </c:pt>
                <c:pt idx="705">
                  <c:v>549.71333419748453</c:v>
                </c:pt>
                <c:pt idx="706">
                  <c:v>553.62893978522413</c:v>
                </c:pt>
                <c:pt idx="707">
                  <c:v>565.28900898385621</c:v>
                </c:pt>
                <c:pt idx="708">
                  <c:v>579.07987755631029</c:v>
                </c:pt>
                <c:pt idx="709">
                  <c:v>567.76480441913952</c:v>
                </c:pt>
                <c:pt idx="710">
                  <c:v>578.56138636567505</c:v>
                </c:pt>
                <c:pt idx="711">
                  <c:v>581.27050283674419</c:v>
                </c:pt>
                <c:pt idx="712">
                  <c:v>574.08042596045425</c:v>
                </c:pt>
                <c:pt idx="713">
                  <c:v>573.34556440757319</c:v>
                </c:pt>
                <c:pt idx="714">
                  <c:v>569.10590182568637</c:v>
                </c:pt>
                <c:pt idx="715">
                  <c:v>545.6770796980777</c:v>
                </c:pt>
                <c:pt idx="716">
                  <c:v>560.73825168758822</c:v>
                </c:pt>
                <c:pt idx="717">
                  <c:v>564.50628670568551</c:v>
                </c:pt>
                <c:pt idx="718">
                  <c:v>545.27425192689179</c:v>
                </c:pt>
                <c:pt idx="719">
                  <c:v>545.8595487132435</c:v>
                </c:pt>
                <c:pt idx="720">
                  <c:v>558.02215552741427</c:v>
                </c:pt>
                <c:pt idx="721">
                  <c:v>549.14399098622914</c:v>
                </c:pt>
                <c:pt idx="722">
                  <c:v>539.79818727502868</c:v>
                </c:pt>
                <c:pt idx="723">
                  <c:v>506.58184682573625</c:v>
                </c:pt>
                <c:pt idx="724">
                  <c:v>508.94197884157012</c:v>
                </c:pt>
                <c:pt idx="725">
                  <c:v>515.17284701518497</c:v>
                </c:pt>
                <c:pt idx="726">
                  <c:v>506.43427625609394</c:v>
                </c:pt>
                <c:pt idx="727">
                  <c:v>518.3575794438176</c:v>
                </c:pt>
                <c:pt idx="728">
                  <c:v>521.08763498220083</c:v>
                </c:pt>
                <c:pt idx="729">
                  <c:v>516.40127229761299</c:v>
                </c:pt>
                <c:pt idx="730">
                  <c:v>514.51177074712496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59-4C94-BDB6-F57A146136EF}"/>
            </c:ext>
          </c:extLst>
        </c:ser>
        <c:ser>
          <c:idx val="8"/>
          <c:order val="8"/>
          <c:tx>
            <c:strRef>
              <c:f>Index!$X$1</c:f>
              <c:strCache>
                <c:ptCount val="1"/>
                <c:pt idx="0">
                  <c:v>Water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Index!$X$2:$X$732</c:f>
              <c:numCache>
                <c:formatCode>General</c:formatCode>
                <c:ptCount val="731"/>
                <c:pt idx="0">
                  <c:v>100</c:v>
                </c:pt>
                <c:pt idx="1">
                  <c:v>100.34954820642483</c:v>
                </c:pt>
                <c:pt idx="2">
                  <c:v>102.09426720794592</c:v>
                </c:pt>
                <c:pt idx="3">
                  <c:v>99.69074553494977</c:v>
                </c:pt>
                <c:pt idx="4">
                  <c:v>98.91609835702269</c:v>
                </c:pt>
                <c:pt idx="5">
                  <c:v>98.874797272113696</c:v>
                </c:pt>
                <c:pt idx="6">
                  <c:v>102.31588278550635</c:v>
                </c:pt>
                <c:pt idx="7">
                  <c:v>101.49288311792969</c:v>
                </c:pt>
                <c:pt idx="8">
                  <c:v>99.56382024961971</c:v>
                </c:pt>
                <c:pt idx="9">
                  <c:v>98.891922112197918</c:v>
                </c:pt>
                <c:pt idx="10">
                  <c:v>99.384513100502673</c:v>
                </c:pt>
                <c:pt idx="11">
                  <c:v>101.88876912693537</c:v>
                </c:pt>
                <c:pt idx="12">
                  <c:v>101.94719505192856</c:v>
                </c:pt>
                <c:pt idx="13">
                  <c:v>104.34668735078722</c:v>
                </c:pt>
                <c:pt idx="14">
                  <c:v>104.07470459650855</c:v>
                </c:pt>
                <c:pt idx="15">
                  <c:v>104.36079016026835</c:v>
                </c:pt>
                <c:pt idx="16">
                  <c:v>103.06333168800556</c:v>
                </c:pt>
                <c:pt idx="17">
                  <c:v>103.31113819745947</c:v>
                </c:pt>
                <c:pt idx="18">
                  <c:v>102.92028890612566</c:v>
                </c:pt>
                <c:pt idx="19">
                  <c:v>106.2001994540198</c:v>
                </c:pt>
                <c:pt idx="20">
                  <c:v>106.52960078975732</c:v>
                </c:pt>
                <c:pt idx="21">
                  <c:v>107.44527606249558</c:v>
                </c:pt>
                <c:pt idx="22">
                  <c:v>108.27935650895026</c:v>
                </c:pt>
                <c:pt idx="23">
                  <c:v>109.28670004331579</c:v>
                </c:pt>
                <c:pt idx="24">
                  <c:v>109.95053943246265</c:v>
                </c:pt>
                <c:pt idx="25">
                  <c:v>106.61925436431586</c:v>
                </c:pt>
                <c:pt idx="26">
                  <c:v>105.99772340361233</c:v>
                </c:pt>
                <c:pt idx="27">
                  <c:v>104.6922061830746</c:v>
                </c:pt>
                <c:pt idx="28">
                  <c:v>100.63462642665027</c:v>
                </c:pt>
                <c:pt idx="29">
                  <c:v>102.56167460789152</c:v>
                </c:pt>
                <c:pt idx="30">
                  <c:v>99.502372294023417</c:v>
                </c:pt>
                <c:pt idx="31">
                  <c:v>98.201891791157536</c:v>
                </c:pt>
                <c:pt idx="32">
                  <c:v>97.259018242991402</c:v>
                </c:pt>
                <c:pt idx="33">
                  <c:v>95.012642161356283</c:v>
                </c:pt>
                <c:pt idx="34">
                  <c:v>94.762820964833637</c:v>
                </c:pt>
                <c:pt idx="35">
                  <c:v>95.391403330277726</c:v>
                </c:pt>
                <c:pt idx="36">
                  <c:v>97.132092957661342</c:v>
                </c:pt>
                <c:pt idx="37">
                  <c:v>99.220316104401064</c:v>
                </c:pt>
                <c:pt idx="38">
                  <c:v>100.6164942430317</c:v>
                </c:pt>
                <c:pt idx="39">
                  <c:v>100.41099616202112</c:v>
                </c:pt>
                <c:pt idx="40">
                  <c:v>100.36768039004342</c:v>
                </c:pt>
                <c:pt idx="41">
                  <c:v>102.15269313293913</c:v>
                </c:pt>
                <c:pt idx="42">
                  <c:v>103.86416979782615</c:v>
                </c:pt>
                <c:pt idx="43">
                  <c:v>104.71336039729628</c:v>
                </c:pt>
                <c:pt idx="44">
                  <c:v>105.71264518338688</c:v>
                </c:pt>
                <c:pt idx="45">
                  <c:v>106.30294849452507</c:v>
                </c:pt>
                <c:pt idx="46">
                  <c:v>108.47377381108278</c:v>
                </c:pt>
                <c:pt idx="47">
                  <c:v>111.02235295302759</c:v>
                </c:pt>
                <c:pt idx="48">
                  <c:v>112.08107100764576</c:v>
                </c:pt>
                <c:pt idx="49">
                  <c:v>115.49898761974798</c:v>
                </c:pt>
                <c:pt idx="50">
                  <c:v>115.56849432361921</c:v>
                </c:pt>
                <c:pt idx="51">
                  <c:v>116.13965810760448</c:v>
                </c:pt>
                <c:pt idx="52">
                  <c:v>118.97633750037777</c:v>
                </c:pt>
                <c:pt idx="53">
                  <c:v>118.35984325734607</c:v>
                </c:pt>
                <c:pt idx="54">
                  <c:v>114.29924147031863</c:v>
                </c:pt>
                <c:pt idx="55">
                  <c:v>116.6936970515055</c:v>
                </c:pt>
                <c:pt idx="56">
                  <c:v>115.35896686847117</c:v>
                </c:pt>
                <c:pt idx="57">
                  <c:v>116.9687018363873</c:v>
                </c:pt>
                <c:pt idx="58">
                  <c:v>121.04239908936147</c:v>
                </c:pt>
                <c:pt idx="59">
                  <c:v>122.43454785385464</c:v>
                </c:pt>
                <c:pt idx="60">
                  <c:v>122.41540832670169</c:v>
                </c:pt>
                <c:pt idx="61">
                  <c:v>122.70854529520206</c:v>
                </c:pt>
                <c:pt idx="62">
                  <c:v>119.78724904554203</c:v>
                </c:pt>
                <c:pt idx="63">
                  <c:v>121.85734000866317</c:v>
                </c:pt>
                <c:pt idx="64">
                  <c:v>118.39912965518631</c:v>
                </c:pt>
                <c:pt idx="65">
                  <c:v>123.72092554723939</c:v>
                </c:pt>
                <c:pt idx="66">
                  <c:v>124.02816532522087</c:v>
                </c:pt>
                <c:pt idx="67">
                  <c:v>123.19710690936931</c:v>
                </c:pt>
                <c:pt idx="68">
                  <c:v>122.61083297236858</c:v>
                </c:pt>
                <c:pt idx="69">
                  <c:v>121.46246134319188</c:v>
                </c:pt>
                <c:pt idx="70">
                  <c:v>125.8826847719878</c:v>
                </c:pt>
                <c:pt idx="71">
                  <c:v>123.58694885716875</c:v>
                </c:pt>
                <c:pt idx="72">
                  <c:v>124.88239264236282</c:v>
                </c:pt>
                <c:pt idx="73">
                  <c:v>128.47760171651339</c:v>
                </c:pt>
                <c:pt idx="74">
                  <c:v>130.39759849301407</c:v>
                </c:pt>
                <c:pt idx="75">
                  <c:v>129.25527092504359</c:v>
                </c:pt>
                <c:pt idx="76">
                  <c:v>129.26030764271542</c:v>
                </c:pt>
                <c:pt idx="77">
                  <c:v>128.48767515185705</c:v>
                </c:pt>
                <c:pt idx="78">
                  <c:v>126.19093189350366</c:v>
                </c:pt>
                <c:pt idx="79">
                  <c:v>129.0880518983389</c:v>
                </c:pt>
                <c:pt idx="80">
                  <c:v>130.3180183537992</c:v>
                </c:pt>
                <c:pt idx="81">
                  <c:v>125.79504588449798</c:v>
                </c:pt>
                <c:pt idx="82">
                  <c:v>125.04860432553312</c:v>
                </c:pt>
                <c:pt idx="83">
                  <c:v>129.27743248279961</c:v>
                </c:pt>
                <c:pt idx="84">
                  <c:v>132.26420606219341</c:v>
                </c:pt>
                <c:pt idx="85">
                  <c:v>130.85795448821912</c:v>
                </c:pt>
                <c:pt idx="86">
                  <c:v>132.5392108470752</c:v>
                </c:pt>
                <c:pt idx="87">
                  <c:v>133.23024851164993</c:v>
                </c:pt>
                <c:pt idx="88">
                  <c:v>133.32594614741464</c:v>
                </c:pt>
                <c:pt idx="89">
                  <c:v>133.32695349094899</c:v>
                </c:pt>
                <c:pt idx="90">
                  <c:v>134.93265908472765</c:v>
                </c:pt>
                <c:pt idx="91">
                  <c:v>137.43691511116032</c:v>
                </c:pt>
                <c:pt idx="92">
                  <c:v>136.67637074271434</c:v>
                </c:pt>
                <c:pt idx="93">
                  <c:v>138.3636711627766</c:v>
                </c:pt>
                <c:pt idx="94">
                  <c:v>141.29302616071158</c:v>
                </c:pt>
                <c:pt idx="95">
                  <c:v>144.44097470560385</c:v>
                </c:pt>
                <c:pt idx="96">
                  <c:v>146.69339484844517</c:v>
                </c:pt>
                <c:pt idx="97">
                  <c:v>142.15631956966286</c:v>
                </c:pt>
                <c:pt idx="98">
                  <c:v>142.06162927743247</c:v>
                </c:pt>
                <c:pt idx="99">
                  <c:v>148.13188141551913</c:v>
                </c:pt>
                <c:pt idx="100">
                  <c:v>158.2335223781366</c:v>
                </c:pt>
                <c:pt idx="101">
                  <c:v>160.12329884860634</c:v>
                </c:pt>
                <c:pt idx="102">
                  <c:v>163.12014586334377</c:v>
                </c:pt>
                <c:pt idx="103">
                  <c:v>164.17281985675572</c:v>
                </c:pt>
                <c:pt idx="104">
                  <c:v>164.92832750752987</c:v>
                </c:pt>
                <c:pt idx="105">
                  <c:v>160.27943709643296</c:v>
                </c:pt>
                <c:pt idx="106">
                  <c:v>160.70352872440083</c:v>
                </c:pt>
                <c:pt idx="107">
                  <c:v>161.33412577691365</c:v>
                </c:pt>
                <c:pt idx="108">
                  <c:v>158.99608143365126</c:v>
                </c:pt>
                <c:pt idx="109">
                  <c:v>164.47401557353098</c:v>
                </c:pt>
                <c:pt idx="110">
                  <c:v>163.26016661462052</c:v>
                </c:pt>
                <c:pt idx="111">
                  <c:v>163.98646130289808</c:v>
                </c:pt>
                <c:pt idx="112">
                  <c:v>160.55242719424601</c:v>
                </c:pt>
                <c:pt idx="113">
                  <c:v>160.89996071360213</c:v>
                </c:pt>
                <c:pt idx="114">
                  <c:v>157.6925789001823</c:v>
                </c:pt>
                <c:pt idx="115">
                  <c:v>157.48909550624046</c:v>
                </c:pt>
                <c:pt idx="116">
                  <c:v>157.19595853774007</c:v>
                </c:pt>
                <c:pt idx="117">
                  <c:v>160.45572221494689</c:v>
                </c:pt>
                <c:pt idx="118">
                  <c:v>165.27686837042029</c:v>
                </c:pt>
                <c:pt idx="119">
                  <c:v>167.21096795640213</c:v>
                </c:pt>
                <c:pt idx="120">
                  <c:v>167.66729457746973</c:v>
                </c:pt>
                <c:pt idx="121">
                  <c:v>168.97986320274802</c:v>
                </c:pt>
                <c:pt idx="122">
                  <c:v>170.06275750219095</c:v>
                </c:pt>
                <c:pt idx="123">
                  <c:v>167.04677096030056</c:v>
                </c:pt>
                <c:pt idx="124">
                  <c:v>166.40106375477228</c:v>
                </c:pt>
                <c:pt idx="125">
                  <c:v>170.1715506039024</c:v>
                </c:pt>
                <c:pt idx="126">
                  <c:v>169.57117385742055</c:v>
                </c:pt>
                <c:pt idx="127">
                  <c:v>170.86963967321773</c:v>
                </c:pt>
                <c:pt idx="128">
                  <c:v>171.10737274732799</c:v>
                </c:pt>
                <c:pt idx="129">
                  <c:v>169.88848707074573</c:v>
                </c:pt>
                <c:pt idx="130">
                  <c:v>169.97310392763242</c:v>
                </c:pt>
                <c:pt idx="131">
                  <c:v>164.11237924469381</c:v>
                </c:pt>
                <c:pt idx="132">
                  <c:v>162.47040928367798</c:v>
                </c:pt>
                <c:pt idx="133">
                  <c:v>161.93047314925809</c:v>
                </c:pt>
                <c:pt idx="134">
                  <c:v>166.66599510431041</c:v>
                </c:pt>
                <c:pt idx="135">
                  <c:v>166.67707588318842</c:v>
                </c:pt>
                <c:pt idx="136">
                  <c:v>170.04563266210675</c:v>
                </c:pt>
                <c:pt idx="137">
                  <c:v>166.15728661945585</c:v>
                </c:pt>
                <c:pt idx="138">
                  <c:v>168.44194175539687</c:v>
                </c:pt>
                <c:pt idx="139">
                  <c:v>175.23042983348611</c:v>
                </c:pt>
                <c:pt idx="140">
                  <c:v>180.34874233159735</c:v>
                </c:pt>
                <c:pt idx="141">
                  <c:v>176.28612585750119</c:v>
                </c:pt>
                <c:pt idx="142">
                  <c:v>174.13444006809644</c:v>
                </c:pt>
                <c:pt idx="143">
                  <c:v>173.96520635432302</c:v>
                </c:pt>
                <c:pt idx="144">
                  <c:v>170.65306081332915</c:v>
                </c:pt>
                <c:pt idx="145">
                  <c:v>164.37025918949138</c:v>
                </c:pt>
                <c:pt idx="146">
                  <c:v>162.429108198769</c:v>
                </c:pt>
                <c:pt idx="147">
                  <c:v>164.62410976015147</c:v>
                </c:pt>
                <c:pt idx="148">
                  <c:v>165.23455994197695</c:v>
                </c:pt>
                <c:pt idx="149">
                  <c:v>169.03728178420681</c:v>
                </c:pt>
                <c:pt idx="150">
                  <c:v>168.43690503772496</c:v>
                </c:pt>
                <c:pt idx="151">
                  <c:v>172.11068690755602</c:v>
                </c:pt>
                <c:pt idx="152">
                  <c:v>174.11832257154651</c:v>
                </c:pt>
                <c:pt idx="153">
                  <c:v>178.06710922625939</c:v>
                </c:pt>
                <c:pt idx="154">
                  <c:v>181.85572825900809</c:v>
                </c:pt>
                <c:pt idx="155">
                  <c:v>178.51436975551766</c:v>
                </c:pt>
                <c:pt idx="156">
                  <c:v>177.7598694482779</c:v>
                </c:pt>
                <c:pt idx="157">
                  <c:v>179.54991890884543</c:v>
                </c:pt>
                <c:pt idx="158">
                  <c:v>181.72074422540314</c:v>
                </c:pt>
                <c:pt idx="159">
                  <c:v>183.94294406221348</c:v>
                </c:pt>
                <c:pt idx="160">
                  <c:v>186.75746189723074</c:v>
                </c:pt>
                <c:pt idx="161">
                  <c:v>187.47469049369897</c:v>
                </c:pt>
                <c:pt idx="162">
                  <c:v>187.94209789364461</c:v>
                </c:pt>
                <c:pt idx="163">
                  <c:v>187.88367196865141</c:v>
                </c:pt>
                <c:pt idx="164">
                  <c:v>190.49067703558936</c:v>
                </c:pt>
                <c:pt idx="165">
                  <c:v>189.3533861852907</c:v>
                </c:pt>
                <c:pt idx="166">
                  <c:v>184.2985363298445</c:v>
                </c:pt>
                <c:pt idx="167">
                  <c:v>191.25525077817278</c:v>
                </c:pt>
                <c:pt idx="168">
                  <c:v>189.53370067794211</c:v>
                </c:pt>
                <c:pt idx="169">
                  <c:v>186.24371669470432</c:v>
                </c:pt>
                <c:pt idx="170">
                  <c:v>188.52736448711099</c:v>
                </c:pt>
                <c:pt idx="171">
                  <c:v>184.80220809702726</c:v>
                </c:pt>
                <c:pt idx="172">
                  <c:v>193.18330630294844</c:v>
                </c:pt>
                <c:pt idx="173">
                  <c:v>190.70927058254674</c:v>
                </c:pt>
                <c:pt idx="174">
                  <c:v>195.70569451299971</c:v>
                </c:pt>
                <c:pt idx="175">
                  <c:v>191.41138902599948</c:v>
                </c:pt>
                <c:pt idx="176">
                  <c:v>186.56405193863256</c:v>
                </c:pt>
                <c:pt idx="177">
                  <c:v>190.61458029031633</c:v>
                </c:pt>
                <c:pt idx="178">
                  <c:v>193.94888738906619</c:v>
                </c:pt>
                <c:pt idx="179">
                  <c:v>189.3936799266653</c:v>
                </c:pt>
                <c:pt idx="180">
                  <c:v>187.23494273251998</c:v>
                </c:pt>
                <c:pt idx="181">
                  <c:v>187.01433449849392</c:v>
                </c:pt>
                <c:pt idx="182">
                  <c:v>189.31309244391608</c:v>
                </c:pt>
                <c:pt idx="183">
                  <c:v>193.19841645596395</c:v>
                </c:pt>
                <c:pt idx="184">
                  <c:v>186.7363076830091</c:v>
                </c:pt>
                <c:pt idx="185">
                  <c:v>194.81721751568932</c:v>
                </c:pt>
                <c:pt idx="186">
                  <c:v>201.43244250586775</c:v>
                </c:pt>
                <c:pt idx="187">
                  <c:v>204.21875472192278</c:v>
                </c:pt>
                <c:pt idx="188">
                  <c:v>203.11873558239563</c:v>
                </c:pt>
                <c:pt idx="189">
                  <c:v>202.67147505313733</c:v>
                </c:pt>
                <c:pt idx="190">
                  <c:v>202.03382659588394</c:v>
                </c:pt>
                <c:pt idx="191">
                  <c:v>209.82965820833874</c:v>
                </c:pt>
                <c:pt idx="192">
                  <c:v>202.47605040747041</c:v>
                </c:pt>
                <c:pt idx="193">
                  <c:v>213.16698733769175</c:v>
                </c:pt>
                <c:pt idx="194">
                  <c:v>213.3865882281834</c:v>
                </c:pt>
                <c:pt idx="195">
                  <c:v>214.67296592156816</c:v>
                </c:pt>
                <c:pt idx="196">
                  <c:v>222.50002518358829</c:v>
                </c:pt>
                <c:pt idx="197">
                  <c:v>223.83677005369131</c:v>
                </c:pt>
                <c:pt idx="198">
                  <c:v>224.38476493638609</c:v>
                </c:pt>
                <c:pt idx="199">
                  <c:v>224.97003152985252</c:v>
                </c:pt>
                <c:pt idx="200">
                  <c:v>224.53082974886914</c:v>
                </c:pt>
                <c:pt idx="201">
                  <c:v>230.94357868864003</c:v>
                </c:pt>
                <c:pt idx="202">
                  <c:v>232.87969296169061</c:v>
                </c:pt>
                <c:pt idx="203">
                  <c:v>236.88086148019045</c:v>
                </c:pt>
                <c:pt idx="204">
                  <c:v>239.91296551863067</c:v>
                </c:pt>
                <c:pt idx="205">
                  <c:v>241.25373976287119</c:v>
                </c:pt>
                <c:pt idx="206">
                  <c:v>243.88794310523707</c:v>
                </c:pt>
                <c:pt idx="207">
                  <c:v>241.30813631372695</c:v>
                </c:pt>
                <c:pt idx="208">
                  <c:v>241.72719122402302</c:v>
                </c:pt>
                <c:pt idx="209">
                  <c:v>234.86113769378758</c:v>
                </c:pt>
                <c:pt idx="210">
                  <c:v>236.58369513755267</c:v>
                </c:pt>
                <c:pt idx="211">
                  <c:v>236.57966576341519</c:v>
                </c:pt>
                <c:pt idx="212">
                  <c:v>235.04951093471396</c:v>
                </c:pt>
                <c:pt idx="213">
                  <c:v>241.23057086158082</c:v>
                </c:pt>
                <c:pt idx="214">
                  <c:v>241.71812513221371</c:v>
                </c:pt>
                <c:pt idx="215">
                  <c:v>240.94952201549282</c:v>
                </c:pt>
                <c:pt idx="216">
                  <c:v>239.06075288855746</c:v>
                </c:pt>
                <c:pt idx="217">
                  <c:v>225.77086963967312</c:v>
                </c:pt>
                <c:pt idx="218">
                  <c:v>228.84427476302236</c:v>
                </c:pt>
                <c:pt idx="219">
                  <c:v>228.32650018635846</c:v>
                </c:pt>
                <c:pt idx="220">
                  <c:v>239.21789847991852</c:v>
                </c:pt>
                <c:pt idx="221">
                  <c:v>237.95569703135854</c:v>
                </c:pt>
                <c:pt idx="222">
                  <c:v>243.59379879320235</c:v>
                </c:pt>
                <c:pt idx="223">
                  <c:v>245.91270360931179</c:v>
                </c:pt>
                <c:pt idx="224">
                  <c:v>245.00005036717664</c:v>
                </c:pt>
                <c:pt idx="225">
                  <c:v>243.93730293842106</c:v>
                </c:pt>
                <c:pt idx="226">
                  <c:v>247.00869337470152</c:v>
                </c:pt>
                <c:pt idx="227">
                  <c:v>245.24987156369932</c:v>
                </c:pt>
                <c:pt idx="228">
                  <c:v>248.24067451723056</c:v>
                </c:pt>
                <c:pt idx="229">
                  <c:v>256.53211914859321</c:v>
                </c:pt>
                <c:pt idx="230">
                  <c:v>255.65573027369521</c:v>
                </c:pt>
                <c:pt idx="231">
                  <c:v>242.87153347906235</c:v>
                </c:pt>
                <c:pt idx="232">
                  <c:v>251.70996564958543</c:v>
                </c:pt>
                <c:pt idx="233">
                  <c:v>246.72361515447608</c:v>
                </c:pt>
                <c:pt idx="234">
                  <c:v>239.97038410008963</c:v>
                </c:pt>
                <c:pt idx="235">
                  <c:v>243.53638021174362</c:v>
                </c:pt>
                <c:pt idx="236">
                  <c:v>245.39492903264798</c:v>
                </c:pt>
                <c:pt idx="237">
                  <c:v>247.94048614398966</c:v>
                </c:pt>
                <c:pt idx="238">
                  <c:v>232.47474086087578</c:v>
                </c:pt>
                <c:pt idx="239">
                  <c:v>238.43922192785405</c:v>
                </c:pt>
                <c:pt idx="240">
                  <c:v>230.19915181674406</c:v>
                </c:pt>
                <c:pt idx="241">
                  <c:v>224.51571959585377</c:v>
                </c:pt>
                <c:pt idx="242">
                  <c:v>234.5307290145158</c:v>
                </c:pt>
                <c:pt idx="243">
                  <c:v>243.55149036475908</c:v>
                </c:pt>
                <c:pt idx="244">
                  <c:v>236.02562681951426</c:v>
                </c:pt>
                <c:pt idx="245">
                  <c:v>240.90519889998083</c:v>
                </c:pt>
                <c:pt idx="246">
                  <c:v>245.91774032698368</c:v>
                </c:pt>
                <c:pt idx="247">
                  <c:v>247.36126361172944</c:v>
                </c:pt>
                <c:pt idx="248">
                  <c:v>256.00124910598254</c:v>
                </c:pt>
                <c:pt idx="249">
                  <c:v>258.49240966646846</c:v>
                </c:pt>
                <c:pt idx="250">
                  <c:v>247.64432714488615</c:v>
                </c:pt>
                <c:pt idx="251">
                  <c:v>254.88712715697429</c:v>
                </c:pt>
                <c:pt idx="252">
                  <c:v>255.65472293016077</c:v>
                </c:pt>
                <c:pt idx="253">
                  <c:v>244.94565381632088</c:v>
                </c:pt>
                <c:pt idx="254">
                  <c:v>246.78506311007234</c:v>
                </c:pt>
                <c:pt idx="255">
                  <c:v>255.48750390345612</c:v>
                </c:pt>
                <c:pt idx="256">
                  <c:v>265.56093924711138</c:v>
                </c:pt>
                <c:pt idx="257">
                  <c:v>264.27254686665788</c:v>
                </c:pt>
                <c:pt idx="258">
                  <c:v>258.99708877718564</c:v>
                </c:pt>
                <c:pt idx="259">
                  <c:v>258.54076215611803</c:v>
                </c:pt>
                <c:pt idx="260">
                  <c:v>258.27280877597684</c:v>
                </c:pt>
                <c:pt idx="261">
                  <c:v>252.77774979601287</c:v>
                </c:pt>
                <c:pt idx="262">
                  <c:v>245.52286166151237</c:v>
                </c:pt>
                <c:pt idx="263">
                  <c:v>246.47077192735034</c:v>
                </c:pt>
                <c:pt idx="264">
                  <c:v>240.44786493537887</c:v>
                </c:pt>
                <c:pt idx="265">
                  <c:v>242.76173303381654</c:v>
                </c:pt>
                <c:pt idx="266">
                  <c:v>235.11095889031034</c:v>
                </c:pt>
                <c:pt idx="267">
                  <c:v>237.4862749443443</c:v>
                </c:pt>
                <c:pt idx="268">
                  <c:v>236.39733658369514</c:v>
                </c:pt>
                <c:pt idx="269">
                  <c:v>239.77999617209463</c:v>
                </c:pt>
                <c:pt idx="270">
                  <c:v>234.22651126713748</c:v>
                </c:pt>
                <c:pt idx="271">
                  <c:v>237.28581358100556</c:v>
                </c:pt>
                <c:pt idx="272">
                  <c:v>234.30810609342109</c:v>
                </c:pt>
                <c:pt idx="273">
                  <c:v>236.79523727976957</c:v>
                </c:pt>
                <c:pt idx="274">
                  <c:v>242.3658470248109</c:v>
                </c:pt>
                <c:pt idx="275">
                  <c:v>236.35905752938933</c:v>
                </c:pt>
                <c:pt idx="276">
                  <c:v>240.77122220991029</c:v>
                </c:pt>
                <c:pt idx="277">
                  <c:v>246.50602895105322</c:v>
                </c:pt>
                <c:pt idx="278">
                  <c:v>244.15791117244717</c:v>
                </c:pt>
                <c:pt idx="279">
                  <c:v>234.97295282610227</c:v>
                </c:pt>
                <c:pt idx="280">
                  <c:v>238.03024045290164</c:v>
                </c:pt>
                <c:pt idx="281">
                  <c:v>238.59737486274943</c:v>
                </c:pt>
                <c:pt idx="282">
                  <c:v>248.17620453103123</c:v>
                </c:pt>
                <c:pt idx="283">
                  <c:v>244.17604335606572</c:v>
                </c:pt>
                <c:pt idx="284">
                  <c:v>240.7782736146508</c:v>
                </c:pt>
                <c:pt idx="285">
                  <c:v>237.14780751679746</c:v>
                </c:pt>
                <c:pt idx="286">
                  <c:v>227.84096060279438</c:v>
                </c:pt>
                <c:pt idx="287">
                  <c:v>226.64222179689941</c:v>
                </c:pt>
                <c:pt idx="288">
                  <c:v>224.42606602129524</c:v>
                </c:pt>
                <c:pt idx="289">
                  <c:v>230.45602441800727</c:v>
                </c:pt>
                <c:pt idx="290">
                  <c:v>235.37891227045156</c:v>
                </c:pt>
                <c:pt idx="291">
                  <c:v>230.70786030159863</c:v>
                </c:pt>
                <c:pt idx="292">
                  <c:v>231.420052180395</c:v>
                </c:pt>
                <c:pt idx="293">
                  <c:v>227.80469623555715</c:v>
                </c:pt>
                <c:pt idx="294">
                  <c:v>230.16389479304124</c:v>
                </c:pt>
                <c:pt idx="295">
                  <c:v>222.61889172064343</c:v>
                </c:pt>
                <c:pt idx="296">
                  <c:v>204.94404206666596</c:v>
                </c:pt>
                <c:pt idx="297">
                  <c:v>209.51738171268542</c:v>
                </c:pt>
                <c:pt idx="298">
                  <c:v>219.32487836326817</c:v>
                </c:pt>
                <c:pt idx="299">
                  <c:v>210.95083156208756</c:v>
                </c:pt>
                <c:pt idx="300">
                  <c:v>200.80285279688925</c:v>
                </c:pt>
                <c:pt idx="301">
                  <c:v>158.15494958245606</c:v>
                </c:pt>
                <c:pt idx="302">
                  <c:v>187.07880448469336</c:v>
                </c:pt>
                <c:pt idx="303">
                  <c:v>160.1525118111029</c:v>
                </c:pt>
                <c:pt idx="304">
                  <c:v>187.31553021526926</c:v>
                </c:pt>
                <c:pt idx="305">
                  <c:v>185.34415891851594</c:v>
                </c:pt>
                <c:pt idx="306">
                  <c:v>172.45822042691213</c:v>
                </c:pt>
                <c:pt idx="307">
                  <c:v>156.29841544862037</c:v>
                </c:pt>
                <c:pt idx="308">
                  <c:v>164.35111966233839</c:v>
                </c:pt>
                <c:pt idx="309">
                  <c:v>148.88839640982761</c:v>
                </c:pt>
                <c:pt idx="310">
                  <c:v>156.1231376736408</c:v>
                </c:pt>
                <c:pt idx="311">
                  <c:v>158.82986975048098</c:v>
                </c:pt>
                <c:pt idx="312">
                  <c:v>158.13983942944057</c:v>
                </c:pt>
                <c:pt idx="313">
                  <c:v>164.2806056149328</c:v>
                </c:pt>
                <c:pt idx="314">
                  <c:v>164.68757240281647</c:v>
                </c:pt>
                <c:pt idx="315">
                  <c:v>157.84065839973402</c:v>
                </c:pt>
                <c:pt idx="316">
                  <c:v>148.75240503268827</c:v>
                </c:pt>
                <c:pt idx="317">
                  <c:v>149.60461766276151</c:v>
                </c:pt>
                <c:pt idx="318">
                  <c:v>155.67386245731382</c:v>
                </c:pt>
                <c:pt idx="319">
                  <c:v>151.81170734655637</c:v>
                </c:pt>
                <c:pt idx="320">
                  <c:v>143.13545748506613</c:v>
                </c:pt>
                <c:pt idx="321">
                  <c:v>139.45966092816633</c:v>
                </c:pt>
                <c:pt idx="322">
                  <c:v>129.05783159230793</c:v>
                </c:pt>
                <c:pt idx="323">
                  <c:v>130.25556305466856</c:v>
                </c:pt>
                <c:pt idx="324">
                  <c:v>138.93181291615883</c:v>
                </c:pt>
                <c:pt idx="325">
                  <c:v>136.53030593023141</c:v>
                </c:pt>
                <c:pt idx="326">
                  <c:v>141.45117909560702</c:v>
                </c:pt>
                <c:pt idx="327">
                  <c:v>142.55422026573729</c:v>
                </c:pt>
                <c:pt idx="328">
                  <c:v>143.4245650794291</c:v>
                </c:pt>
                <c:pt idx="329">
                  <c:v>141.23359289218408</c:v>
                </c:pt>
                <c:pt idx="330">
                  <c:v>146.92709854841803</c:v>
                </c:pt>
                <c:pt idx="331">
                  <c:v>153.57959524936797</c:v>
                </c:pt>
                <c:pt idx="332">
                  <c:v>151.98799246507045</c:v>
                </c:pt>
                <c:pt idx="333">
                  <c:v>156.87562329381197</c:v>
                </c:pt>
                <c:pt idx="334">
                  <c:v>158.88527364487121</c:v>
                </c:pt>
                <c:pt idx="335">
                  <c:v>157.84368043033726</c:v>
                </c:pt>
                <c:pt idx="336">
                  <c:v>165.80270169535927</c:v>
                </c:pt>
                <c:pt idx="337">
                  <c:v>158.58508527163028</c:v>
                </c:pt>
                <c:pt idx="338">
                  <c:v>160.75993996232546</c:v>
                </c:pt>
                <c:pt idx="339">
                  <c:v>156.48074462834072</c:v>
                </c:pt>
                <c:pt idx="340">
                  <c:v>152.96007897573321</c:v>
                </c:pt>
                <c:pt idx="341">
                  <c:v>158.01291414411065</c:v>
                </c:pt>
                <c:pt idx="342">
                  <c:v>156.08888799347253</c:v>
                </c:pt>
                <c:pt idx="343">
                  <c:v>154.23235385963685</c:v>
                </c:pt>
                <c:pt idx="344">
                  <c:v>152.90568242487745</c:v>
                </c:pt>
                <c:pt idx="345">
                  <c:v>149.71038873386999</c:v>
                </c:pt>
                <c:pt idx="346">
                  <c:v>153.59974212005525</c:v>
                </c:pt>
                <c:pt idx="347">
                  <c:v>153.26328937957717</c:v>
                </c:pt>
                <c:pt idx="348">
                  <c:v>152.43827502493181</c:v>
                </c:pt>
                <c:pt idx="349">
                  <c:v>158.35138157165744</c:v>
                </c:pt>
                <c:pt idx="350">
                  <c:v>159.23381450776162</c:v>
                </c:pt>
                <c:pt idx="351">
                  <c:v>151.79558985000659</c:v>
                </c:pt>
                <c:pt idx="352">
                  <c:v>152.57023702793367</c:v>
                </c:pt>
                <c:pt idx="353">
                  <c:v>153.36906045068554</c:v>
                </c:pt>
                <c:pt idx="354">
                  <c:v>153.45065527696914</c:v>
                </c:pt>
                <c:pt idx="355">
                  <c:v>151.65556909872979</c:v>
                </c:pt>
                <c:pt idx="356">
                  <c:v>150.17175207260937</c:v>
                </c:pt>
                <c:pt idx="357">
                  <c:v>152.97115975461116</c:v>
                </c:pt>
                <c:pt idx="358">
                  <c:v>158.17711114021219</c:v>
                </c:pt>
                <c:pt idx="359">
                  <c:v>158.17610379667781</c:v>
                </c:pt>
                <c:pt idx="360">
                  <c:v>161.87103988073056</c:v>
                </c:pt>
                <c:pt idx="361">
                  <c:v>165.85709824621495</c:v>
                </c:pt>
                <c:pt idx="362">
                  <c:v>164.72887348772554</c:v>
                </c:pt>
                <c:pt idx="363">
                  <c:v>163.83838180334644</c:v>
                </c:pt>
                <c:pt idx="364">
                  <c:v>165.57302736952388</c:v>
                </c:pt>
                <c:pt idx="365">
                  <c:v>167.14448328313412</c:v>
                </c:pt>
                <c:pt idx="366">
                  <c:v>166.74960461766281</c:v>
                </c:pt>
                <c:pt idx="367">
                  <c:v>167.07094720512544</c:v>
                </c:pt>
                <c:pt idx="368">
                  <c:v>168.16995900111823</c:v>
                </c:pt>
                <c:pt idx="369">
                  <c:v>165.50049863504958</c:v>
                </c:pt>
                <c:pt idx="370">
                  <c:v>162.78872984053757</c:v>
                </c:pt>
                <c:pt idx="371">
                  <c:v>164.26650280545181</c:v>
                </c:pt>
                <c:pt idx="372">
                  <c:v>166.07367710610356</c:v>
                </c:pt>
                <c:pt idx="373">
                  <c:v>163.44148845080642</c:v>
                </c:pt>
                <c:pt idx="374">
                  <c:v>164.27556889726108</c:v>
                </c:pt>
                <c:pt idx="375">
                  <c:v>164.81852706228412</c:v>
                </c:pt>
                <c:pt idx="376">
                  <c:v>164.85176939891818</c:v>
                </c:pt>
                <c:pt idx="377">
                  <c:v>161.40866919845681</c:v>
                </c:pt>
                <c:pt idx="378">
                  <c:v>170.44252601464686</c:v>
                </c:pt>
                <c:pt idx="379">
                  <c:v>173.23186026130497</c:v>
                </c:pt>
                <c:pt idx="380">
                  <c:v>172.97498766004176</c:v>
                </c:pt>
                <c:pt idx="381">
                  <c:v>170.63593597324501</c:v>
                </c:pt>
                <c:pt idx="382">
                  <c:v>167.06188111331613</c:v>
                </c:pt>
                <c:pt idx="383">
                  <c:v>152.98123318995482</c:v>
                </c:pt>
                <c:pt idx="384">
                  <c:v>157.93131931782699</c:v>
                </c:pt>
                <c:pt idx="385">
                  <c:v>153.70249116056053</c:v>
                </c:pt>
                <c:pt idx="386">
                  <c:v>159.50176788790284</c:v>
                </c:pt>
                <c:pt idx="387">
                  <c:v>161.89723081262409</c:v>
                </c:pt>
                <c:pt idx="388">
                  <c:v>163.45962063442499</c:v>
                </c:pt>
                <c:pt idx="389">
                  <c:v>167.24219560596754</c:v>
                </c:pt>
                <c:pt idx="390">
                  <c:v>167.51317101671188</c:v>
                </c:pt>
                <c:pt idx="391">
                  <c:v>166.69722275387579</c:v>
                </c:pt>
                <c:pt idx="392">
                  <c:v>173.80503873235895</c:v>
                </c:pt>
                <c:pt idx="393">
                  <c:v>173.63781970565427</c:v>
                </c:pt>
                <c:pt idx="394">
                  <c:v>177.81829537327121</c:v>
                </c:pt>
                <c:pt idx="395">
                  <c:v>182.23348208439532</c:v>
                </c:pt>
                <c:pt idx="396">
                  <c:v>188.33093249790983</c:v>
                </c:pt>
                <c:pt idx="397">
                  <c:v>183.55310211441417</c:v>
                </c:pt>
                <c:pt idx="398">
                  <c:v>177.34988062979127</c:v>
                </c:pt>
                <c:pt idx="399">
                  <c:v>181.07201498927191</c:v>
                </c:pt>
                <c:pt idx="400">
                  <c:v>184.62995235265095</c:v>
                </c:pt>
                <c:pt idx="401">
                  <c:v>187.18054618166445</c:v>
                </c:pt>
                <c:pt idx="402">
                  <c:v>186.11779875290881</c:v>
                </c:pt>
                <c:pt idx="403">
                  <c:v>187.67112248290044</c:v>
                </c:pt>
                <c:pt idx="404">
                  <c:v>188.22113205266405</c:v>
                </c:pt>
                <c:pt idx="405">
                  <c:v>191.97449406170998</c:v>
                </c:pt>
                <c:pt idx="406">
                  <c:v>193.48651670679263</c:v>
                </c:pt>
                <c:pt idx="407">
                  <c:v>193.9962325351816</c:v>
                </c:pt>
                <c:pt idx="408">
                  <c:v>198.80730525531138</c:v>
                </c:pt>
                <c:pt idx="409">
                  <c:v>206.78345136041764</c:v>
                </c:pt>
                <c:pt idx="410">
                  <c:v>203.99713914436259</c:v>
                </c:pt>
                <c:pt idx="411">
                  <c:v>201.79710086530829</c:v>
                </c:pt>
                <c:pt idx="412">
                  <c:v>200.24982119652287</c:v>
                </c:pt>
                <c:pt idx="413">
                  <c:v>197.66094831320348</c:v>
                </c:pt>
                <c:pt idx="414">
                  <c:v>198.19081101227974</c:v>
                </c:pt>
                <c:pt idx="415">
                  <c:v>197.50581740891118</c:v>
                </c:pt>
                <c:pt idx="416">
                  <c:v>201.20478286710141</c:v>
                </c:pt>
                <c:pt idx="417">
                  <c:v>201.44553797181473</c:v>
                </c:pt>
                <c:pt idx="418">
                  <c:v>202.1950015613827</c:v>
                </c:pt>
                <c:pt idx="419">
                  <c:v>200.71118453526228</c:v>
                </c:pt>
                <c:pt idx="420">
                  <c:v>195.94141290004151</c:v>
                </c:pt>
                <c:pt idx="421">
                  <c:v>193.83002085201136</c:v>
                </c:pt>
                <c:pt idx="422">
                  <c:v>201.94518036486002</c:v>
                </c:pt>
                <c:pt idx="423">
                  <c:v>201.58555872309154</c:v>
                </c:pt>
                <c:pt idx="424">
                  <c:v>208.22294527102599</c:v>
                </c:pt>
                <c:pt idx="425">
                  <c:v>204.5350605917138</c:v>
                </c:pt>
                <c:pt idx="426">
                  <c:v>208.28942994429408</c:v>
                </c:pt>
                <c:pt idx="427">
                  <c:v>203.01195716775311</c:v>
                </c:pt>
                <c:pt idx="428">
                  <c:v>202.47907243807376</c:v>
                </c:pt>
                <c:pt idx="429">
                  <c:v>206.2475446001352</c:v>
                </c:pt>
                <c:pt idx="430">
                  <c:v>211.62172235597527</c:v>
                </c:pt>
                <c:pt idx="431">
                  <c:v>211.86348480422302</c:v>
                </c:pt>
                <c:pt idx="432">
                  <c:v>214.02121465483395</c:v>
                </c:pt>
                <c:pt idx="433">
                  <c:v>215.96740236322813</c:v>
                </c:pt>
                <c:pt idx="434">
                  <c:v>221.97922857632162</c:v>
                </c:pt>
                <c:pt idx="435">
                  <c:v>219.01864592882131</c:v>
                </c:pt>
                <c:pt idx="436">
                  <c:v>217.6023209195034</c:v>
                </c:pt>
                <c:pt idx="437">
                  <c:v>219.19896042147278</c:v>
                </c:pt>
                <c:pt idx="438">
                  <c:v>222.39828348661766</c:v>
                </c:pt>
                <c:pt idx="439">
                  <c:v>217.33638222643091</c:v>
                </c:pt>
                <c:pt idx="440">
                  <c:v>213.00279034159041</c:v>
                </c:pt>
                <c:pt idx="441">
                  <c:v>212.41047234338347</c:v>
                </c:pt>
                <c:pt idx="442">
                  <c:v>208.13933575767365</c:v>
                </c:pt>
                <c:pt idx="443">
                  <c:v>221.46548337379525</c:v>
                </c:pt>
                <c:pt idx="444">
                  <c:v>222.17163119138547</c:v>
                </c:pt>
                <c:pt idx="445">
                  <c:v>218.03447129574624</c:v>
                </c:pt>
                <c:pt idx="446">
                  <c:v>221.69616504316497</c:v>
                </c:pt>
                <c:pt idx="447">
                  <c:v>218.84941221504798</c:v>
                </c:pt>
                <c:pt idx="448">
                  <c:v>213.98394294406245</c:v>
                </c:pt>
                <c:pt idx="449">
                  <c:v>215.25218845382867</c:v>
                </c:pt>
                <c:pt idx="450">
                  <c:v>209.82562883420158</c:v>
                </c:pt>
                <c:pt idx="451">
                  <c:v>213.10856141269886</c:v>
                </c:pt>
                <c:pt idx="452">
                  <c:v>215.39220920510547</c:v>
                </c:pt>
                <c:pt idx="453">
                  <c:v>211.82319106284845</c:v>
                </c:pt>
                <c:pt idx="454">
                  <c:v>215.97143173736566</c:v>
                </c:pt>
                <c:pt idx="455">
                  <c:v>207.75755255814917</c:v>
                </c:pt>
                <c:pt idx="456">
                  <c:v>214.0242366854371</c:v>
                </c:pt>
                <c:pt idx="457">
                  <c:v>215.68635351714022</c:v>
                </c:pt>
                <c:pt idx="458">
                  <c:v>216.65844002780295</c:v>
                </c:pt>
                <c:pt idx="459">
                  <c:v>220.94267207945956</c:v>
                </c:pt>
                <c:pt idx="460">
                  <c:v>223.01679241671815</c:v>
                </c:pt>
                <c:pt idx="461">
                  <c:v>223.84583614550098</c:v>
                </c:pt>
                <c:pt idx="462">
                  <c:v>229.02156722507107</c:v>
                </c:pt>
                <c:pt idx="463">
                  <c:v>222.21595430689757</c:v>
                </c:pt>
                <c:pt idx="464">
                  <c:v>211.52803940727935</c:v>
                </c:pt>
                <c:pt idx="465">
                  <c:v>218.66003163058724</c:v>
                </c:pt>
                <c:pt idx="466">
                  <c:v>215.83241832962324</c:v>
                </c:pt>
                <c:pt idx="467">
                  <c:v>214.12094166473619</c:v>
                </c:pt>
                <c:pt idx="468">
                  <c:v>218.88869861288822</c:v>
                </c:pt>
                <c:pt idx="469">
                  <c:v>219.39740709774284</c:v>
                </c:pt>
                <c:pt idx="470">
                  <c:v>220.16903224506683</c:v>
                </c:pt>
                <c:pt idx="471">
                  <c:v>218.81012581720776</c:v>
                </c:pt>
                <c:pt idx="472">
                  <c:v>222.33482084395274</c:v>
                </c:pt>
                <c:pt idx="473">
                  <c:v>225.86455258836958</c:v>
                </c:pt>
                <c:pt idx="474">
                  <c:v>230.47314925809187</c:v>
                </c:pt>
                <c:pt idx="475">
                  <c:v>228.18245006094469</c:v>
                </c:pt>
                <c:pt idx="476">
                  <c:v>233.80443432623869</c:v>
                </c:pt>
                <c:pt idx="477">
                  <c:v>233.77622870727643</c:v>
                </c:pt>
                <c:pt idx="478">
                  <c:v>237.47116479132922</c:v>
                </c:pt>
                <c:pt idx="479">
                  <c:v>235.7737909359233</c:v>
                </c:pt>
                <c:pt idx="480">
                  <c:v>236.25127177121254</c:v>
                </c:pt>
                <c:pt idx="481">
                  <c:v>234.29198859687159</c:v>
                </c:pt>
                <c:pt idx="482">
                  <c:v>235.3950297670018</c:v>
                </c:pt>
                <c:pt idx="483">
                  <c:v>232.72355471386444</c:v>
                </c:pt>
                <c:pt idx="484">
                  <c:v>231.67994681226173</c:v>
                </c:pt>
                <c:pt idx="485">
                  <c:v>244.08941181211065</c:v>
                </c:pt>
                <c:pt idx="486">
                  <c:v>246.48890411096937</c:v>
                </c:pt>
                <c:pt idx="487">
                  <c:v>243.90607528885619</c:v>
                </c:pt>
                <c:pt idx="488">
                  <c:v>246.90896636479982</c:v>
                </c:pt>
                <c:pt idx="489">
                  <c:v>234.61635321493731</c:v>
                </c:pt>
                <c:pt idx="490">
                  <c:v>239.77798148502626</c:v>
                </c:pt>
                <c:pt idx="491">
                  <c:v>240.46498977546349</c:v>
                </c:pt>
                <c:pt idx="492">
                  <c:v>245.56214805935306</c:v>
                </c:pt>
                <c:pt idx="493">
                  <c:v>244.51350344007855</c:v>
                </c:pt>
                <c:pt idx="494">
                  <c:v>240.97369826031809</c:v>
                </c:pt>
                <c:pt idx="495">
                  <c:v>249.49179518691298</c:v>
                </c:pt>
                <c:pt idx="496">
                  <c:v>251.09951546776034</c:v>
                </c:pt>
                <c:pt idx="497">
                  <c:v>255.2699177000336</c:v>
                </c:pt>
                <c:pt idx="498">
                  <c:v>260.03263793051377</c:v>
                </c:pt>
                <c:pt idx="499">
                  <c:v>261.44392622215992</c:v>
                </c:pt>
                <c:pt idx="500">
                  <c:v>261.81765067340956</c:v>
                </c:pt>
                <c:pt idx="501">
                  <c:v>262.33038853240163</c:v>
                </c:pt>
                <c:pt idx="502">
                  <c:v>267.22003404821186</c:v>
                </c:pt>
                <c:pt idx="503">
                  <c:v>265.47934442082828</c:v>
                </c:pt>
                <c:pt idx="504">
                  <c:v>262.8874495069058</c:v>
                </c:pt>
                <c:pt idx="505">
                  <c:v>264.76010113729131</c:v>
                </c:pt>
                <c:pt idx="506">
                  <c:v>257.9071430730026</c:v>
                </c:pt>
                <c:pt idx="507">
                  <c:v>263.26117395815538</c:v>
                </c:pt>
                <c:pt idx="508">
                  <c:v>262.49760755910631</c:v>
                </c:pt>
                <c:pt idx="509">
                  <c:v>268.07023199121636</c:v>
                </c:pt>
                <c:pt idx="510">
                  <c:v>263.23095365212441</c:v>
                </c:pt>
                <c:pt idx="511">
                  <c:v>264.64727866144233</c:v>
                </c:pt>
                <c:pt idx="512">
                  <c:v>262.39888789273851</c:v>
                </c:pt>
                <c:pt idx="513">
                  <c:v>253.1071511317509</c:v>
                </c:pt>
                <c:pt idx="514">
                  <c:v>247.41767484965439</c:v>
                </c:pt>
                <c:pt idx="515">
                  <c:v>244.11157336986676</c:v>
                </c:pt>
                <c:pt idx="516">
                  <c:v>250.67542383979253</c:v>
                </c:pt>
                <c:pt idx="517">
                  <c:v>254.53657160701559</c:v>
                </c:pt>
                <c:pt idx="518">
                  <c:v>252.09174884911045</c:v>
                </c:pt>
                <c:pt idx="519">
                  <c:v>254.10139920016968</c:v>
                </c:pt>
                <c:pt idx="520">
                  <c:v>255.68796526679535</c:v>
                </c:pt>
                <c:pt idx="521">
                  <c:v>253.64406523556769</c:v>
                </c:pt>
                <c:pt idx="522">
                  <c:v>258.53774012551543</c:v>
                </c:pt>
                <c:pt idx="523">
                  <c:v>261.17798752908743</c:v>
                </c:pt>
                <c:pt idx="524">
                  <c:v>261.67561523506401</c:v>
                </c:pt>
                <c:pt idx="525">
                  <c:v>267.16160812321868</c:v>
                </c:pt>
                <c:pt idx="526">
                  <c:v>267.35300339474816</c:v>
                </c:pt>
                <c:pt idx="527">
                  <c:v>269.48857168760304</c:v>
                </c:pt>
                <c:pt idx="528">
                  <c:v>265.241611346718</c:v>
                </c:pt>
                <c:pt idx="529">
                  <c:v>267.33789324173267</c:v>
                </c:pt>
                <c:pt idx="530">
                  <c:v>266.78586898490039</c:v>
                </c:pt>
                <c:pt idx="531">
                  <c:v>265.78658419880981</c:v>
                </c:pt>
                <c:pt idx="532">
                  <c:v>263.69936839560444</c:v>
                </c:pt>
                <c:pt idx="533">
                  <c:v>267.63808161497366</c:v>
                </c:pt>
                <c:pt idx="534">
                  <c:v>271.60197842270196</c:v>
                </c:pt>
                <c:pt idx="535">
                  <c:v>271.0620422882821</c:v>
                </c:pt>
                <c:pt idx="536">
                  <c:v>277.38010093582267</c:v>
                </c:pt>
                <c:pt idx="537">
                  <c:v>279.67281482003864</c:v>
                </c:pt>
                <c:pt idx="538">
                  <c:v>276.91571556648017</c:v>
                </c:pt>
                <c:pt idx="539">
                  <c:v>279.38471456921008</c:v>
                </c:pt>
                <c:pt idx="540">
                  <c:v>275.56587523043038</c:v>
                </c:pt>
                <c:pt idx="541">
                  <c:v>283.13303986058423</c:v>
                </c:pt>
                <c:pt idx="542">
                  <c:v>284.69140030824769</c:v>
                </c:pt>
                <c:pt idx="543">
                  <c:v>275.56587523043044</c:v>
                </c:pt>
                <c:pt idx="544">
                  <c:v>277.16050004533105</c:v>
                </c:pt>
                <c:pt idx="545">
                  <c:v>268.18607649766858</c:v>
                </c:pt>
                <c:pt idx="546">
                  <c:v>245.15417392793518</c:v>
                </c:pt>
                <c:pt idx="547">
                  <c:v>253.89086440148736</c:v>
                </c:pt>
                <c:pt idx="548">
                  <c:v>252.29422489951801</c:v>
                </c:pt>
                <c:pt idx="549">
                  <c:v>261.30491281441766</c:v>
                </c:pt>
                <c:pt idx="550">
                  <c:v>268.89826837646501</c:v>
                </c:pt>
                <c:pt idx="551">
                  <c:v>270.72256751720096</c:v>
                </c:pt>
                <c:pt idx="552">
                  <c:v>269.83912723756237</c:v>
                </c:pt>
                <c:pt idx="553">
                  <c:v>268.2273775825775</c:v>
                </c:pt>
                <c:pt idx="554">
                  <c:v>257.90714307300271</c:v>
                </c:pt>
                <c:pt idx="555">
                  <c:v>258.98500065477384</c:v>
                </c:pt>
                <c:pt idx="556">
                  <c:v>252.52188453828464</c:v>
                </c:pt>
                <c:pt idx="557">
                  <c:v>256.7859697192539</c:v>
                </c:pt>
                <c:pt idx="558">
                  <c:v>256.55831008048733</c:v>
                </c:pt>
                <c:pt idx="559">
                  <c:v>265.5961962708148</c:v>
                </c:pt>
                <c:pt idx="560">
                  <c:v>265.39069818980425</c:v>
                </c:pt>
                <c:pt idx="561">
                  <c:v>264.98876811959241</c:v>
                </c:pt>
                <c:pt idx="562">
                  <c:v>266.91480895729927</c:v>
                </c:pt>
                <c:pt idx="563">
                  <c:v>274.42254031892554</c:v>
                </c:pt>
                <c:pt idx="564">
                  <c:v>277.89082410774608</c:v>
                </c:pt>
                <c:pt idx="565">
                  <c:v>272.3846843489041</c:v>
                </c:pt>
                <c:pt idx="566">
                  <c:v>267.33587855466408</c:v>
                </c:pt>
                <c:pt idx="567">
                  <c:v>273.29230087336742</c:v>
                </c:pt>
                <c:pt idx="568">
                  <c:v>268.34221474549526</c:v>
                </c:pt>
                <c:pt idx="569">
                  <c:v>267.45172306111613</c:v>
                </c:pt>
                <c:pt idx="570">
                  <c:v>258.6646654108456</c:v>
                </c:pt>
                <c:pt idx="571">
                  <c:v>258.23251503460278</c:v>
                </c:pt>
                <c:pt idx="572">
                  <c:v>263.30751176073636</c:v>
                </c:pt>
                <c:pt idx="573">
                  <c:v>269.57520323155865</c:v>
                </c:pt>
                <c:pt idx="574">
                  <c:v>265.83392934492508</c:v>
                </c:pt>
                <c:pt idx="575">
                  <c:v>262.74138469442295</c:v>
                </c:pt>
                <c:pt idx="576">
                  <c:v>265.13382558854107</c:v>
                </c:pt>
                <c:pt idx="577">
                  <c:v>266.8845886512683</c:v>
                </c:pt>
                <c:pt idx="578">
                  <c:v>269.70515054749183</c:v>
                </c:pt>
                <c:pt idx="579">
                  <c:v>271.01872651630447</c:v>
                </c:pt>
                <c:pt idx="580">
                  <c:v>280.37795529409465</c:v>
                </c:pt>
                <c:pt idx="581">
                  <c:v>285.23838784740832</c:v>
                </c:pt>
                <c:pt idx="582">
                  <c:v>289.69689033051014</c:v>
                </c:pt>
                <c:pt idx="583">
                  <c:v>288.20904393025228</c:v>
                </c:pt>
                <c:pt idx="584">
                  <c:v>289.09248420989087</c:v>
                </c:pt>
                <c:pt idx="585">
                  <c:v>289.90843247272693</c:v>
                </c:pt>
                <c:pt idx="586">
                  <c:v>289.37151836891007</c:v>
                </c:pt>
                <c:pt idx="587">
                  <c:v>291.19783219671478</c:v>
                </c:pt>
                <c:pt idx="588">
                  <c:v>283.42919885968786</c:v>
                </c:pt>
                <c:pt idx="589">
                  <c:v>288.89907425129263</c:v>
                </c:pt>
                <c:pt idx="590">
                  <c:v>290.82813711960262</c:v>
                </c:pt>
                <c:pt idx="591">
                  <c:v>295.14661885142766</c:v>
                </c:pt>
                <c:pt idx="592">
                  <c:v>296.4319892012781</c:v>
                </c:pt>
                <c:pt idx="593">
                  <c:v>301.13023944555886</c:v>
                </c:pt>
                <c:pt idx="594">
                  <c:v>304.06060178702819</c:v>
                </c:pt>
                <c:pt idx="595">
                  <c:v>308.96233542525079</c:v>
                </c:pt>
                <c:pt idx="596">
                  <c:v>310.02810488460949</c:v>
                </c:pt>
                <c:pt idx="597">
                  <c:v>313.34931651741266</c:v>
                </c:pt>
                <c:pt idx="598">
                  <c:v>314.29621943971625</c:v>
                </c:pt>
                <c:pt idx="599">
                  <c:v>316.27766417181317</c:v>
                </c:pt>
                <c:pt idx="600">
                  <c:v>318.69226662368732</c:v>
                </c:pt>
                <c:pt idx="601">
                  <c:v>314.71628169354659</c:v>
                </c:pt>
                <c:pt idx="602">
                  <c:v>315.6218835309412</c:v>
                </c:pt>
                <c:pt idx="603">
                  <c:v>312.03070383092808</c:v>
                </c:pt>
                <c:pt idx="604">
                  <c:v>302.11642876570255</c:v>
                </c:pt>
                <c:pt idx="605">
                  <c:v>299.44898308670264</c:v>
                </c:pt>
                <c:pt idx="606">
                  <c:v>306.69279044232513</c:v>
                </c:pt>
                <c:pt idx="607">
                  <c:v>308.33979712101279</c:v>
                </c:pt>
                <c:pt idx="608">
                  <c:v>311.39607740427783</c:v>
                </c:pt>
                <c:pt idx="609">
                  <c:v>310.41391745827144</c:v>
                </c:pt>
                <c:pt idx="610">
                  <c:v>300.48956895770226</c:v>
                </c:pt>
                <c:pt idx="611">
                  <c:v>298.11022352953091</c:v>
                </c:pt>
                <c:pt idx="612">
                  <c:v>289.7452428201596</c:v>
                </c:pt>
                <c:pt idx="613">
                  <c:v>285.70075852968199</c:v>
                </c:pt>
                <c:pt idx="614">
                  <c:v>288.43871825608755</c:v>
                </c:pt>
                <c:pt idx="615">
                  <c:v>291.60681367166711</c:v>
                </c:pt>
                <c:pt idx="616">
                  <c:v>300.56310503571098</c:v>
                </c:pt>
                <c:pt idx="617">
                  <c:v>307.80389036073041</c:v>
                </c:pt>
                <c:pt idx="618">
                  <c:v>304.11802036848695</c:v>
                </c:pt>
                <c:pt idx="619">
                  <c:v>302.41057307773735</c:v>
                </c:pt>
                <c:pt idx="620">
                  <c:v>309.48917609372393</c:v>
                </c:pt>
                <c:pt idx="621">
                  <c:v>309.89412819453884</c:v>
                </c:pt>
                <c:pt idx="622">
                  <c:v>303.22853602764212</c:v>
                </c:pt>
                <c:pt idx="623">
                  <c:v>301.660102144635</c:v>
                </c:pt>
                <c:pt idx="624">
                  <c:v>305.67839550321906</c:v>
                </c:pt>
                <c:pt idx="625">
                  <c:v>311.26713743187895</c:v>
                </c:pt>
                <c:pt idx="626">
                  <c:v>306.97081725780998</c:v>
                </c:pt>
                <c:pt idx="627">
                  <c:v>307.76762599349308</c:v>
                </c:pt>
                <c:pt idx="628">
                  <c:v>312.87888708686381</c:v>
                </c:pt>
                <c:pt idx="629">
                  <c:v>314.36471880005297</c:v>
                </c:pt>
                <c:pt idx="630">
                  <c:v>313.10453203856167</c:v>
                </c:pt>
                <c:pt idx="631">
                  <c:v>305.67537347261595</c:v>
                </c:pt>
                <c:pt idx="632">
                  <c:v>298.97754631261955</c:v>
                </c:pt>
                <c:pt idx="633">
                  <c:v>301.79407883470554</c:v>
                </c:pt>
                <c:pt idx="634">
                  <c:v>305.61795489115707</c:v>
                </c:pt>
                <c:pt idx="635">
                  <c:v>294.07480533086249</c:v>
                </c:pt>
                <c:pt idx="636">
                  <c:v>285.41366562238767</c:v>
                </c:pt>
                <c:pt idx="637">
                  <c:v>302.85581891992678</c:v>
                </c:pt>
                <c:pt idx="638">
                  <c:v>298.94732600658853</c:v>
                </c:pt>
                <c:pt idx="639">
                  <c:v>302.50022665229574</c:v>
                </c:pt>
                <c:pt idx="640">
                  <c:v>309.12854710842089</c:v>
                </c:pt>
                <c:pt idx="641">
                  <c:v>312.41450171752126</c:v>
                </c:pt>
                <c:pt idx="642">
                  <c:v>323.79043225111116</c:v>
                </c:pt>
                <c:pt idx="643">
                  <c:v>312.28858377572556</c:v>
                </c:pt>
                <c:pt idx="644">
                  <c:v>319.99778384422495</c:v>
                </c:pt>
                <c:pt idx="645">
                  <c:v>324.0755104713366</c:v>
                </c:pt>
                <c:pt idx="646">
                  <c:v>319.27854056068799</c:v>
                </c:pt>
                <c:pt idx="647">
                  <c:v>316.25449527052263</c:v>
                </c:pt>
                <c:pt idx="648">
                  <c:v>306.67163622810341</c:v>
                </c:pt>
                <c:pt idx="649">
                  <c:v>309.7299311984371</c:v>
                </c:pt>
                <c:pt idx="650">
                  <c:v>306.13270743721785</c:v>
                </c:pt>
                <c:pt idx="651">
                  <c:v>307.81698582667701</c:v>
                </c:pt>
                <c:pt idx="652">
                  <c:v>298.92415710529815</c:v>
                </c:pt>
                <c:pt idx="653">
                  <c:v>300.6054134641542</c:v>
                </c:pt>
                <c:pt idx="654">
                  <c:v>303.9951244572942</c:v>
                </c:pt>
                <c:pt idx="655">
                  <c:v>298.91106163935143</c:v>
                </c:pt>
                <c:pt idx="656">
                  <c:v>303.1469412013584</c:v>
                </c:pt>
                <c:pt idx="657">
                  <c:v>299.70484834443141</c:v>
                </c:pt>
                <c:pt idx="658">
                  <c:v>303.20637446988599</c:v>
                </c:pt>
                <c:pt idx="659">
                  <c:v>296.92860956372004</c:v>
                </c:pt>
                <c:pt idx="660">
                  <c:v>291.76899598069986</c:v>
                </c:pt>
                <c:pt idx="661">
                  <c:v>279.44918455540943</c:v>
                </c:pt>
                <c:pt idx="662">
                  <c:v>287.18558289933674</c:v>
                </c:pt>
                <c:pt idx="663">
                  <c:v>296.26879954871072</c:v>
                </c:pt>
                <c:pt idx="664">
                  <c:v>297.66094831320385</c:v>
                </c:pt>
                <c:pt idx="665">
                  <c:v>306.15486899497398</c:v>
                </c:pt>
                <c:pt idx="666">
                  <c:v>313.49135195575815</c:v>
                </c:pt>
                <c:pt idx="667">
                  <c:v>323.37339202788394</c:v>
                </c:pt>
                <c:pt idx="668">
                  <c:v>324.09767202909279</c:v>
                </c:pt>
                <c:pt idx="669">
                  <c:v>320.76638696094602</c:v>
                </c:pt>
                <c:pt idx="670">
                  <c:v>310.89240563709512</c:v>
                </c:pt>
                <c:pt idx="671">
                  <c:v>309.12250304721488</c:v>
                </c:pt>
                <c:pt idx="672">
                  <c:v>321.95203030089419</c:v>
                </c:pt>
                <c:pt idx="673">
                  <c:v>322.1232787017363</c:v>
                </c:pt>
                <c:pt idx="674">
                  <c:v>316.24341449164473</c:v>
                </c:pt>
                <c:pt idx="675">
                  <c:v>308.63494877658189</c:v>
                </c:pt>
                <c:pt idx="676">
                  <c:v>310.60329804273215</c:v>
                </c:pt>
                <c:pt idx="677">
                  <c:v>315.68232414300314</c:v>
                </c:pt>
                <c:pt idx="678">
                  <c:v>312.45278077182724</c:v>
                </c:pt>
                <c:pt idx="679">
                  <c:v>303.82790543058962</c:v>
                </c:pt>
                <c:pt idx="680">
                  <c:v>298.25024428080769</c:v>
                </c:pt>
                <c:pt idx="681">
                  <c:v>305.03772501536258</c:v>
                </c:pt>
                <c:pt idx="682">
                  <c:v>313.92249498846655</c:v>
                </c:pt>
                <c:pt idx="683">
                  <c:v>311.16942510904556</c:v>
                </c:pt>
                <c:pt idx="684">
                  <c:v>306.91440601988558</c:v>
                </c:pt>
                <c:pt idx="685">
                  <c:v>312.83657865842048</c:v>
                </c:pt>
                <c:pt idx="686">
                  <c:v>304.27415861631351</c:v>
                </c:pt>
                <c:pt idx="687">
                  <c:v>313.91745827079467</c:v>
                </c:pt>
                <c:pt idx="688">
                  <c:v>314.61856937071309</c:v>
                </c:pt>
                <c:pt idx="689">
                  <c:v>319.25134228526014</c:v>
                </c:pt>
                <c:pt idx="690">
                  <c:v>313.82176063502999</c:v>
                </c:pt>
                <c:pt idx="691">
                  <c:v>318.5109447875015</c:v>
                </c:pt>
                <c:pt idx="692">
                  <c:v>325.39210847075236</c:v>
                </c:pt>
                <c:pt idx="693">
                  <c:v>331.16317957913247</c:v>
                </c:pt>
                <c:pt idx="694">
                  <c:v>323.11249005248322</c:v>
                </c:pt>
                <c:pt idx="695">
                  <c:v>334.24665813782536</c:v>
                </c:pt>
                <c:pt idx="696">
                  <c:v>334.83595410542921</c:v>
                </c:pt>
                <c:pt idx="697">
                  <c:v>335.52296239586656</c:v>
                </c:pt>
                <c:pt idx="698">
                  <c:v>332.63591582637497</c:v>
                </c:pt>
                <c:pt idx="699">
                  <c:v>342.16437831793843</c:v>
                </c:pt>
                <c:pt idx="700">
                  <c:v>342.72647601011442</c:v>
                </c:pt>
                <c:pt idx="701">
                  <c:v>342.28928891619978</c:v>
                </c:pt>
                <c:pt idx="702">
                  <c:v>336.87683210605377</c:v>
                </c:pt>
                <c:pt idx="703">
                  <c:v>338.60543361102498</c:v>
                </c:pt>
                <c:pt idx="704">
                  <c:v>358.61933495179932</c:v>
                </c:pt>
                <c:pt idx="705">
                  <c:v>350.35911797000199</c:v>
                </c:pt>
                <c:pt idx="706">
                  <c:v>350.75298929193889</c:v>
                </c:pt>
                <c:pt idx="707">
                  <c:v>354.2877577540275</c:v>
                </c:pt>
                <c:pt idx="708">
                  <c:v>355.32532159442394</c:v>
                </c:pt>
                <c:pt idx="709">
                  <c:v>341.80878605030733</c:v>
                </c:pt>
                <c:pt idx="710">
                  <c:v>342.55623495280656</c:v>
                </c:pt>
                <c:pt idx="711">
                  <c:v>338.21962103736297</c:v>
                </c:pt>
                <c:pt idx="712">
                  <c:v>335.30235416184041</c:v>
                </c:pt>
                <c:pt idx="713">
                  <c:v>340.24337419790339</c:v>
                </c:pt>
                <c:pt idx="714">
                  <c:v>333.85480150295723</c:v>
                </c:pt>
                <c:pt idx="715">
                  <c:v>332.85753140393535</c:v>
                </c:pt>
                <c:pt idx="716">
                  <c:v>342.49680168427909</c:v>
                </c:pt>
                <c:pt idx="717">
                  <c:v>338.25185603046276</c:v>
                </c:pt>
                <c:pt idx="718">
                  <c:v>315.32572453183775</c:v>
                </c:pt>
                <c:pt idx="719">
                  <c:v>316.96467246225046</c:v>
                </c:pt>
                <c:pt idx="720">
                  <c:v>322.11119057932399</c:v>
                </c:pt>
                <c:pt idx="721">
                  <c:v>320.38158173081837</c:v>
                </c:pt>
                <c:pt idx="722">
                  <c:v>316.58893332393217</c:v>
                </c:pt>
                <c:pt idx="723">
                  <c:v>310.69295161729076</c:v>
                </c:pt>
                <c:pt idx="724">
                  <c:v>313.48430055101761</c:v>
                </c:pt>
                <c:pt idx="725">
                  <c:v>320.60420465191322</c:v>
                </c:pt>
                <c:pt idx="726">
                  <c:v>314.26499179015093</c:v>
                </c:pt>
                <c:pt idx="727">
                  <c:v>315.98049782917542</c:v>
                </c:pt>
                <c:pt idx="728">
                  <c:v>312.7751307028243</c:v>
                </c:pt>
                <c:pt idx="729">
                  <c:v>313.91443624019172</c:v>
                </c:pt>
                <c:pt idx="730">
                  <c:v>315.70146367015616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59-4C94-BDB6-F57A146136EF}"/>
            </c:ext>
          </c:extLst>
        </c:ser>
        <c:ser>
          <c:idx val="9"/>
          <c:order val="9"/>
          <c:tx>
            <c:strRef>
              <c:f>Index!$Y$1</c:f>
              <c:strCache>
                <c:ptCount val="1"/>
                <c:pt idx="0">
                  <c:v>Ports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Index!$Y$2:$Y$732</c:f>
              <c:numCache>
                <c:formatCode>General</c:formatCode>
                <c:ptCount val="731"/>
                <c:pt idx="0">
                  <c:v>100</c:v>
                </c:pt>
                <c:pt idx="1">
                  <c:v>101.42690626517728</c:v>
                </c:pt>
                <c:pt idx="2">
                  <c:v>101.21321029626033</c:v>
                </c:pt>
                <c:pt idx="3">
                  <c:v>100.6945118989801</c:v>
                </c:pt>
                <c:pt idx="4">
                  <c:v>95.934919864011661</c:v>
                </c:pt>
                <c:pt idx="5">
                  <c:v>92.420592520641094</c:v>
                </c:pt>
                <c:pt idx="6">
                  <c:v>93.661971830985919</c:v>
                </c:pt>
                <c:pt idx="7">
                  <c:v>95.436619718309856</c:v>
                </c:pt>
                <c:pt idx="8">
                  <c:v>95.524040796503144</c:v>
                </c:pt>
                <c:pt idx="9">
                  <c:v>98.548810101991236</c:v>
                </c:pt>
                <c:pt idx="10">
                  <c:v>92.740165128703239</c:v>
                </c:pt>
                <c:pt idx="11">
                  <c:v>94.897523069451182</c:v>
                </c:pt>
                <c:pt idx="12">
                  <c:v>94.918892666342884</c:v>
                </c:pt>
                <c:pt idx="13">
                  <c:v>95.066537153958222</c:v>
                </c:pt>
                <c:pt idx="14">
                  <c:v>97.089849441476417</c:v>
                </c:pt>
                <c:pt idx="15">
                  <c:v>97.215152986886807</c:v>
                </c:pt>
                <c:pt idx="16">
                  <c:v>95.497814473045125</c:v>
                </c:pt>
                <c:pt idx="17">
                  <c:v>99.085964060223361</c:v>
                </c:pt>
                <c:pt idx="18">
                  <c:v>100.19718309859149</c:v>
                </c:pt>
                <c:pt idx="19">
                  <c:v>102.80913064594458</c:v>
                </c:pt>
                <c:pt idx="20">
                  <c:v>102.45167557066532</c:v>
                </c:pt>
                <c:pt idx="21">
                  <c:v>97.871782418649786</c:v>
                </c:pt>
                <c:pt idx="22">
                  <c:v>106.89363768819811</c:v>
                </c:pt>
                <c:pt idx="23">
                  <c:v>104.79844584749874</c:v>
                </c:pt>
                <c:pt idx="24">
                  <c:v>106.53715395823208</c:v>
                </c:pt>
                <c:pt idx="25">
                  <c:v>105.68334142787755</c:v>
                </c:pt>
                <c:pt idx="26">
                  <c:v>106.32928606119469</c:v>
                </c:pt>
                <c:pt idx="27">
                  <c:v>103.9203496843127</c:v>
                </c:pt>
                <c:pt idx="28">
                  <c:v>100.0505099562894</c:v>
                </c:pt>
                <c:pt idx="29">
                  <c:v>101.39970859640597</c:v>
                </c:pt>
                <c:pt idx="30">
                  <c:v>99.720252549781378</c:v>
                </c:pt>
                <c:pt idx="31">
                  <c:v>100.88586692569201</c:v>
                </c:pt>
                <c:pt idx="32">
                  <c:v>103.1811559009227</c:v>
                </c:pt>
                <c:pt idx="33">
                  <c:v>101.25594949004365</c:v>
                </c:pt>
                <c:pt idx="34">
                  <c:v>102.79941719281197</c:v>
                </c:pt>
                <c:pt idx="35">
                  <c:v>106.90626517727043</c:v>
                </c:pt>
                <c:pt idx="36">
                  <c:v>109.46770276833406</c:v>
                </c:pt>
                <c:pt idx="37">
                  <c:v>113.69305488101011</c:v>
                </c:pt>
                <c:pt idx="38">
                  <c:v>114.41185041282166</c:v>
                </c:pt>
                <c:pt idx="39">
                  <c:v>113.6318601262748</c:v>
                </c:pt>
                <c:pt idx="40">
                  <c:v>113.61049052938311</c:v>
                </c:pt>
                <c:pt idx="41">
                  <c:v>116.46527440505092</c:v>
                </c:pt>
                <c:pt idx="42">
                  <c:v>117.54735308402131</c:v>
                </c:pt>
                <c:pt idx="43">
                  <c:v>119.57649344341905</c:v>
                </c:pt>
                <c:pt idx="44">
                  <c:v>121.568722680913</c:v>
                </c:pt>
                <c:pt idx="45">
                  <c:v>120.76930548810095</c:v>
                </c:pt>
                <c:pt idx="46">
                  <c:v>120.74696454589601</c:v>
                </c:pt>
                <c:pt idx="47">
                  <c:v>120.63525983487126</c:v>
                </c:pt>
                <c:pt idx="48">
                  <c:v>123.61826129188924</c:v>
                </c:pt>
                <c:pt idx="49">
                  <c:v>123.74939290917918</c:v>
                </c:pt>
                <c:pt idx="50">
                  <c:v>124.10199125789215</c:v>
                </c:pt>
                <c:pt idx="51">
                  <c:v>128.04856726566291</c:v>
                </c:pt>
                <c:pt idx="52">
                  <c:v>131.98154443904804</c:v>
                </c:pt>
                <c:pt idx="53">
                  <c:v>135.41427877610485</c:v>
                </c:pt>
                <c:pt idx="54">
                  <c:v>134.60806216610001</c:v>
                </c:pt>
                <c:pt idx="55">
                  <c:v>135.04808159300626</c:v>
                </c:pt>
                <c:pt idx="56">
                  <c:v>136.32540067994168</c:v>
                </c:pt>
                <c:pt idx="57">
                  <c:v>138.76736279747445</c:v>
                </c:pt>
                <c:pt idx="58">
                  <c:v>138.88489558037878</c:v>
                </c:pt>
                <c:pt idx="59">
                  <c:v>140.13113161728992</c:v>
                </c:pt>
                <c:pt idx="60">
                  <c:v>144.24575036425446</c:v>
                </c:pt>
                <c:pt idx="61">
                  <c:v>146.2826614861583</c:v>
                </c:pt>
                <c:pt idx="62">
                  <c:v>140.79844584749875</c:v>
                </c:pt>
                <c:pt idx="63">
                  <c:v>144.97814473045165</c:v>
                </c:pt>
                <c:pt idx="64">
                  <c:v>141.06070908207866</c:v>
                </c:pt>
                <c:pt idx="65">
                  <c:v>144.56240893637687</c:v>
                </c:pt>
                <c:pt idx="66">
                  <c:v>145.39970859640601</c:v>
                </c:pt>
                <c:pt idx="67">
                  <c:v>142.360369111219</c:v>
                </c:pt>
                <c:pt idx="68">
                  <c:v>134.22535211267601</c:v>
                </c:pt>
                <c:pt idx="69">
                  <c:v>132.89363768819811</c:v>
                </c:pt>
                <c:pt idx="70">
                  <c:v>135.57455075279256</c:v>
                </c:pt>
                <c:pt idx="71">
                  <c:v>131.50558523555117</c:v>
                </c:pt>
                <c:pt idx="72">
                  <c:v>133.53375424963571</c:v>
                </c:pt>
                <c:pt idx="73">
                  <c:v>135.62991743564834</c:v>
                </c:pt>
                <c:pt idx="74">
                  <c:v>136.68965517241375</c:v>
                </c:pt>
                <c:pt idx="75">
                  <c:v>136.01554152501208</c:v>
                </c:pt>
                <c:pt idx="76">
                  <c:v>134.60611947547349</c:v>
                </c:pt>
                <c:pt idx="77">
                  <c:v>130.43419135502668</c:v>
                </c:pt>
                <c:pt idx="78">
                  <c:v>129.75327829043223</c:v>
                </c:pt>
                <c:pt idx="79">
                  <c:v>129.22098105876637</c:v>
                </c:pt>
                <c:pt idx="80">
                  <c:v>131.59009227780476</c:v>
                </c:pt>
                <c:pt idx="81">
                  <c:v>127.36182612918893</c:v>
                </c:pt>
                <c:pt idx="82">
                  <c:v>128.26032054395338</c:v>
                </c:pt>
                <c:pt idx="83">
                  <c:v>128.30014570179699</c:v>
                </c:pt>
                <c:pt idx="84">
                  <c:v>129.88440990772222</c:v>
                </c:pt>
                <c:pt idx="85">
                  <c:v>131.69985429820301</c:v>
                </c:pt>
                <c:pt idx="86">
                  <c:v>132.27780475959204</c:v>
                </c:pt>
                <c:pt idx="87">
                  <c:v>132.16901408450707</c:v>
                </c:pt>
                <c:pt idx="88">
                  <c:v>137.62991743564839</c:v>
                </c:pt>
                <c:pt idx="89">
                  <c:v>137.20058280718797</c:v>
                </c:pt>
                <c:pt idx="90">
                  <c:v>137.86012627489072</c:v>
                </c:pt>
                <c:pt idx="91">
                  <c:v>138.2496357455075</c:v>
                </c:pt>
                <c:pt idx="92">
                  <c:v>141.2627489072365</c:v>
                </c:pt>
                <c:pt idx="93">
                  <c:v>142.64303059737733</c:v>
                </c:pt>
                <c:pt idx="94">
                  <c:v>147.38708110733359</c:v>
                </c:pt>
                <c:pt idx="95">
                  <c:v>147.29577464788727</c:v>
                </c:pt>
                <c:pt idx="96">
                  <c:v>151.2268091306459</c:v>
                </c:pt>
                <c:pt idx="97">
                  <c:v>155.86595434677025</c:v>
                </c:pt>
                <c:pt idx="98">
                  <c:v>156.97037396794556</c:v>
                </c:pt>
                <c:pt idx="99">
                  <c:v>161.29674599320052</c:v>
                </c:pt>
                <c:pt idx="100">
                  <c:v>167.24623603691106</c:v>
                </c:pt>
                <c:pt idx="101">
                  <c:v>166.60611947547349</c:v>
                </c:pt>
                <c:pt idx="102">
                  <c:v>167.26274890723647</c:v>
                </c:pt>
                <c:pt idx="103">
                  <c:v>167.55026711996112</c:v>
                </c:pt>
                <c:pt idx="104">
                  <c:v>169.1636716852841</c:v>
                </c:pt>
                <c:pt idx="105">
                  <c:v>163.25303545410392</c:v>
                </c:pt>
                <c:pt idx="106">
                  <c:v>165.71442447790187</c:v>
                </c:pt>
                <c:pt idx="107">
                  <c:v>169.06847984458472</c:v>
                </c:pt>
                <c:pt idx="108">
                  <c:v>166.5497814473045</c:v>
                </c:pt>
                <c:pt idx="109">
                  <c:v>174.93637688198152</c:v>
                </c:pt>
                <c:pt idx="110">
                  <c:v>172.96648858669255</c:v>
                </c:pt>
                <c:pt idx="111">
                  <c:v>173.67945604662455</c:v>
                </c:pt>
                <c:pt idx="112">
                  <c:v>172.20592520641085</c:v>
                </c:pt>
                <c:pt idx="113">
                  <c:v>174.99660029140355</c:v>
                </c:pt>
                <c:pt idx="114">
                  <c:v>173.27343370568232</c:v>
                </c:pt>
                <c:pt idx="115">
                  <c:v>175.01117047110245</c:v>
                </c:pt>
                <c:pt idx="116">
                  <c:v>169.13744536182608</c:v>
                </c:pt>
                <c:pt idx="117">
                  <c:v>169.28023312287513</c:v>
                </c:pt>
                <c:pt idx="118">
                  <c:v>170.93734822729473</c:v>
                </c:pt>
                <c:pt idx="119">
                  <c:v>168.05148130160265</c:v>
                </c:pt>
                <c:pt idx="120">
                  <c:v>166.48858669256916</c:v>
                </c:pt>
                <c:pt idx="121">
                  <c:v>162.24672170956771</c:v>
                </c:pt>
                <c:pt idx="122">
                  <c:v>161.80573093734819</c:v>
                </c:pt>
                <c:pt idx="123">
                  <c:v>157.37931034482756</c:v>
                </c:pt>
                <c:pt idx="124">
                  <c:v>158.76930548810097</c:v>
                </c:pt>
                <c:pt idx="125">
                  <c:v>159.7105390966488</c:v>
                </c:pt>
                <c:pt idx="126">
                  <c:v>160.36134045653225</c:v>
                </c:pt>
                <c:pt idx="127">
                  <c:v>165.69985429820298</c:v>
                </c:pt>
                <c:pt idx="128">
                  <c:v>165.67265662943171</c:v>
                </c:pt>
                <c:pt idx="129">
                  <c:v>163.58523555123841</c:v>
                </c:pt>
                <c:pt idx="130">
                  <c:v>160.47207382224377</c:v>
                </c:pt>
                <c:pt idx="131">
                  <c:v>156.6789703739679</c:v>
                </c:pt>
                <c:pt idx="132">
                  <c:v>154.53909664885862</c:v>
                </c:pt>
                <c:pt idx="133">
                  <c:v>153.62894609033506</c:v>
                </c:pt>
                <c:pt idx="134">
                  <c:v>155.63574550752787</c:v>
                </c:pt>
                <c:pt idx="135">
                  <c:v>158.2729480330257</c:v>
                </c:pt>
                <c:pt idx="136">
                  <c:v>159.86206896551718</c:v>
                </c:pt>
                <c:pt idx="137">
                  <c:v>158.84215638659538</c:v>
                </c:pt>
                <c:pt idx="138">
                  <c:v>159.04808159300626</c:v>
                </c:pt>
                <c:pt idx="139">
                  <c:v>162.27100534239915</c:v>
                </c:pt>
                <c:pt idx="140">
                  <c:v>165.28217581350162</c:v>
                </c:pt>
                <c:pt idx="141">
                  <c:v>166.44973288003877</c:v>
                </c:pt>
                <c:pt idx="142">
                  <c:v>164.90237979601741</c:v>
                </c:pt>
                <c:pt idx="143">
                  <c:v>168.97911607576486</c:v>
                </c:pt>
                <c:pt idx="144">
                  <c:v>166.56338028169006</c:v>
                </c:pt>
                <c:pt idx="145">
                  <c:v>160.994657600777</c:v>
                </c:pt>
                <c:pt idx="146">
                  <c:v>163.69111219038359</c:v>
                </c:pt>
                <c:pt idx="147">
                  <c:v>164.83632831471579</c:v>
                </c:pt>
                <c:pt idx="148">
                  <c:v>173.70859640602222</c:v>
                </c:pt>
                <c:pt idx="149">
                  <c:v>173.31228751821263</c:v>
                </c:pt>
                <c:pt idx="150">
                  <c:v>170.36619718309851</c:v>
                </c:pt>
                <c:pt idx="151">
                  <c:v>171.57066537153949</c:v>
                </c:pt>
                <c:pt idx="152">
                  <c:v>184.53715395823204</c:v>
                </c:pt>
                <c:pt idx="153">
                  <c:v>184.27780475959193</c:v>
                </c:pt>
                <c:pt idx="154">
                  <c:v>186.18941233608538</c:v>
                </c:pt>
                <c:pt idx="155">
                  <c:v>182.84507042253514</c:v>
                </c:pt>
                <c:pt idx="156">
                  <c:v>183.41816415735784</c:v>
                </c:pt>
                <c:pt idx="157">
                  <c:v>186.26517727051956</c:v>
                </c:pt>
                <c:pt idx="158">
                  <c:v>193.04419621175319</c:v>
                </c:pt>
                <c:pt idx="159">
                  <c:v>191.40165128703245</c:v>
                </c:pt>
                <c:pt idx="160">
                  <c:v>193.23069451189886</c:v>
                </c:pt>
                <c:pt idx="161">
                  <c:v>191.29286061194742</c:v>
                </c:pt>
                <c:pt idx="162">
                  <c:v>199.06070908207852</c:v>
                </c:pt>
                <c:pt idx="163">
                  <c:v>199.95240407965017</c:v>
                </c:pt>
                <c:pt idx="164">
                  <c:v>198.38271005342381</c:v>
                </c:pt>
                <c:pt idx="165">
                  <c:v>197.41136474016494</c:v>
                </c:pt>
                <c:pt idx="166">
                  <c:v>194.484701311316</c:v>
                </c:pt>
                <c:pt idx="167">
                  <c:v>201.28411850412803</c:v>
                </c:pt>
                <c:pt idx="168">
                  <c:v>214.9839728023311</c:v>
                </c:pt>
                <c:pt idx="169">
                  <c:v>220.39339485186969</c:v>
                </c:pt>
                <c:pt idx="170">
                  <c:v>222.42059252064095</c:v>
                </c:pt>
                <c:pt idx="171">
                  <c:v>217.24332200097118</c:v>
                </c:pt>
                <c:pt idx="172">
                  <c:v>227.54346770276817</c:v>
                </c:pt>
                <c:pt idx="173">
                  <c:v>229.47935891209306</c:v>
                </c:pt>
                <c:pt idx="174">
                  <c:v>233.78630403108289</c:v>
                </c:pt>
                <c:pt idx="175">
                  <c:v>235.40747935891193</c:v>
                </c:pt>
                <c:pt idx="176">
                  <c:v>221.05973773676527</c:v>
                </c:pt>
                <c:pt idx="177">
                  <c:v>240.57406508013582</c:v>
                </c:pt>
                <c:pt idx="178">
                  <c:v>245.14521612433202</c:v>
                </c:pt>
                <c:pt idx="179">
                  <c:v>237.99222923749377</c:v>
                </c:pt>
                <c:pt idx="180">
                  <c:v>264.59543467702753</c:v>
                </c:pt>
                <c:pt idx="181">
                  <c:v>273.05002428363269</c:v>
                </c:pt>
                <c:pt idx="182">
                  <c:v>273.04516755706641</c:v>
                </c:pt>
                <c:pt idx="183">
                  <c:v>272.48567265662928</c:v>
                </c:pt>
                <c:pt idx="184">
                  <c:v>268.70033997085949</c:v>
                </c:pt>
                <c:pt idx="185">
                  <c:v>272.09033511413293</c:v>
                </c:pt>
                <c:pt idx="186">
                  <c:v>273.40456532297213</c:v>
                </c:pt>
                <c:pt idx="187">
                  <c:v>280.61680427391917</c:v>
                </c:pt>
                <c:pt idx="188">
                  <c:v>280.84701311316155</c:v>
                </c:pt>
                <c:pt idx="189">
                  <c:v>280.51384167071376</c:v>
                </c:pt>
                <c:pt idx="190">
                  <c:v>291.08693540553651</c:v>
                </c:pt>
                <c:pt idx="191">
                  <c:v>294.05245264691587</c:v>
                </c:pt>
                <c:pt idx="192">
                  <c:v>288.49247207382217</c:v>
                </c:pt>
                <c:pt idx="193">
                  <c:v>273.04711024769296</c:v>
                </c:pt>
                <c:pt idx="194">
                  <c:v>276.86158329286053</c:v>
                </c:pt>
                <c:pt idx="195">
                  <c:v>294.13113161728984</c:v>
                </c:pt>
                <c:pt idx="196">
                  <c:v>291.78338999514318</c:v>
                </c:pt>
                <c:pt idx="197">
                  <c:v>286.83535696940254</c:v>
                </c:pt>
                <c:pt idx="198">
                  <c:v>286.40796503156866</c:v>
                </c:pt>
                <c:pt idx="199">
                  <c:v>290.47304516755702</c:v>
                </c:pt>
                <c:pt idx="200">
                  <c:v>287.76104905293829</c:v>
                </c:pt>
                <c:pt idx="201">
                  <c:v>300.27683341427871</c:v>
                </c:pt>
                <c:pt idx="202">
                  <c:v>299.06556580864492</c:v>
                </c:pt>
                <c:pt idx="203">
                  <c:v>321.5327829043224</c:v>
                </c:pt>
                <c:pt idx="204">
                  <c:v>343.25497814473039</c:v>
                </c:pt>
                <c:pt idx="205">
                  <c:v>350.16221466731417</c:v>
                </c:pt>
                <c:pt idx="206">
                  <c:v>341.2928606119475</c:v>
                </c:pt>
                <c:pt idx="207">
                  <c:v>344.19329771733845</c:v>
                </c:pt>
                <c:pt idx="208">
                  <c:v>342.31568722680908</c:v>
                </c:pt>
                <c:pt idx="209">
                  <c:v>338.62846041767841</c:v>
                </c:pt>
                <c:pt idx="210">
                  <c:v>333.51432734337055</c:v>
                </c:pt>
                <c:pt idx="211">
                  <c:v>345.70859640602231</c:v>
                </c:pt>
                <c:pt idx="212">
                  <c:v>340.7897037396794</c:v>
                </c:pt>
                <c:pt idx="213">
                  <c:v>341.20738222438075</c:v>
                </c:pt>
                <c:pt idx="214">
                  <c:v>343.0315687226809</c:v>
                </c:pt>
                <c:pt idx="215">
                  <c:v>350.14570179698882</c:v>
                </c:pt>
                <c:pt idx="216">
                  <c:v>347.60660514813014</c:v>
                </c:pt>
                <c:pt idx="217">
                  <c:v>326.67508499271486</c:v>
                </c:pt>
                <c:pt idx="218">
                  <c:v>332.65274405050991</c:v>
                </c:pt>
                <c:pt idx="219">
                  <c:v>329.12093249150075</c:v>
                </c:pt>
                <c:pt idx="220">
                  <c:v>335.36765420106849</c:v>
                </c:pt>
                <c:pt idx="221">
                  <c:v>334.21078193297711</c:v>
                </c:pt>
                <c:pt idx="222">
                  <c:v>340.70131131617285</c:v>
                </c:pt>
                <c:pt idx="223">
                  <c:v>336.19329771733845</c:v>
                </c:pt>
                <c:pt idx="224">
                  <c:v>342.67119961146187</c:v>
                </c:pt>
                <c:pt idx="225">
                  <c:v>333.97960174842154</c:v>
                </c:pt>
                <c:pt idx="226">
                  <c:v>337.41330743079163</c:v>
                </c:pt>
                <c:pt idx="227">
                  <c:v>331.48907236522581</c:v>
                </c:pt>
                <c:pt idx="228">
                  <c:v>336.16610004856722</c:v>
                </c:pt>
                <c:pt idx="229">
                  <c:v>341.27634774162209</c:v>
                </c:pt>
                <c:pt idx="230">
                  <c:v>340.58086449732872</c:v>
                </c:pt>
                <c:pt idx="231">
                  <c:v>323.35114133074302</c:v>
                </c:pt>
                <c:pt idx="232">
                  <c:v>326.50509956289449</c:v>
                </c:pt>
                <c:pt idx="233">
                  <c:v>337.89120932491488</c:v>
                </c:pt>
                <c:pt idx="234">
                  <c:v>342.03593977659045</c:v>
                </c:pt>
                <c:pt idx="235">
                  <c:v>359.99320058280699</c:v>
                </c:pt>
                <c:pt idx="236">
                  <c:v>368.33608547838736</c:v>
                </c:pt>
                <c:pt idx="237">
                  <c:v>358.56823700825623</c:v>
                </c:pt>
                <c:pt idx="238">
                  <c:v>337.86304031083029</c:v>
                </c:pt>
                <c:pt idx="239">
                  <c:v>339.4375910636229</c:v>
                </c:pt>
                <c:pt idx="240">
                  <c:v>347.83195726080601</c:v>
                </c:pt>
                <c:pt idx="241">
                  <c:v>304.52161243321984</c:v>
                </c:pt>
                <c:pt idx="242">
                  <c:v>343.90966488586673</c:v>
                </c:pt>
                <c:pt idx="243">
                  <c:v>358.20495386109735</c:v>
                </c:pt>
                <c:pt idx="244">
                  <c:v>348.23409422049514</c:v>
                </c:pt>
                <c:pt idx="245">
                  <c:v>367.57940747935868</c:v>
                </c:pt>
                <c:pt idx="246">
                  <c:v>403.74065080135966</c:v>
                </c:pt>
                <c:pt idx="247">
                  <c:v>409.47158814958692</c:v>
                </c:pt>
                <c:pt idx="248">
                  <c:v>400.85089849441454</c:v>
                </c:pt>
                <c:pt idx="249">
                  <c:v>402.11850412821741</c:v>
                </c:pt>
                <c:pt idx="250">
                  <c:v>392.77513355998036</c:v>
                </c:pt>
                <c:pt idx="251">
                  <c:v>432.74016512870304</c:v>
                </c:pt>
                <c:pt idx="252">
                  <c:v>455.29771733851356</c:v>
                </c:pt>
                <c:pt idx="253">
                  <c:v>430.05828071879529</c:v>
                </c:pt>
                <c:pt idx="254">
                  <c:v>406.3642544924719</c:v>
                </c:pt>
                <c:pt idx="255">
                  <c:v>363.74162214667291</c:v>
                </c:pt>
                <c:pt idx="256">
                  <c:v>424.57017969888273</c:v>
                </c:pt>
                <c:pt idx="257">
                  <c:v>423.91257892180653</c:v>
                </c:pt>
                <c:pt idx="258">
                  <c:v>405.89218067022807</c:v>
                </c:pt>
                <c:pt idx="259">
                  <c:v>406.44099077221938</c:v>
                </c:pt>
                <c:pt idx="260">
                  <c:v>412.43904808159289</c:v>
                </c:pt>
                <c:pt idx="261">
                  <c:v>408.20398251578422</c:v>
                </c:pt>
                <c:pt idx="262">
                  <c:v>391.79018941233596</c:v>
                </c:pt>
                <c:pt idx="263">
                  <c:v>355.49684312773178</c:v>
                </c:pt>
                <c:pt idx="264">
                  <c:v>356.98688683827083</c:v>
                </c:pt>
                <c:pt idx="265">
                  <c:v>355.77367654201055</c:v>
                </c:pt>
                <c:pt idx="266">
                  <c:v>330.34774162214654</c:v>
                </c:pt>
                <c:pt idx="267">
                  <c:v>350.66440019426892</c:v>
                </c:pt>
                <c:pt idx="268">
                  <c:v>347.23360854783863</c:v>
                </c:pt>
                <c:pt idx="269">
                  <c:v>359.77659057795029</c:v>
                </c:pt>
                <c:pt idx="270">
                  <c:v>326.08936376881968</c:v>
                </c:pt>
                <c:pt idx="271">
                  <c:v>312.05245264691581</c:v>
                </c:pt>
                <c:pt idx="272">
                  <c:v>304.32734337056809</c:v>
                </c:pt>
                <c:pt idx="273">
                  <c:v>334.02234094220478</c:v>
                </c:pt>
                <c:pt idx="274">
                  <c:v>349.63865954346755</c:v>
                </c:pt>
                <c:pt idx="275">
                  <c:v>339.69596891694982</c:v>
                </c:pt>
                <c:pt idx="276">
                  <c:v>354.97134531325867</c:v>
                </c:pt>
                <c:pt idx="277">
                  <c:v>376.8703254006798</c:v>
                </c:pt>
                <c:pt idx="278">
                  <c:v>372.21855269548308</c:v>
                </c:pt>
                <c:pt idx="279">
                  <c:v>350.05148130160262</c:v>
                </c:pt>
                <c:pt idx="280">
                  <c:v>355.83681398737235</c:v>
                </c:pt>
                <c:pt idx="281">
                  <c:v>345.74356483729946</c:v>
                </c:pt>
                <c:pt idx="282">
                  <c:v>347.19475473530821</c:v>
                </c:pt>
                <c:pt idx="283">
                  <c:v>343.64351627003384</c:v>
                </c:pt>
                <c:pt idx="284">
                  <c:v>318.37202525497798</c:v>
                </c:pt>
                <c:pt idx="285">
                  <c:v>319.68722680913044</c:v>
                </c:pt>
                <c:pt idx="286">
                  <c:v>307.41913550267105</c:v>
                </c:pt>
                <c:pt idx="287">
                  <c:v>287.07430791646414</c:v>
                </c:pt>
                <c:pt idx="288">
                  <c:v>289.56289460903344</c:v>
                </c:pt>
                <c:pt idx="289">
                  <c:v>285.59009227780467</c:v>
                </c:pt>
                <c:pt idx="290">
                  <c:v>298.63428848955795</c:v>
                </c:pt>
                <c:pt idx="291">
                  <c:v>282.60417678484691</c:v>
                </c:pt>
                <c:pt idx="292">
                  <c:v>277.71442447790179</c:v>
                </c:pt>
                <c:pt idx="293">
                  <c:v>279.23166585721208</c:v>
                </c:pt>
                <c:pt idx="294">
                  <c:v>275.54346770276811</c:v>
                </c:pt>
                <c:pt idx="295">
                  <c:v>284.12627489072344</c:v>
                </c:pt>
                <c:pt idx="296">
                  <c:v>265.55900922778022</c:v>
                </c:pt>
                <c:pt idx="297">
                  <c:v>250.89460903351119</c:v>
                </c:pt>
                <c:pt idx="298">
                  <c:v>253.23749392909156</c:v>
                </c:pt>
                <c:pt idx="299">
                  <c:v>246.80427391937809</c:v>
                </c:pt>
                <c:pt idx="300">
                  <c:v>217.9339485186982</c:v>
                </c:pt>
                <c:pt idx="301">
                  <c:v>161.82418649829998</c:v>
                </c:pt>
                <c:pt idx="302">
                  <c:v>178.18844099077202</c:v>
                </c:pt>
                <c:pt idx="303">
                  <c:v>133.93977659057779</c:v>
                </c:pt>
                <c:pt idx="304">
                  <c:v>148.29043224866422</c:v>
                </c:pt>
                <c:pt idx="305">
                  <c:v>147.76590577950441</c:v>
                </c:pt>
                <c:pt idx="306">
                  <c:v>132.56435162700322</c:v>
                </c:pt>
                <c:pt idx="307">
                  <c:v>113.11413307430776</c:v>
                </c:pt>
                <c:pt idx="308">
                  <c:v>129.99514327343351</c:v>
                </c:pt>
                <c:pt idx="309">
                  <c:v>121.11219038368122</c:v>
                </c:pt>
                <c:pt idx="310">
                  <c:v>133.08013598834367</c:v>
                </c:pt>
                <c:pt idx="311">
                  <c:v>138.2224380767361</c:v>
                </c:pt>
                <c:pt idx="312">
                  <c:v>135.71345313258848</c:v>
                </c:pt>
                <c:pt idx="313">
                  <c:v>145.16075764934416</c:v>
                </c:pt>
                <c:pt idx="314">
                  <c:v>138.923749392909</c:v>
                </c:pt>
                <c:pt idx="315">
                  <c:v>120.16221466731406</c:v>
                </c:pt>
                <c:pt idx="316">
                  <c:v>106.52841185041268</c:v>
                </c:pt>
                <c:pt idx="317">
                  <c:v>112.32345798931505</c:v>
                </c:pt>
                <c:pt idx="318">
                  <c:v>113.21321029626017</c:v>
                </c:pt>
                <c:pt idx="319">
                  <c:v>115.79407479358896</c:v>
                </c:pt>
                <c:pt idx="320">
                  <c:v>105.87275376396296</c:v>
                </c:pt>
                <c:pt idx="321">
                  <c:v>100.41767848470118</c:v>
                </c:pt>
                <c:pt idx="322">
                  <c:v>99.914521612433091</c:v>
                </c:pt>
                <c:pt idx="323">
                  <c:v>103.76007770762494</c:v>
                </c:pt>
                <c:pt idx="324">
                  <c:v>113.76202039825147</c:v>
                </c:pt>
                <c:pt idx="325">
                  <c:v>139.47935891209312</c:v>
                </c:pt>
                <c:pt idx="326">
                  <c:v>144.27391937833883</c:v>
                </c:pt>
                <c:pt idx="327">
                  <c:v>137.77659057795032</c:v>
                </c:pt>
                <c:pt idx="328">
                  <c:v>142.74405050995611</c:v>
                </c:pt>
                <c:pt idx="329">
                  <c:v>139.3113161728993</c:v>
                </c:pt>
                <c:pt idx="330">
                  <c:v>143.42204953861079</c:v>
                </c:pt>
                <c:pt idx="331">
                  <c:v>171.4278776104903</c:v>
                </c:pt>
                <c:pt idx="332">
                  <c:v>161.44536182612896</c:v>
                </c:pt>
                <c:pt idx="333">
                  <c:v>172.81495871782394</c:v>
                </c:pt>
                <c:pt idx="334">
                  <c:v>182.4021369596889</c:v>
                </c:pt>
                <c:pt idx="335">
                  <c:v>194.24089363768795</c:v>
                </c:pt>
                <c:pt idx="336">
                  <c:v>188.87032540067969</c:v>
                </c:pt>
                <c:pt idx="337">
                  <c:v>175.07236522583753</c:v>
                </c:pt>
                <c:pt idx="338">
                  <c:v>171.9086935405534</c:v>
                </c:pt>
                <c:pt idx="339">
                  <c:v>171.74065080135961</c:v>
                </c:pt>
                <c:pt idx="340">
                  <c:v>157.04225352112653</c:v>
                </c:pt>
                <c:pt idx="341">
                  <c:v>183.67071393880497</c:v>
                </c:pt>
                <c:pt idx="342">
                  <c:v>191.61243322000942</c:v>
                </c:pt>
                <c:pt idx="343">
                  <c:v>190.63623118018424</c:v>
                </c:pt>
                <c:pt idx="344">
                  <c:v>195.77853326857667</c:v>
                </c:pt>
                <c:pt idx="345">
                  <c:v>196.2389509470614</c:v>
                </c:pt>
                <c:pt idx="346">
                  <c:v>189.45604662457478</c:v>
                </c:pt>
                <c:pt idx="347">
                  <c:v>197.15298688683799</c:v>
                </c:pt>
                <c:pt idx="348">
                  <c:v>201.07916464303031</c:v>
                </c:pt>
                <c:pt idx="349">
                  <c:v>218.63040310830468</c:v>
                </c:pt>
                <c:pt idx="350">
                  <c:v>218.41282175813467</c:v>
                </c:pt>
                <c:pt idx="351">
                  <c:v>217.79893152015504</c:v>
                </c:pt>
                <c:pt idx="352">
                  <c:v>214.15832928606085</c:v>
                </c:pt>
                <c:pt idx="353">
                  <c:v>216.42447790189377</c:v>
                </c:pt>
                <c:pt idx="354">
                  <c:v>219.5968916949972</c:v>
                </c:pt>
                <c:pt idx="355">
                  <c:v>216.54686741136436</c:v>
                </c:pt>
                <c:pt idx="356">
                  <c:v>201.5949490043707</c:v>
                </c:pt>
                <c:pt idx="357">
                  <c:v>197.96891694997535</c:v>
                </c:pt>
                <c:pt idx="358">
                  <c:v>205.76299174356447</c:v>
                </c:pt>
                <c:pt idx="359">
                  <c:v>198.19718309859121</c:v>
                </c:pt>
                <c:pt idx="360">
                  <c:v>184.35648372996567</c:v>
                </c:pt>
                <c:pt idx="361">
                  <c:v>186.06410879067474</c:v>
                </c:pt>
                <c:pt idx="362">
                  <c:v>174.33025740650768</c:v>
                </c:pt>
                <c:pt idx="363">
                  <c:v>182.22826614861549</c:v>
                </c:pt>
                <c:pt idx="364">
                  <c:v>190.37202525497779</c:v>
                </c:pt>
                <c:pt idx="365">
                  <c:v>192.32637202525461</c:v>
                </c:pt>
                <c:pt idx="366">
                  <c:v>204.66731423020846</c:v>
                </c:pt>
                <c:pt idx="367">
                  <c:v>211.83584264205885</c:v>
                </c:pt>
                <c:pt idx="368">
                  <c:v>208.68965517241341</c:v>
                </c:pt>
                <c:pt idx="369">
                  <c:v>199.40456532297193</c:v>
                </c:pt>
                <c:pt idx="370">
                  <c:v>196.13016027197634</c:v>
                </c:pt>
                <c:pt idx="371">
                  <c:v>192.12141816415701</c:v>
                </c:pt>
                <c:pt idx="372">
                  <c:v>189.77367654201032</c:v>
                </c:pt>
                <c:pt idx="373">
                  <c:v>193.82418649829978</c:v>
                </c:pt>
                <c:pt idx="374">
                  <c:v>205.48615832928567</c:v>
                </c:pt>
                <c:pt idx="375">
                  <c:v>212.58863525983446</c:v>
                </c:pt>
                <c:pt idx="376">
                  <c:v>216.51384167071356</c:v>
                </c:pt>
                <c:pt idx="377">
                  <c:v>220.25254978144693</c:v>
                </c:pt>
                <c:pt idx="378">
                  <c:v>222.06119475473494</c:v>
                </c:pt>
                <c:pt idx="379">
                  <c:v>226.46041767848433</c:v>
                </c:pt>
                <c:pt idx="380">
                  <c:v>225.88343856240857</c:v>
                </c:pt>
                <c:pt idx="381">
                  <c:v>223.35016998542946</c:v>
                </c:pt>
                <c:pt idx="382">
                  <c:v>217.43759106362279</c:v>
                </c:pt>
                <c:pt idx="383">
                  <c:v>190.91792132102935</c:v>
                </c:pt>
                <c:pt idx="384">
                  <c:v>202.45070422535181</c:v>
                </c:pt>
                <c:pt idx="385">
                  <c:v>183.84167071393856</c:v>
                </c:pt>
                <c:pt idx="386">
                  <c:v>186.94997571636691</c:v>
                </c:pt>
                <c:pt idx="387">
                  <c:v>187.17241379310317</c:v>
                </c:pt>
                <c:pt idx="388">
                  <c:v>185.11704711024743</c:v>
                </c:pt>
                <c:pt idx="389">
                  <c:v>194.46430305973746</c:v>
                </c:pt>
                <c:pt idx="390">
                  <c:v>198.89169499757134</c:v>
                </c:pt>
                <c:pt idx="391">
                  <c:v>190.56823700825615</c:v>
                </c:pt>
                <c:pt idx="392">
                  <c:v>195.65322972316628</c:v>
                </c:pt>
                <c:pt idx="393">
                  <c:v>197.22972316658539</c:v>
                </c:pt>
                <c:pt idx="394">
                  <c:v>206.31374453618227</c:v>
                </c:pt>
                <c:pt idx="395">
                  <c:v>215.52598348712934</c:v>
                </c:pt>
                <c:pt idx="396">
                  <c:v>214.95191840699331</c:v>
                </c:pt>
                <c:pt idx="397">
                  <c:v>202.18164157357907</c:v>
                </c:pt>
                <c:pt idx="398">
                  <c:v>207.21029626032018</c:v>
                </c:pt>
                <c:pt idx="399">
                  <c:v>201.79407479358875</c:v>
                </c:pt>
                <c:pt idx="400">
                  <c:v>209.21903836813951</c:v>
                </c:pt>
                <c:pt idx="401">
                  <c:v>215.52598348712934</c:v>
                </c:pt>
                <c:pt idx="402">
                  <c:v>215.50267119961111</c:v>
                </c:pt>
                <c:pt idx="403">
                  <c:v>214.84992714910118</c:v>
                </c:pt>
                <c:pt idx="404">
                  <c:v>215.91063623117986</c:v>
                </c:pt>
                <c:pt idx="405">
                  <c:v>218.70131131617259</c:v>
                </c:pt>
                <c:pt idx="406">
                  <c:v>222.61097620203952</c:v>
                </c:pt>
                <c:pt idx="407">
                  <c:v>221.53958232151498</c:v>
                </c:pt>
                <c:pt idx="408">
                  <c:v>222.91209324914979</c:v>
                </c:pt>
                <c:pt idx="409">
                  <c:v>236.13113161728961</c:v>
                </c:pt>
                <c:pt idx="410">
                  <c:v>234.88003885381224</c:v>
                </c:pt>
                <c:pt idx="411">
                  <c:v>228.2030111704708</c:v>
                </c:pt>
                <c:pt idx="412">
                  <c:v>230.43807673627947</c:v>
                </c:pt>
                <c:pt idx="413">
                  <c:v>237.96697425934892</c:v>
                </c:pt>
                <c:pt idx="414">
                  <c:v>234.53618261291865</c:v>
                </c:pt>
                <c:pt idx="415">
                  <c:v>227.15590092277782</c:v>
                </c:pt>
                <c:pt idx="416">
                  <c:v>239.79213210296234</c:v>
                </c:pt>
                <c:pt idx="417">
                  <c:v>242.1525012141814</c:v>
                </c:pt>
                <c:pt idx="418">
                  <c:v>247.29577464788707</c:v>
                </c:pt>
                <c:pt idx="419">
                  <c:v>259.33365711510419</c:v>
                </c:pt>
                <c:pt idx="420">
                  <c:v>251.00825643516248</c:v>
                </c:pt>
                <c:pt idx="421">
                  <c:v>257.21126760563357</c:v>
                </c:pt>
                <c:pt idx="422">
                  <c:v>257.58329286061172</c:v>
                </c:pt>
                <c:pt idx="423">
                  <c:v>243.35599805730914</c:v>
                </c:pt>
                <c:pt idx="424">
                  <c:v>255.71248178727512</c:v>
                </c:pt>
                <c:pt idx="425">
                  <c:v>236.38173870811053</c:v>
                </c:pt>
                <c:pt idx="426">
                  <c:v>245.32200097134509</c:v>
                </c:pt>
                <c:pt idx="427">
                  <c:v>244.94317629917413</c:v>
                </c:pt>
                <c:pt idx="428">
                  <c:v>239.98348712967439</c:v>
                </c:pt>
                <c:pt idx="429">
                  <c:v>250.5381253035452</c:v>
                </c:pt>
                <c:pt idx="430">
                  <c:v>251.17338513841648</c:v>
                </c:pt>
                <c:pt idx="431">
                  <c:v>259.90092277804735</c:v>
                </c:pt>
                <c:pt idx="432">
                  <c:v>263.40553666828538</c:v>
                </c:pt>
                <c:pt idx="433">
                  <c:v>272.48567265662922</c:v>
                </c:pt>
                <c:pt idx="434">
                  <c:v>266.11267605633782</c:v>
                </c:pt>
                <c:pt idx="435">
                  <c:v>258.10684798445828</c:v>
                </c:pt>
                <c:pt idx="436">
                  <c:v>261.36376881981522</c:v>
                </c:pt>
                <c:pt idx="437">
                  <c:v>262.47110247693035</c:v>
                </c:pt>
                <c:pt idx="438">
                  <c:v>256.54395337542479</c:v>
                </c:pt>
                <c:pt idx="439">
                  <c:v>249.62894609033495</c:v>
                </c:pt>
                <c:pt idx="440">
                  <c:v>239.19766877124803</c:v>
                </c:pt>
                <c:pt idx="441">
                  <c:v>230.34288489558026</c:v>
                </c:pt>
                <c:pt idx="442">
                  <c:v>230.69742593491975</c:v>
                </c:pt>
                <c:pt idx="443">
                  <c:v>237.96308887809599</c:v>
                </c:pt>
                <c:pt idx="444">
                  <c:v>237.96308887809599</c:v>
                </c:pt>
                <c:pt idx="445">
                  <c:v>225.9582321515297</c:v>
                </c:pt>
                <c:pt idx="446">
                  <c:v>228.73530840213684</c:v>
                </c:pt>
                <c:pt idx="447">
                  <c:v>222.2360369111218</c:v>
                </c:pt>
                <c:pt idx="448">
                  <c:v>207.42302088392415</c:v>
                </c:pt>
                <c:pt idx="449">
                  <c:v>197.61146187469637</c:v>
                </c:pt>
                <c:pt idx="450">
                  <c:v>188.48178727537632</c:v>
                </c:pt>
                <c:pt idx="451">
                  <c:v>191.42010684798439</c:v>
                </c:pt>
                <c:pt idx="452">
                  <c:v>193.77950461389014</c:v>
                </c:pt>
                <c:pt idx="453">
                  <c:v>188.29626032054384</c:v>
                </c:pt>
                <c:pt idx="454">
                  <c:v>184.84798445847488</c:v>
                </c:pt>
                <c:pt idx="455">
                  <c:v>173.56580864497317</c:v>
                </c:pt>
                <c:pt idx="456">
                  <c:v>182.76639145216112</c:v>
                </c:pt>
                <c:pt idx="457">
                  <c:v>183.64351627003387</c:v>
                </c:pt>
                <c:pt idx="458">
                  <c:v>190.91403593977648</c:v>
                </c:pt>
                <c:pt idx="459">
                  <c:v>187.97474502185517</c:v>
                </c:pt>
                <c:pt idx="460">
                  <c:v>204.6090335114132</c:v>
                </c:pt>
                <c:pt idx="461">
                  <c:v>195.63477416221457</c:v>
                </c:pt>
                <c:pt idx="462">
                  <c:v>191.91549295774638</c:v>
                </c:pt>
                <c:pt idx="463">
                  <c:v>186.13793103448265</c:v>
                </c:pt>
                <c:pt idx="464">
                  <c:v>174.84215638659532</c:v>
                </c:pt>
                <c:pt idx="465">
                  <c:v>188.06508013598824</c:v>
                </c:pt>
                <c:pt idx="466">
                  <c:v>187.77853326857687</c:v>
                </c:pt>
                <c:pt idx="467">
                  <c:v>182.53715395823204</c:v>
                </c:pt>
                <c:pt idx="468">
                  <c:v>185.89023797960164</c:v>
                </c:pt>
                <c:pt idx="469">
                  <c:v>184.08547838756667</c:v>
                </c:pt>
                <c:pt idx="470">
                  <c:v>188.75084992714898</c:v>
                </c:pt>
                <c:pt idx="471">
                  <c:v>196.25254978144716</c:v>
                </c:pt>
                <c:pt idx="472">
                  <c:v>200.55755220981041</c:v>
                </c:pt>
                <c:pt idx="473">
                  <c:v>208.02816901408437</c:v>
                </c:pt>
                <c:pt idx="474">
                  <c:v>214.23895094706154</c:v>
                </c:pt>
                <c:pt idx="475">
                  <c:v>214.83244293346269</c:v>
                </c:pt>
                <c:pt idx="476">
                  <c:v>214.60320543953361</c:v>
                </c:pt>
                <c:pt idx="477">
                  <c:v>217.15395823215138</c:v>
                </c:pt>
                <c:pt idx="478">
                  <c:v>217.05390966488574</c:v>
                </c:pt>
                <c:pt idx="479">
                  <c:v>212.63331714424464</c:v>
                </c:pt>
                <c:pt idx="480">
                  <c:v>215.74745021855259</c:v>
                </c:pt>
                <c:pt idx="481">
                  <c:v>210.75570665371529</c:v>
                </c:pt>
                <c:pt idx="482">
                  <c:v>212.06508013598824</c:v>
                </c:pt>
                <c:pt idx="483">
                  <c:v>209.46187469645446</c:v>
                </c:pt>
                <c:pt idx="484">
                  <c:v>209.08110733365697</c:v>
                </c:pt>
                <c:pt idx="485">
                  <c:v>208.70033997085955</c:v>
                </c:pt>
                <c:pt idx="486">
                  <c:v>208.62457503642534</c:v>
                </c:pt>
                <c:pt idx="487">
                  <c:v>210.1369596891694</c:v>
                </c:pt>
                <c:pt idx="488">
                  <c:v>202.20689655172401</c:v>
                </c:pt>
                <c:pt idx="489">
                  <c:v>192.72850898494406</c:v>
                </c:pt>
                <c:pt idx="490">
                  <c:v>193.75522098105867</c:v>
                </c:pt>
                <c:pt idx="491">
                  <c:v>189.42690626517717</c:v>
                </c:pt>
                <c:pt idx="492">
                  <c:v>184.47984458474977</c:v>
                </c:pt>
                <c:pt idx="493">
                  <c:v>190.89460903351133</c:v>
                </c:pt>
                <c:pt idx="494">
                  <c:v>191.96891694997561</c:v>
                </c:pt>
                <c:pt idx="495">
                  <c:v>193.45798931520144</c:v>
                </c:pt>
                <c:pt idx="496">
                  <c:v>200.45653229723155</c:v>
                </c:pt>
                <c:pt idx="497">
                  <c:v>198.84215638659535</c:v>
                </c:pt>
                <c:pt idx="498">
                  <c:v>202.03593977659051</c:v>
                </c:pt>
                <c:pt idx="499">
                  <c:v>197.01991257892175</c:v>
                </c:pt>
                <c:pt idx="500">
                  <c:v>192.48178727537632</c:v>
                </c:pt>
                <c:pt idx="501">
                  <c:v>197.21321029626026</c:v>
                </c:pt>
                <c:pt idx="502">
                  <c:v>197.33948518698389</c:v>
                </c:pt>
                <c:pt idx="503">
                  <c:v>196.29723166585714</c:v>
                </c:pt>
                <c:pt idx="504">
                  <c:v>190.24477901894113</c:v>
                </c:pt>
                <c:pt idx="505">
                  <c:v>195.50267119961134</c:v>
                </c:pt>
                <c:pt idx="506">
                  <c:v>204.41185041282162</c:v>
                </c:pt>
                <c:pt idx="507">
                  <c:v>206.13695968916937</c:v>
                </c:pt>
                <c:pt idx="508">
                  <c:v>203.62991743564825</c:v>
                </c:pt>
                <c:pt idx="509">
                  <c:v>209.44536182612904</c:v>
                </c:pt>
                <c:pt idx="510">
                  <c:v>208.73530840213681</c:v>
                </c:pt>
                <c:pt idx="511">
                  <c:v>217.11996114618731</c:v>
                </c:pt>
                <c:pt idx="512">
                  <c:v>211.40165128703239</c:v>
                </c:pt>
                <c:pt idx="513">
                  <c:v>215.39193783389979</c:v>
                </c:pt>
                <c:pt idx="514">
                  <c:v>210.18261291889252</c:v>
                </c:pt>
                <c:pt idx="515">
                  <c:v>202.59154929577448</c:v>
                </c:pt>
                <c:pt idx="516">
                  <c:v>206.9966002914035</c:v>
                </c:pt>
                <c:pt idx="517">
                  <c:v>210.60806216609996</c:v>
                </c:pt>
                <c:pt idx="518">
                  <c:v>209.87663914521602</c:v>
                </c:pt>
                <c:pt idx="519">
                  <c:v>209.88732394366187</c:v>
                </c:pt>
                <c:pt idx="520">
                  <c:v>211.58426420592511</c:v>
                </c:pt>
                <c:pt idx="521">
                  <c:v>209.8844099077221</c:v>
                </c:pt>
                <c:pt idx="522">
                  <c:v>217.60174842156374</c:v>
                </c:pt>
                <c:pt idx="523">
                  <c:v>222.07576493443406</c:v>
                </c:pt>
                <c:pt idx="524">
                  <c:v>221.8173870811072</c:v>
                </c:pt>
                <c:pt idx="525">
                  <c:v>223.2996600291402</c:v>
                </c:pt>
                <c:pt idx="526">
                  <c:v>226.47693054880995</c:v>
                </c:pt>
                <c:pt idx="527">
                  <c:v>228.97620203982501</c:v>
                </c:pt>
                <c:pt idx="528">
                  <c:v>226.32637202525487</c:v>
                </c:pt>
                <c:pt idx="529">
                  <c:v>222.01165614375901</c:v>
                </c:pt>
                <c:pt idx="530">
                  <c:v>220.38173870811062</c:v>
                </c:pt>
                <c:pt idx="531">
                  <c:v>223.50752792617766</c:v>
                </c:pt>
                <c:pt idx="532">
                  <c:v>227.18698397280218</c:v>
                </c:pt>
                <c:pt idx="533">
                  <c:v>226.68382710053413</c:v>
                </c:pt>
                <c:pt idx="534">
                  <c:v>224.55852355512371</c:v>
                </c:pt>
                <c:pt idx="535">
                  <c:v>218.72462360369099</c:v>
                </c:pt>
                <c:pt idx="536">
                  <c:v>227.32782904322474</c:v>
                </c:pt>
                <c:pt idx="537">
                  <c:v>223.59689169499742</c:v>
                </c:pt>
                <c:pt idx="538">
                  <c:v>227.5648372996599</c:v>
                </c:pt>
                <c:pt idx="539">
                  <c:v>223.69111219038356</c:v>
                </c:pt>
                <c:pt idx="540">
                  <c:v>228.38271005342386</c:v>
                </c:pt>
                <c:pt idx="541">
                  <c:v>228.21466731423007</c:v>
                </c:pt>
                <c:pt idx="542">
                  <c:v>225.53084021369588</c:v>
                </c:pt>
                <c:pt idx="543">
                  <c:v>225.45993200582799</c:v>
                </c:pt>
                <c:pt idx="544">
                  <c:v>223.8756677999028</c:v>
                </c:pt>
                <c:pt idx="545">
                  <c:v>220.33899951432727</c:v>
                </c:pt>
                <c:pt idx="546">
                  <c:v>211.06847984458469</c:v>
                </c:pt>
                <c:pt idx="547">
                  <c:v>212.85769791160752</c:v>
                </c:pt>
                <c:pt idx="548">
                  <c:v>211.11898980087415</c:v>
                </c:pt>
                <c:pt idx="549">
                  <c:v>216.18164157357938</c:v>
                </c:pt>
                <c:pt idx="550">
                  <c:v>216.37396794560465</c:v>
                </c:pt>
                <c:pt idx="551">
                  <c:v>217.59883438562406</c:v>
                </c:pt>
                <c:pt idx="552">
                  <c:v>216.09713453132585</c:v>
                </c:pt>
                <c:pt idx="553">
                  <c:v>212.2428363283147</c:v>
                </c:pt>
                <c:pt idx="554">
                  <c:v>212.11850412821758</c:v>
                </c:pt>
                <c:pt idx="555">
                  <c:v>212.27974745021851</c:v>
                </c:pt>
                <c:pt idx="556">
                  <c:v>217.93200582807185</c:v>
                </c:pt>
                <c:pt idx="557">
                  <c:v>218.96843127731904</c:v>
                </c:pt>
                <c:pt idx="558">
                  <c:v>224.33608547838747</c:v>
                </c:pt>
                <c:pt idx="559">
                  <c:v>232.05925206410873</c:v>
                </c:pt>
                <c:pt idx="560">
                  <c:v>235.71928120446813</c:v>
                </c:pt>
                <c:pt idx="561">
                  <c:v>236.39728023312284</c:v>
                </c:pt>
                <c:pt idx="562">
                  <c:v>238.87421078193296</c:v>
                </c:pt>
                <c:pt idx="563">
                  <c:v>235.45507527926179</c:v>
                </c:pt>
                <c:pt idx="564">
                  <c:v>234.73336571151043</c:v>
                </c:pt>
                <c:pt idx="565">
                  <c:v>234.28071879553181</c:v>
                </c:pt>
                <c:pt idx="566">
                  <c:v>228.60903351141332</c:v>
                </c:pt>
                <c:pt idx="567">
                  <c:v>228.80815930063136</c:v>
                </c:pt>
                <c:pt idx="568">
                  <c:v>229.80767362797474</c:v>
                </c:pt>
                <c:pt idx="569">
                  <c:v>229.9970859640602</c:v>
                </c:pt>
                <c:pt idx="570">
                  <c:v>225.7464788732394</c:v>
                </c:pt>
                <c:pt idx="571">
                  <c:v>225.33268576979114</c:v>
                </c:pt>
                <c:pt idx="572">
                  <c:v>225.99514327343363</c:v>
                </c:pt>
                <c:pt idx="573">
                  <c:v>229.55512384652738</c:v>
                </c:pt>
                <c:pt idx="574">
                  <c:v>231.96988829528891</c:v>
                </c:pt>
                <c:pt idx="575">
                  <c:v>230.35939776590573</c:v>
                </c:pt>
                <c:pt idx="576">
                  <c:v>232.0835356969402</c:v>
                </c:pt>
                <c:pt idx="577">
                  <c:v>230.93346284604172</c:v>
                </c:pt>
                <c:pt idx="578">
                  <c:v>226.92180670228259</c:v>
                </c:pt>
                <c:pt idx="579">
                  <c:v>225.5240407965031</c:v>
                </c:pt>
                <c:pt idx="580">
                  <c:v>228.60903351141329</c:v>
                </c:pt>
                <c:pt idx="581">
                  <c:v>225.98542982030108</c:v>
                </c:pt>
                <c:pt idx="582">
                  <c:v>230.04565322972317</c:v>
                </c:pt>
                <c:pt idx="583">
                  <c:v>230.54978144730453</c:v>
                </c:pt>
                <c:pt idx="584">
                  <c:v>222.8023312287518</c:v>
                </c:pt>
                <c:pt idx="585">
                  <c:v>217.10441962117534</c:v>
                </c:pt>
                <c:pt idx="586">
                  <c:v>222.32248664400194</c:v>
                </c:pt>
                <c:pt idx="587">
                  <c:v>221.16658572122387</c:v>
                </c:pt>
                <c:pt idx="588">
                  <c:v>229.24429334628462</c:v>
                </c:pt>
                <c:pt idx="589">
                  <c:v>226.18164157357941</c:v>
                </c:pt>
                <c:pt idx="590">
                  <c:v>225.50169985429821</c:v>
                </c:pt>
                <c:pt idx="591">
                  <c:v>224.01748421563869</c:v>
                </c:pt>
                <c:pt idx="592">
                  <c:v>220.70519669742592</c:v>
                </c:pt>
                <c:pt idx="593">
                  <c:v>227.72510927634772</c:v>
                </c:pt>
                <c:pt idx="594">
                  <c:v>229.61826129188927</c:v>
                </c:pt>
                <c:pt idx="595">
                  <c:v>229.99125789218067</c:v>
                </c:pt>
                <c:pt idx="596">
                  <c:v>231.77950461389023</c:v>
                </c:pt>
                <c:pt idx="597">
                  <c:v>231.06556580864498</c:v>
                </c:pt>
                <c:pt idx="598">
                  <c:v>227.23069451189897</c:v>
                </c:pt>
                <c:pt idx="599">
                  <c:v>226.78581835842641</c:v>
                </c:pt>
                <c:pt idx="600">
                  <c:v>231.07527926177752</c:v>
                </c:pt>
                <c:pt idx="601">
                  <c:v>234.03691112190378</c:v>
                </c:pt>
                <c:pt idx="602">
                  <c:v>234.32345798931519</c:v>
                </c:pt>
                <c:pt idx="603">
                  <c:v>235.93977659057794</c:v>
                </c:pt>
                <c:pt idx="604">
                  <c:v>231.7775619232637</c:v>
                </c:pt>
                <c:pt idx="605">
                  <c:v>228.55172413793102</c:v>
                </c:pt>
                <c:pt idx="606">
                  <c:v>234.16707139388052</c:v>
                </c:pt>
                <c:pt idx="607">
                  <c:v>236.58377853326857</c:v>
                </c:pt>
                <c:pt idx="608">
                  <c:v>234.28751821272459</c:v>
                </c:pt>
                <c:pt idx="609">
                  <c:v>234.31374453618261</c:v>
                </c:pt>
                <c:pt idx="610">
                  <c:v>233.79893152015538</c:v>
                </c:pt>
                <c:pt idx="611">
                  <c:v>235.10927634774157</c:v>
                </c:pt>
                <c:pt idx="612">
                  <c:v>228.11461874696454</c:v>
                </c:pt>
                <c:pt idx="613">
                  <c:v>221.53375424963573</c:v>
                </c:pt>
                <c:pt idx="614">
                  <c:v>218.05536668285575</c:v>
                </c:pt>
                <c:pt idx="615">
                  <c:v>218.57212238950945</c:v>
                </c:pt>
                <c:pt idx="616">
                  <c:v>222.12627489072366</c:v>
                </c:pt>
                <c:pt idx="617">
                  <c:v>224.29043224866442</c:v>
                </c:pt>
                <c:pt idx="618">
                  <c:v>228.53618261291894</c:v>
                </c:pt>
                <c:pt idx="619">
                  <c:v>230.04662457503647</c:v>
                </c:pt>
                <c:pt idx="620">
                  <c:v>233.61049052938324</c:v>
                </c:pt>
                <c:pt idx="621">
                  <c:v>234.20592520641091</c:v>
                </c:pt>
                <c:pt idx="622">
                  <c:v>235.60757649344345</c:v>
                </c:pt>
                <c:pt idx="623">
                  <c:v>230.00777076250608</c:v>
                </c:pt>
                <c:pt idx="624">
                  <c:v>228.2321515298689</c:v>
                </c:pt>
                <c:pt idx="625">
                  <c:v>229.40359397765911</c:v>
                </c:pt>
                <c:pt idx="626">
                  <c:v>232.15152986886844</c:v>
                </c:pt>
                <c:pt idx="627">
                  <c:v>230.73725109276353</c:v>
                </c:pt>
                <c:pt idx="628">
                  <c:v>230.51287032540074</c:v>
                </c:pt>
                <c:pt idx="629">
                  <c:v>239.18795531811568</c:v>
                </c:pt>
                <c:pt idx="630">
                  <c:v>236.51287032540077</c:v>
                </c:pt>
                <c:pt idx="631">
                  <c:v>238.29528897523076</c:v>
                </c:pt>
                <c:pt idx="632">
                  <c:v>243.79213210296268</c:v>
                </c:pt>
                <c:pt idx="633">
                  <c:v>240.19524040796512</c:v>
                </c:pt>
                <c:pt idx="634">
                  <c:v>243.66974259349206</c:v>
                </c:pt>
                <c:pt idx="635">
                  <c:v>235.91937833899959</c:v>
                </c:pt>
                <c:pt idx="636">
                  <c:v>233.01602719766885</c:v>
                </c:pt>
                <c:pt idx="637">
                  <c:v>236.83244293346291</c:v>
                </c:pt>
                <c:pt idx="638">
                  <c:v>236.00097134531333</c:v>
                </c:pt>
                <c:pt idx="639">
                  <c:v>243.07236522583781</c:v>
                </c:pt>
                <c:pt idx="640">
                  <c:v>254.34774162214671</c:v>
                </c:pt>
                <c:pt idx="641">
                  <c:v>252.44487615347259</c:v>
                </c:pt>
                <c:pt idx="642">
                  <c:v>266.42642059252069</c:v>
                </c:pt>
                <c:pt idx="643">
                  <c:v>263.19961146187472</c:v>
                </c:pt>
                <c:pt idx="644">
                  <c:v>256.45458960660517</c:v>
                </c:pt>
                <c:pt idx="645">
                  <c:v>260.50315687226816</c:v>
                </c:pt>
                <c:pt idx="646">
                  <c:v>259.87858183584268</c:v>
                </c:pt>
                <c:pt idx="647">
                  <c:v>256.96551724137936</c:v>
                </c:pt>
                <c:pt idx="648">
                  <c:v>246.40893637688205</c:v>
                </c:pt>
                <c:pt idx="649">
                  <c:v>252.3438562408937</c:v>
                </c:pt>
                <c:pt idx="650">
                  <c:v>245.75036425449252</c:v>
                </c:pt>
                <c:pt idx="651">
                  <c:v>245.01699854298207</c:v>
                </c:pt>
                <c:pt idx="652">
                  <c:v>240.64205925206414</c:v>
                </c:pt>
                <c:pt idx="653">
                  <c:v>227.26954832442937</c:v>
                </c:pt>
                <c:pt idx="654">
                  <c:v>229.64448761534729</c:v>
                </c:pt>
                <c:pt idx="655">
                  <c:v>221.90966488586696</c:v>
                </c:pt>
                <c:pt idx="656">
                  <c:v>219.23652258377857</c:v>
                </c:pt>
                <c:pt idx="657">
                  <c:v>216.17775619232643</c:v>
                </c:pt>
                <c:pt idx="658">
                  <c:v>216.09810587663918</c:v>
                </c:pt>
                <c:pt idx="659">
                  <c:v>199.57552209810592</c:v>
                </c:pt>
                <c:pt idx="660">
                  <c:v>196.60320543953378</c:v>
                </c:pt>
                <c:pt idx="661">
                  <c:v>195.2880038853813</c:v>
                </c:pt>
                <c:pt idx="662">
                  <c:v>195.49684312773195</c:v>
                </c:pt>
                <c:pt idx="663">
                  <c:v>194.95288975230699</c:v>
                </c:pt>
                <c:pt idx="664">
                  <c:v>187.28023312287522</c:v>
                </c:pt>
                <c:pt idx="665">
                  <c:v>189.51141330743084</c:v>
                </c:pt>
                <c:pt idx="666">
                  <c:v>198.35939776590581</c:v>
                </c:pt>
                <c:pt idx="667">
                  <c:v>204.24186498300151</c:v>
                </c:pt>
                <c:pt idx="668">
                  <c:v>208.33025740650808</c:v>
                </c:pt>
                <c:pt idx="669">
                  <c:v>195.18018455560957</c:v>
                </c:pt>
                <c:pt idx="670">
                  <c:v>195.68334142787765</c:v>
                </c:pt>
                <c:pt idx="671">
                  <c:v>192.63234579893157</c:v>
                </c:pt>
                <c:pt idx="672">
                  <c:v>194.36328314715888</c:v>
                </c:pt>
                <c:pt idx="673">
                  <c:v>186.20495386109769</c:v>
                </c:pt>
                <c:pt idx="674">
                  <c:v>189.06945118989807</c:v>
                </c:pt>
                <c:pt idx="675">
                  <c:v>174.30888780961638</c:v>
                </c:pt>
                <c:pt idx="676">
                  <c:v>173.46478873239442</c:v>
                </c:pt>
                <c:pt idx="677">
                  <c:v>179.18795531811566</c:v>
                </c:pt>
                <c:pt idx="678">
                  <c:v>178.50121418164164</c:v>
                </c:pt>
                <c:pt idx="679">
                  <c:v>164.15055852355519</c:v>
                </c:pt>
                <c:pt idx="680">
                  <c:v>158.70131131617296</c:v>
                </c:pt>
                <c:pt idx="681">
                  <c:v>156.14181641573586</c:v>
                </c:pt>
                <c:pt idx="682">
                  <c:v>157.87081107333665</c:v>
                </c:pt>
                <c:pt idx="683">
                  <c:v>153.38610976202045</c:v>
                </c:pt>
                <c:pt idx="684">
                  <c:v>146.93152015541531</c:v>
                </c:pt>
                <c:pt idx="685">
                  <c:v>161.70762506070912</c:v>
                </c:pt>
                <c:pt idx="686">
                  <c:v>161.34725594949009</c:v>
                </c:pt>
                <c:pt idx="687">
                  <c:v>167.7629917435649</c:v>
                </c:pt>
                <c:pt idx="688">
                  <c:v>165.61534725594956</c:v>
                </c:pt>
                <c:pt idx="689">
                  <c:v>166.01262748907243</c:v>
                </c:pt>
                <c:pt idx="690">
                  <c:v>163.62506070908213</c:v>
                </c:pt>
                <c:pt idx="691">
                  <c:v>171.27343370568244</c:v>
                </c:pt>
                <c:pt idx="692">
                  <c:v>171.80961631860134</c:v>
                </c:pt>
                <c:pt idx="693">
                  <c:v>178.03982515784369</c:v>
                </c:pt>
                <c:pt idx="694">
                  <c:v>171.97474502185534</c:v>
                </c:pt>
                <c:pt idx="695">
                  <c:v>169.60271976687719</c:v>
                </c:pt>
                <c:pt idx="696">
                  <c:v>162.18067022826622</c:v>
                </c:pt>
                <c:pt idx="697">
                  <c:v>160.38368139873731</c:v>
                </c:pt>
                <c:pt idx="698">
                  <c:v>156.18844099077228</c:v>
                </c:pt>
                <c:pt idx="699">
                  <c:v>163.00145701796993</c:v>
                </c:pt>
                <c:pt idx="700">
                  <c:v>161.30063137445364</c:v>
                </c:pt>
                <c:pt idx="701">
                  <c:v>158.2865468674114</c:v>
                </c:pt>
                <c:pt idx="702">
                  <c:v>154.49052938319576</c:v>
                </c:pt>
                <c:pt idx="703">
                  <c:v>155.04225352112681</c:v>
                </c:pt>
                <c:pt idx="704">
                  <c:v>157.03156872268096</c:v>
                </c:pt>
                <c:pt idx="705">
                  <c:v>158.93249150072853</c:v>
                </c:pt>
                <c:pt idx="706">
                  <c:v>158.85089849441476</c:v>
                </c:pt>
                <c:pt idx="707">
                  <c:v>165.67071393880525</c:v>
                </c:pt>
                <c:pt idx="708">
                  <c:v>171.13647401651289</c:v>
                </c:pt>
                <c:pt idx="709">
                  <c:v>166.94220495386114</c:v>
                </c:pt>
                <c:pt idx="710">
                  <c:v>167.48712967459937</c:v>
                </c:pt>
                <c:pt idx="711">
                  <c:v>166.22146673142308</c:v>
                </c:pt>
                <c:pt idx="712">
                  <c:v>167.74550752792624</c:v>
                </c:pt>
                <c:pt idx="713">
                  <c:v>167.17241379310352</c:v>
                </c:pt>
                <c:pt idx="714">
                  <c:v>174.83729966002923</c:v>
                </c:pt>
                <c:pt idx="715">
                  <c:v>164.72559494900443</c:v>
                </c:pt>
                <c:pt idx="716">
                  <c:v>169.69402622632353</c:v>
                </c:pt>
                <c:pt idx="717">
                  <c:v>165.98834385624096</c:v>
                </c:pt>
                <c:pt idx="718">
                  <c:v>169.2161243322002</c:v>
                </c:pt>
                <c:pt idx="719">
                  <c:v>166.77416221466743</c:v>
                </c:pt>
                <c:pt idx="720">
                  <c:v>169.61437591063637</c:v>
                </c:pt>
                <c:pt idx="721">
                  <c:v>166.4468188440992</c:v>
                </c:pt>
                <c:pt idx="722">
                  <c:v>162.20689655172427</c:v>
                </c:pt>
                <c:pt idx="723">
                  <c:v>161.10830500242847</c:v>
                </c:pt>
                <c:pt idx="724">
                  <c:v>160.7654201068481</c:v>
                </c:pt>
                <c:pt idx="725">
                  <c:v>158.59057795046152</c:v>
                </c:pt>
                <c:pt idx="726">
                  <c:v>162.59057795046152</c:v>
                </c:pt>
                <c:pt idx="727">
                  <c:v>166.49732880038869</c:v>
                </c:pt>
                <c:pt idx="728">
                  <c:v>163.61728994657616</c:v>
                </c:pt>
                <c:pt idx="729">
                  <c:v>161.64060223409436</c:v>
                </c:pt>
                <c:pt idx="730">
                  <c:v>161.64060223409436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C59-4C94-BDB6-F57A146136EF}"/>
            </c:ext>
          </c:extLst>
        </c:ser>
        <c:ser>
          <c:idx val="10"/>
          <c:order val="10"/>
          <c:tx>
            <c:strRef>
              <c:f>Index!$Z$1</c:f>
              <c:strCache>
                <c:ptCount val="1"/>
                <c:pt idx="0">
                  <c:v>Communication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Index!$Z$2:$Z$732</c:f>
              <c:numCache>
                <c:formatCode>General</c:formatCode>
                <c:ptCount val="731"/>
                <c:pt idx="0">
                  <c:v>100</c:v>
                </c:pt>
                <c:pt idx="1">
                  <c:v>111.34258582907233</c:v>
                </c:pt>
                <c:pt idx="2">
                  <c:v>116.40710981251524</c:v>
                </c:pt>
                <c:pt idx="3">
                  <c:v>109.47260774287804</c:v>
                </c:pt>
                <c:pt idx="4">
                  <c:v>119.14000486973463</c:v>
                </c:pt>
                <c:pt idx="5">
                  <c:v>108.86291697102511</c:v>
                </c:pt>
                <c:pt idx="6">
                  <c:v>113.08692476260047</c:v>
                </c:pt>
                <c:pt idx="7">
                  <c:v>122.71244217190169</c:v>
                </c:pt>
                <c:pt idx="8">
                  <c:v>114.79912344777215</c:v>
                </c:pt>
                <c:pt idx="9">
                  <c:v>128.02727051375703</c:v>
                </c:pt>
                <c:pt idx="10">
                  <c:v>131.17798879961043</c:v>
                </c:pt>
                <c:pt idx="11">
                  <c:v>153.36839542244951</c:v>
                </c:pt>
                <c:pt idx="12">
                  <c:v>141.59045532018507</c:v>
                </c:pt>
                <c:pt idx="13">
                  <c:v>156.62429997565135</c:v>
                </c:pt>
                <c:pt idx="14">
                  <c:v>164.80545410275144</c:v>
                </c:pt>
                <c:pt idx="15">
                  <c:v>167.48965181397617</c:v>
                </c:pt>
                <c:pt idx="16">
                  <c:v>170.10080350620893</c:v>
                </c:pt>
                <c:pt idx="17">
                  <c:v>182.3209155101047</c:v>
                </c:pt>
                <c:pt idx="18">
                  <c:v>193.84075967859749</c:v>
                </c:pt>
                <c:pt idx="19">
                  <c:v>195.03384465546625</c:v>
                </c:pt>
                <c:pt idx="20">
                  <c:v>207.01436571706839</c:v>
                </c:pt>
                <c:pt idx="21">
                  <c:v>228.77428780131478</c:v>
                </c:pt>
                <c:pt idx="22">
                  <c:v>228.62819576333087</c:v>
                </c:pt>
                <c:pt idx="23">
                  <c:v>218.5351838324811</c:v>
                </c:pt>
                <c:pt idx="24">
                  <c:v>217.92841490138784</c:v>
                </c:pt>
                <c:pt idx="25">
                  <c:v>221.5933771609447</c:v>
                </c:pt>
                <c:pt idx="26">
                  <c:v>245.60603847090334</c:v>
                </c:pt>
                <c:pt idx="27">
                  <c:v>254.9276844411979</c:v>
                </c:pt>
                <c:pt idx="28">
                  <c:v>248.88531775018257</c:v>
                </c:pt>
                <c:pt idx="29">
                  <c:v>257.34307280253222</c:v>
                </c:pt>
                <c:pt idx="30">
                  <c:v>249.4112490869247</c:v>
                </c:pt>
                <c:pt idx="31">
                  <c:v>253.44825906988063</c:v>
                </c:pt>
                <c:pt idx="32">
                  <c:v>262.42415388361326</c:v>
                </c:pt>
                <c:pt idx="33">
                  <c:v>277.08887265644012</c:v>
                </c:pt>
                <c:pt idx="34">
                  <c:v>288.24056488921343</c:v>
                </c:pt>
                <c:pt idx="35">
                  <c:v>288.73532992451896</c:v>
                </c:pt>
                <c:pt idx="36">
                  <c:v>275.54127100073026</c:v>
                </c:pt>
                <c:pt idx="37">
                  <c:v>267.79352325298254</c:v>
                </c:pt>
                <c:pt idx="38">
                  <c:v>252.64864864864848</c:v>
                </c:pt>
                <c:pt idx="39">
                  <c:v>277.39274409544657</c:v>
                </c:pt>
                <c:pt idx="40">
                  <c:v>291.26077428780104</c:v>
                </c:pt>
                <c:pt idx="41">
                  <c:v>292.4265887509128</c:v>
                </c:pt>
                <c:pt idx="42">
                  <c:v>286.86535183832456</c:v>
                </c:pt>
                <c:pt idx="43">
                  <c:v>316.90479668858023</c:v>
                </c:pt>
                <c:pt idx="44">
                  <c:v>318.24397370343291</c:v>
                </c:pt>
                <c:pt idx="45">
                  <c:v>294.42123204285343</c:v>
                </c:pt>
                <c:pt idx="46">
                  <c:v>293.69758948137309</c:v>
                </c:pt>
                <c:pt idx="47">
                  <c:v>309.8378378378377</c:v>
                </c:pt>
                <c:pt idx="48">
                  <c:v>306.00827854881891</c:v>
                </c:pt>
                <c:pt idx="49">
                  <c:v>297.04601899196479</c:v>
                </c:pt>
                <c:pt idx="50">
                  <c:v>277.6216216216215</c:v>
                </c:pt>
                <c:pt idx="51">
                  <c:v>288.571706841977</c:v>
                </c:pt>
                <c:pt idx="52">
                  <c:v>290.50986121256381</c:v>
                </c:pt>
                <c:pt idx="53">
                  <c:v>340.78694911127332</c:v>
                </c:pt>
                <c:pt idx="54">
                  <c:v>326.96274653031395</c:v>
                </c:pt>
                <c:pt idx="55">
                  <c:v>316.03993182371545</c:v>
                </c:pt>
                <c:pt idx="56">
                  <c:v>309.2300949598245</c:v>
                </c:pt>
                <c:pt idx="57">
                  <c:v>320.62235208181136</c:v>
                </c:pt>
                <c:pt idx="58">
                  <c:v>319.6523009495981</c:v>
                </c:pt>
                <c:pt idx="59">
                  <c:v>306.99293888483066</c:v>
                </c:pt>
                <c:pt idx="60">
                  <c:v>307.09812515217908</c:v>
                </c:pt>
                <c:pt idx="61">
                  <c:v>333.87679571463337</c:v>
                </c:pt>
                <c:pt idx="62">
                  <c:v>311.57535914292657</c:v>
                </c:pt>
                <c:pt idx="63">
                  <c:v>315.85975164353533</c:v>
                </c:pt>
                <c:pt idx="64">
                  <c:v>303.98831263696115</c:v>
                </c:pt>
                <c:pt idx="65">
                  <c:v>324.04285366447516</c:v>
                </c:pt>
                <c:pt idx="66">
                  <c:v>344.59313367421458</c:v>
                </c:pt>
                <c:pt idx="67">
                  <c:v>357.78232286340381</c:v>
                </c:pt>
                <c:pt idx="68">
                  <c:v>374.39688336985614</c:v>
                </c:pt>
                <c:pt idx="69">
                  <c:v>344.37983929875804</c:v>
                </c:pt>
                <c:pt idx="70">
                  <c:v>356.42756269783274</c:v>
                </c:pt>
                <c:pt idx="71">
                  <c:v>343.4390065741415</c:v>
                </c:pt>
                <c:pt idx="72">
                  <c:v>350.20501582663718</c:v>
                </c:pt>
                <c:pt idx="73">
                  <c:v>370.0180180180177</c:v>
                </c:pt>
                <c:pt idx="74">
                  <c:v>370.85853420988519</c:v>
                </c:pt>
                <c:pt idx="75">
                  <c:v>381.32748965181361</c:v>
                </c:pt>
                <c:pt idx="76">
                  <c:v>389.11419527635707</c:v>
                </c:pt>
                <c:pt idx="77">
                  <c:v>401.35670805941038</c:v>
                </c:pt>
                <c:pt idx="78">
                  <c:v>386.76113951789591</c:v>
                </c:pt>
                <c:pt idx="79">
                  <c:v>388.74604334063753</c:v>
                </c:pt>
                <c:pt idx="80">
                  <c:v>381.99464329194018</c:v>
                </c:pt>
                <c:pt idx="81">
                  <c:v>363.92403214024802</c:v>
                </c:pt>
                <c:pt idx="82">
                  <c:v>374.83808132456744</c:v>
                </c:pt>
                <c:pt idx="83">
                  <c:v>354.35305575846081</c:v>
                </c:pt>
                <c:pt idx="84">
                  <c:v>367.48867786705586</c:v>
                </c:pt>
                <c:pt idx="85">
                  <c:v>375.36303871438969</c:v>
                </c:pt>
                <c:pt idx="86">
                  <c:v>385.14828341855332</c:v>
                </c:pt>
                <c:pt idx="87">
                  <c:v>383.14584855125355</c:v>
                </c:pt>
                <c:pt idx="88">
                  <c:v>393.03335768200594</c:v>
                </c:pt>
                <c:pt idx="89">
                  <c:v>394.60822985147269</c:v>
                </c:pt>
                <c:pt idx="90">
                  <c:v>391.50815680545372</c:v>
                </c:pt>
                <c:pt idx="91">
                  <c:v>404.53080107134127</c:v>
                </c:pt>
                <c:pt idx="92">
                  <c:v>415.50718285853389</c:v>
                </c:pt>
                <c:pt idx="93">
                  <c:v>423.03189676162611</c:v>
                </c:pt>
                <c:pt idx="94">
                  <c:v>423.97565132700231</c:v>
                </c:pt>
                <c:pt idx="95">
                  <c:v>435.31141952763539</c:v>
                </c:pt>
                <c:pt idx="96">
                  <c:v>446.7104942780615</c:v>
                </c:pt>
                <c:pt idx="97">
                  <c:v>472.21524226929591</c:v>
                </c:pt>
                <c:pt idx="98">
                  <c:v>460.06817628439205</c:v>
                </c:pt>
                <c:pt idx="99">
                  <c:v>468.48697345994589</c:v>
                </c:pt>
                <c:pt idx="100">
                  <c:v>489.1726320915505</c:v>
                </c:pt>
                <c:pt idx="101">
                  <c:v>463.37083028974871</c:v>
                </c:pt>
                <c:pt idx="102">
                  <c:v>475.9990260530796</c:v>
                </c:pt>
                <c:pt idx="103">
                  <c:v>471.87533479425321</c:v>
                </c:pt>
                <c:pt idx="104">
                  <c:v>478.25955685415096</c:v>
                </c:pt>
                <c:pt idx="105">
                  <c:v>479.08741173605989</c:v>
                </c:pt>
                <c:pt idx="106">
                  <c:v>488.05259313367367</c:v>
                </c:pt>
                <c:pt idx="107">
                  <c:v>487.05234964694375</c:v>
                </c:pt>
                <c:pt idx="108">
                  <c:v>477.34502069637159</c:v>
                </c:pt>
                <c:pt idx="109">
                  <c:v>475.72924275626934</c:v>
                </c:pt>
                <c:pt idx="110">
                  <c:v>470.32286340394404</c:v>
                </c:pt>
                <c:pt idx="111">
                  <c:v>488.35451667884058</c:v>
                </c:pt>
                <c:pt idx="112">
                  <c:v>481.8456294131966</c:v>
                </c:pt>
                <c:pt idx="113">
                  <c:v>479.98831263696081</c:v>
                </c:pt>
                <c:pt idx="114">
                  <c:v>489.82225468711914</c:v>
                </c:pt>
                <c:pt idx="115">
                  <c:v>482.16703189676122</c:v>
                </c:pt>
                <c:pt idx="116">
                  <c:v>468.35256878500087</c:v>
                </c:pt>
                <c:pt idx="117">
                  <c:v>472.86096907718496</c:v>
                </c:pt>
                <c:pt idx="118">
                  <c:v>476.99050401753067</c:v>
                </c:pt>
                <c:pt idx="119">
                  <c:v>461.21256391526623</c:v>
                </c:pt>
                <c:pt idx="120">
                  <c:v>463.36888239590911</c:v>
                </c:pt>
                <c:pt idx="121">
                  <c:v>464.69052836620369</c:v>
                </c:pt>
                <c:pt idx="122">
                  <c:v>477.86608229851436</c:v>
                </c:pt>
                <c:pt idx="123">
                  <c:v>474.23910396883338</c:v>
                </c:pt>
                <c:pt idx="124">
                  <c:v>486.19722425127799</c:v>
                </c:pt>
                <c:pt idx="125">
                  <c:v>501.72583394204986</c:v>
                </c:pt>
                <c:pt idx="126">
                  <c:v>515.77599220842421</c:v>
                </c:pt>
                <c:pt idx="127">
                  <c:v>512.8541514487456</c:v>
                </c:pt>
                <c:pt idx="128">
                  <c:v>530.12515217920588</c:v>
                </c:pt>
                <c:pt idx="129">
                  <c:v>560.98173849525165</c:v>
                </c:pt>
                <c:pt idx="130">
                  <c:v>567.68249330411459</c:v>
                </c:pt>
                <c:pt idx="131">
                  <c:v>588.45970294618905</c:v>
                </c:pt>
                <c:pt idx="132">
                  <c:v>578.82542001460888</c:v>
                </c:pt>
                <c:pt idx="133">
                  <c:v>584.11882152422663</c:v>
                </c:pt>
                <c:pt idx="134">
                  <c:v>615.63671779887966</c:v>
                </c:pt>
                <c:pt idx="135">
                  <c:v>602.65108351594802</c:v>
                </c:pt>
                <c:pt idx="136">
                  <c:v>601.55928901874813</c:v>
                </c:pt>
                <c:pt idx="137">
                  <c:v>618.05113221329407</c:v>
                </c:pt>
                <c:pt idx="138">
                  <c:v>631.915266617969</c:v>
                </c:pt>
                <c:pt idx="139">
                  <c:v>650.28195763330882</c:v>
                </c:pt>
                <c:pt idx="140">
                  <c:v>670.07255904553188</c:v>
                </c:pt>
                <c:pt idx="141">
                  <c:v>664.70708546384208</c:v>
                </c:pt>
                <c:pt idx="142">
                  <c:v>636.55612369125868</c:v>
                </c:pt>
                <c:pt idx="143">
                  <c:v>665.49500852203539</c:v>
                </c:pt>
                <c:pt idx="144">
                  <c:v>651.6493791088385</c:v>
                </c:pt>
                <c:pt idx="145">
                  <c:v>637.71025079133176</c:v>
                </c:pt>
                <c:pt idx="146">
                  <c:v>637.57389822254675</c:v>
                </c:pt>
                <c:pt idx="147">
                  <c:v>634.78938397857303</c:v>
                </c:pt>
                <c:pt idx="148">
                  <c:v>673.68882395909418</c:v>
                </c:pt>
                <c:pt idx="149">
                  <c:v>707.13708302897476</c:v>
                </c:pt>
                <c:pt idx="150">
                  <c:v>694.35110786462121</c:v>
                </c:pt>
                <c:pt idx="151">
                  <c:v>698.54687119551977</c:v>
                </c:pt>
                <c:pt idx="152">
                  <c:v>735.8753347942536</c:v>
                </c:pt>
                <c:pt idx="153">
                  <c:v>726.65984903822721</c:v>
                </c:pt>
                <c:pt idx="154">
                  <c:v>715.33187241295332</c:v>
                </c:pt>
                <c:pt idx="155">
                  <c:v>716.6496225955683</c:v>
                </c:pt>
                <c:pt idx="156">
                  <c:v>714.10177745312853</c:v>
                </c:pt>
                <c:pt idx="157">
                  <c:v>748.2853664475283</c:v>
                </c:pt>
                <c:pt idx="158">
                  <c:v>763.10396883369822</c:v>
                </c:pt>
                <c:pt idx="159">
                  <c:v>764.47139030922767</c:v>
                </c:pt>
                <c:pt idx="160">
                  <c:v>781.84660336011632</c:v>
                </c:pt>
                <c:pt idx="161">
                  <c:v>798.44655466277027</c:v>
                </c:pt>
                <c:pt idx="162">
                  <c:v>804.09349890430929</c:v>
                </c:pt>
                <c:pt idx="163">
                  <c:v>806.75334794253672</c:v>
                </c:pt>
                <c:pt idx="164">
                  <c:v>822.94521548575563</c:v>
                </c:pt>
                <c:pt idx="165">
                  <c:v>801.25639152666133</c:v>
                </c:pt>
                <c:pt idx="166">
                  <c:v>791.1185780374966</c:v>
                </c:pt>
                <c:pt idx="167">
                  <c:v>802.72510348185972</c:v>
                </c:pt>
                <c:pt idx="168">
                  <c:v>796.70026783540254</c:v>
                </c:pt>
                <c:pt idx="169">
                  <c:v>781.25346968590168</c:v>
                </c:pt>
                <c:pt idx="170">
                  <c:v>813.87289992695355</c:v>
                </c:pt>
                <c:pt idx="171">
                  <c:v>816.03993182371516</c:v>
                </c:pt>
                <c:pt idx="172">
                  <c:v>836.21232042853615</c:v>
                </c:pt>
                <c:pt idx="173">
                  <c:v>874.55076698319908</c:v>
                </c:pt>
                <c:pt idx="174">
                  <c:v>899.1380569758943</c:v>
                </c:pt>
                <c:pt idx="175">
                  <c:v>861.26515704894041</c:v>
                </c:pt>
                <c:pt idx="176">
                  <c:v>804.07986364743067</c:v>
                </c:pt>
                <c:pt idx="177">
                  <c:v>822.85561236912542</c:v>
                </c:pt>
                <c:pt idx="178">
                  <c:v>830.98612125639113</c:v>
                </c:pt>
                <c:pt idx="179">
                  <c:v>797.39177014852658</c:v>
                </c:pt>
                <c:pt idx="180">
                  <c:v>802.78354029705349</c:v>
                </c:pt>
                <c:pt idx="181">
                  <c:v>820.77136596055493</c:v>
                </c:pt>
                <c:pt idx="182">
                  <c:v>841.82420258095897</c:v>
                </c:pt>
                <c:pt idx="183">
                  <c:v>845.4307280253222</c:v>
                </c:pt>
                <c:pt idx="184">
                  <c:v>813.01582663744784</c:v>
                </c:pt>
                <c:pt idx="185">
                  <c:v>827.43705868030145</c:v>
                </c:pt>
                <c:pt idx="186">
                  <c:v>865.50182615047447</c:v>
                </c:pt>
                <c:pt idx="187">
                  <c:v>862.80594107621107</c:v>
                </c:pt>
                <c:pt idx="188">
                  <c:v>866.97053810567286</c:v>
                </c:pt>
                <c:pt idx="189">
                  <c:v>898.04626247869442</c:v>
                </c:pt>
                <c:pt idx="190">
                  <c:v>890.7192598003403</c:v>
                </c:pt>
                <c:pt idx="191">
                  <c:v>908.52203554906202</c:v>
                </c:pt>
                <c:pt idx="192">
                  <c:v>896.05161918675367</c:v>
                </c:pt>
                <c:pt idx="193">
                  <c:v>926.54200146091978</c:v>
                </c:pt>
                <c:pt idx="194">
                  <c:v>917.39177014852623</c:v>
                </c:pt>
                <c:pt idx="195">
                  <c:v>922.4153883613335</c:v>
                </c:pt>
                <c:pt idx="196">
                  <c:v>920.4256148039924</c:v>
                </c:pt>
                <c:pt idx="197">
                  <c:v>948.12661309958537</c:v>
                </c:pt>
                <c:pt idx="198">
                  <c:v>930.53420988556059</c:v>
                </c:pt>
                <c:pt idx="199">
                  <c:v>934.42220598977303</c:v>
                </c:pt>
                <c:pt idx="200">
                  <c:v>933.38787436084681</c:v>
                </c:pt>
                <c:pt idx="201">
                  <c:v>917.97419040662237</c:v>
                </c:pt>
                <c:pt idx="202">
                  <c:v>958.43778914049142</c:v>
                </c:pt>
                <c:pt idx="203">
                  <c:v>976.06915023131205</c:v>
                </c:pt>
                <c:pt idx="204">
                  <c:v>966.35208181154087</c:v>
                </c:pt>
                <c:pt idx="205">
                  <c:v>955.75748721694617</c:v>
                </c:pt>
                <c:pt idx="206">
                  <c:v>945.54857560262928</c:v>
                </c:pt>
                <c:pt idx="207">
                  <c:v>921.95958120282398</c:v>
                </c:pt>
                <c:pt idx="208">
                  <c:v>939.30070611151643</c:v>
                </c:pt>
                <c:pt idx="209">
                  <c:v>937.84270757243667</c:v>
                </c:pt>
                <c:pt idx="210">
                  <c:v>990.80009739469142</c:v>
                </c:pt>
                <c:pt idx="211">
                  <c:v>1011.3688823959086</c:v>
                </c:pt>
                <c:pt idx="212">
                  <c:v>1006.1417092768436</c:v>
                </c:pt>
                <c:pt idx="213">
                  <c:v>1000.6535183832473</c:v>
                </c:pt>
                <c:pt idx="214">
                  <c:v>1000.1782322863396</c:v>
                </c:pt>
                <c:pt idx="215">
                  <c:v>1006.1660579498409</c:v>
                </c:pt>
                <c:pt idx="216">
                  <c:v>1004.4840516191862</c:v>
                </c:pt>
                <c:pt idx="217">
                  <c:v>938.97151205259252</c:v>
                </c:pt>
                <c:pt idx="218">
                  <c:v>950.07158509861165</c:v>
                </c:pt>
                <c:pt idx="219">
                  <c:v>952.52008765522237</c:v>
                </c:pt>
                <c:pt idx="220">
                  <c:v>998.28585342098802</c:v>
                </c:pt>
                <c:pt idx="221">
                  <c:v>980.80448015583102</c:v>
                </c:pt>
                <c:pt idx="222">
                  <c:v>987.40199659118537</c:v>
                </c:pt>
                <c:pt idx="223">
                  <c:v>1005.4015096177254</c:v>
                </c:pt>
                <c:pt idx="224">
                  <c:v>1013.5368882395906</c:v>
                </c:pt>
                <c:pt idx="225">
                  <c:v>1006.4183102020936</c:v>
                </c:pt>
                <c:pt idx="226">
                  <c:v>1001.2710007304597</c:v>
                </c:pt>
                <c:pt idx="227">
                  <c:v>1026.9393718042363</c:v>
                </c:pt>
                <c:pt idx="228">
                  <c:v>1049.3158022887749</c:v>
                </c:pt>
                <c:pt idx="229">
                  <c:v>1054.8614560506448</c:v>
                </c:pt>
                <c:pt idx="230">
                  <c:v>1092.0662283905524</c:v>
                </c:pt>
                <c:pt idx="231">
                  <c:v>1052.8599951302651</c:v>
                </c:pt>
                <c:pt idx="232">
                  <c:v>1074.1865108351592</c:v>
                </c:pt>
                <c:pt idx="233">
                  <c:v>1052.4353542731917</c:v>
                </c:pt>
                <c:pt idx="234">
                  <c:v>1071.4808862916968</c:v>
                </c:pt>
                <c:pt idx="235">
                  <c:v>1100.9719990260528</c:v>
                </c:pt>
                <c:pt idx="236">
                  <c:v>1123.9873386900413</c:v>
                </c:pt>
                <c:pt idx="237">
                  <c:v>1134.1037253469683</c:v>
                </c:pt>
                <c:pt idx="238">
                  <c:v>1041.0197224251276</c:v>
                </c:pt>
                <c:pt idx="239">
                  <c:v>1036.0993425858287</c:v>
                </c:pt>
                <c:pt idx="240">
                  <c:v>1051.979547114682</c:v>
                </c:pt>
                <c:pt idx="241">
                  <c:v>1013.7813489164837</c:v>
                </c:pt>
                <c:pt idx="242">
                  <c:v>1031.080594107621</c:v>
                </c:pt>
                <c:pt idx="243">
                  <c:v>1029.6849281714144</c:v>
                </c:pt>
                <c:pt idx="244">
                  <c:v>1004.8278548819086</c:v>
                </c:pt>
                <c:pt idx="245">
                  <c:v>1041.4307280253224</c:v>
                </c:pt>
                <c:pt idx="246">
                  <c:v>1094.2761139517893</c:v>
                </c:pt>
                <c:pt idx="247">
                  <c:v>1133.3119065010956</c:v>
                </c:pt>
                <c:pt idx="248">
                  <c:v>1110.1378134891647</c:v>
                </c:pt>
                <c:pt idx="249">
                  <c:v>1119.0961772583394</c:v>
                </c:pt>
                <c:pt idx="250">
                  <c:v>1088.1158996834672</c:v>
                </c:pt>
                <c:pt idx="251">
                  <c:v>1165.9926953981008</c:v>
                </c:pt>
                <c:pt idx="252">
                  <c:v>1163.0854638422206</c:v>
                </c:pt>
                <c:pt idx="253">
                  <c:v>1077.6576576576579</c:v>
                </c:pt>
                <c:pt idx="254">
                  <c:v>1155.1994156318483</c:v>
                </c:pt>
                <c:pt idx="255">
                  <c:v>1141.2028244460678</c:v>
                </c:pt>
                <c:pt idx="256">
                  <c:v>1175.6454833211592</c:v>
                </c:pt>
                <c:pt idx="257">
                  <c:v>1142.920866812759</c:v>
                </c:pt>
                <c:pt idx="258">
                  <c:v>1080.0409057706356</c:v>
                </c:pt>
                <c:pt idx="259">
                  <c:v>1119.4886778670566</c:v>
                </c:pt>
                <c:pt idx="260">
                  <c:v>1128.6973459946437</c:v>
                </c:pt>
                <c:pt idx="261">
                  <c:v>1055.9727294862435</c:v>
                </c:pt>
                <c:pt idx="262">
                  <c:v>1026.2225468711958</c:v>
                </c:pt>
                <c:pt idx="263">
                  <c:v>953.12393474555677</c:v>
                </c:pt>
                <c:pt idx="264">
                  <c:v>951.44485025566132</c:v>
                </c:pt>
                <c:pt idx="265">
                  <c:v>1027.6737277818363</c:v>
                </c:pt>
                <c:pt idx="266">
                  <c:v>987.31531531531573</c:v>
                </c:pt>
                <c:pt idx="267">
                  <c:v>1015.1468224981744</c:v>
                </c:pt>
                <c:pt idx="268">
                  <c:v>1045.7453128804484</c:v>
                </c:pt>
                <c:pt idx="269">
                  <c:v>1015.3016800584371</c:v>
                </c:pt>
                <c:pt idx="270">
                  <c:v>970.50596542488461</c:v>
                </c:pt>
                <c:pt idx="271">
                  <c:v>972.87168249330421</c:v>
                </c:pt>
                <c:pt idx="272">
                  <c:v>979.76430484538616</c:v>
                </c:pt>
                <c:pt idx="273">
                  <c:v>998.33844655466305</c:v>
                </c:pt>
                <c:pt idx="274">
                  <c:v>1053.9274409544682</c:v>
                </c:pt>
                <c:pt idx="275">
                  <c:v>1016.63793523253</c:v>
                </c:pt>
                <c:pt idx="276">
                  <c:v>1072.6827367908452</c:v>
                </c:pt>
                <c:pt idx="277">
                  <c:v>1114.893596299002</c:v>
                </c:pt>
                <c:pt idx="278">
                  <c:v>1125.1930849768692</c:v>
                </c:pt>
                <c:pt idx="279">
                  <c:v>1131.1721451180915</c:v>
                </c:pt>
                <c:pt idx="280">
                  <c:v>1175.0932554175802</c:v>
                </c:pt>
                <c:pt idx="281">
                  <c:v>1127.7195032870713</c:v>
                </c:pt>
                <c:pt idx="282">
                  <c:v>1173.4317019722428</c:v>
                </c:pt>
                <c:pt idx="283">
                  <c:v>1096.7382517652791</c:v>
                </c:pt>
                <c:pt idx="284">
                  <c:v>1124.9836863890921</c:v>
                </c:pt>
                <c:pt idx="285">
                  <c:v>1125.6810323837356</c:v>
                </c:pt>
                <c:pt idx="286">
                  <c:v>1072.868760652545</c:v>
                </c:pt>
                <c:pt idx="287">
                  <c:v>1029.8865351838331</c:v>
                </c:pt>
                <c:pt idx="288">
                  <c:v>1028.5843681519361</c:v>
                </c:pt>
                <c:pt idx="289">
                  <c:v>1023.3532992451916</c:v>
                </c:pt>
                <c:pt idx="290">
                  <c:v>1063.9055271487707</c:v>
                </c:pt>
                <c:pt idx="291">
                  <c:v>1066.8380813245681</c:v>
                </c:pt>
                <c:pt idx="292">
                  <c:v>1066.7689310932556</c:v>
                </c:pt>
                <c:pt idx="293">
                  <c:v>1075.9737034331631</c:v>
                </c:pt>
                <c:pt idx="294">
                  <c:v>1046.5868030192357</c:v>
                </c:pt>
                <c:pt idx="295">
                  <c:v>1053.3791088385685</c:v>
                </c:pt>
                <c:pt idx="296">
                  <c:v>985.68882395909441</c:v>
                </c:pt>
                <c:pt idx="297">
                  <c:v>983.10396883369879</c:v>
                </c:pt>
                <c:pt idx="298">
                  <c:v>996.82103725347008</c:v>
                </c:pt>
                <c:pt idx="299">
                  <c:v>931.74385196006847</c:v>
                </c:pt>
                <c:pt idx="300">
                  <c:v>826.28780131482858</c:v>
                </c:pt>
                <c:pt idx="301">
                  <c:v>655.55198441684945</c:v>
                </c:pt>
                <c:pt idx="302">
                  <c:v>750.64231799366962</c:v>
                </c:pt>
                <c:pt idx="303">
                  <c:v>648.72364256148069</c:v>
                </c:pt>
                <c:pt idx="304">
                  <c:v>737.50182615047504</c:v>
                </c:pt>
                <c:pt idx="305">
                  <c:v>676.66715364012691</c:v>
                </c:pt>
                <c:pt idx="306">
                  <c:v>608.98563428293187</c:v>
                </c:pt>
                <c:pt idx="307">
                  <c:v>502.19235451667907</c:v>
                </c:pt>
                <c:pt idx="308">
                  <c:v>618.27708789870985</c:v>
                </c:pt>
                <c:pt idx="309">
                  <c:v>663.35524713903123</c:v>
                </c:pt>
                <c:pt idx="310">
                  <c:v>649.62454346238167</c:v>
                </c:pt>
                <c:pt idx="311">
                  <c:v>693.08789870952069</c:v>
                </c:pt>
                <c:pt idx="312">
                  <c:v>670.21670318967654</c:v>
                </c:pt>
                <c:pt idx="313">
                  <c:v>710.65400535670847</c:v>
                </c:pt>
                <c:pt idx="314">
                  <c:v>694.53323593864161</c:v>
                </c:pt>
                <c:pt idx="315">
                  <c:v>691.36888239590974</c:v>
                </c:pt>
                <c:pt idx="316">
                  <c:v>697.01874847820818</c:v>
                </c:pt>
                <c:pt idx="317">
                  <c:v>707.31239347455573</c:v>
                </c:pt>
                <c:pt idx="318">
                  <c:v>713.63623082542006</c:v>
                </c:pt>
                <c:pt idx="319">
                  <c:v>691.25785244704161</c:v>
                </c:pt>
                <c:pt idx="320">
                  <c:v>642.50012174336496</c:v>
                </c:pt>
                <c:pt idx="321">
                  <c:v>683.64645726807885</c:v>
                </c:pt>
                <c:pt idx="322">
                  <c:v>648.89310932554179</c:v>
                </c:pt>
                <c:pt idx="323">
                  <c:v>703.04553201850501</c:v>
                </c:pt>
                <c:pt idx="324">
                  <c:v>731.49159970781591</c:v>
                </c:pt>
                <c:pt idx="325">
                  <c:v>758.07548088629164</c:v>
                </c:pt>
                <c:pt idx="326">
                  <c:v>811.82955928901868</c:v>
                </c:pt>
                <c:pt idx="327">
                  <c:v>798.76893109325545</c:v>
                </c:pt>
                <c:pt idx="328">
                  <c:v>782.87801314828334</c:v>
                </c:pt>
                <c:pt idx="329">
                  <c:v>783.00560019478939</c:v>
                </c:pt>
                <c:pt idx="330">
                  <c:v>768.10908205502801</c:v>
                </c:pt>
                <c:pt idx="331">
                  <c:v>752.09934258582905</c:v>
                </c:pt>
                <c:pt idx="332">
                  <c:v>727.57048940832715</c:v>
                </c:pt>
                <c:pt idx="333">
                  <c:v>756.6515704894083</c:v>
                </c:pt>
                <c:pt idx="334">
                  <c:v>807.55880204528864</c:v>
                </c:pt>
                <c:pt idx="335">
                  <c:v>772.24348672997326</c:v>
                </c:pt>
                <c:pt idx="336">
                  <c:v>767.81787192598006</c:v>
                </c:pt>
                <c:pt idx="337">
                  <c:v>753.84173362551746</c:v>
                </c:pt>
                <c:pt idx="338">
                  <c:v>801.54370586803032</c:v>
                </c:pt>
                <c:pt idx="339">
                  <c:v>791.73216459702951</c:v>
                </c:pt>
                <c:pt idx="340">
                  <c:v>778.90430971512058</c:v>
                </c:pt>
                <c:pt idx="341">
                  <c:v>815.38836133430743</c:v>
                </c:pt>
                <c:pt idx="342">
                  <c:v>853.04407109812519</c:v>
                </c:pt>
                <c:pt idx="343">
                  <c:v>872.74117360603873</c:v>
                </c:pt>
                <c:pt idx="344">
                  <c:v>840.36425614804011</c:v>
                </c:pt>
                <c:pt idx="345">
                  <c:v>829.72972972972991</c:v>
                </c:pt>
                <c:pt idx="346">
                  <c:v>852.45288531775032</c:v>
                </c:pt>
                <c:pt idx="347">
                  <c:v>837.24178232286351</c:v>
                </c:pt>
                <c:pt idx="348">
                  <c:v>851.53737521305106</c:v>
                </c:pt>
                <c:pt idx="349">
                  <c:v>915.41952763574409</c:v>
                </c:pt>
                <c:pt idx="350">
                  <c:v>962.57414170927711</c:v>
                </c:pt>
                <c:pt idx="351">
                  <c:v>948.52495738982259</c:v>
                </c:pt>
                <c:pt idx="352">
                  <c:v>925.41222303384495</c:v>
                </c:pt>
                <c:pt idx="353">
                  <c:v>966.36863890917982</c:v>
                </c:pt>
                <c:pt idx="354">
                  <c:v>1024.0886291697107</c:v>
                </c:pt>
                <c:pt idx="355">
                  <c:v>1004.9203798392992</c:v>
                </c:pt>
                <c:pt idx="356">
                  <c:v>946.76600925249625</c:v>
                </c:pt>
                <c:pt idx="357">
                  <c:v>999.84806428049717</c:v>
                </c:pt>
                <c:pt idx="358">
                  <c:v>1038.6082298514734</c:v>
                </c:pt>
                <c:pt idx="359">
                  <c:v>1045.8154370586806</c:v>
                </c:pt>
                <c:pt idx="360">
                  <c:v>1042.8926223520821</c:v>
                </c:pt>
                <c:pt idx="361">
                  <c:v>1051.4808862916975</c:v>
                </c:pt>
                <c:pt idx="362">
                  <c:v>1031.7399561723889</c:v>
                </c:pt>
                <c:pt idx="363">
                  <c:v>1074.4874604334066</c:v>
                </c:pt>
                <c:pt idx="364">
                  <c:v>1106.5420014609206</c:v>
                </c:pt>
                <c:pt idx="365">
                  <c:v>1100.4343803262723</c:v>
                </c:pt>
                <c:pt idx="366">
                  <c:v>1116.2191380569761</c:v>
                </c:pt>
                <c:pt idx="367">
                  <c:v>1120.7869491112738</c:v>
                </c:pt>
                <c:pt idx="368">
                  <c:v>1076.1509617725837</c:v>
                </c:pt>
                <c:pt idx="369">
                  <c:v>1071.3377160944733</c:v>
                </c:pt>
                <c:pt idx="370">
                  <c:v>1023.1253956659368</c:v>
                </c:pt>
                <c:pt idx="371">
                  <c:v>1082.4231799366942</c:v>
                </c:pt>
                <c:pt idx="372">
                  <c:v>1118.8088629169717</c:v>
                </c:pt>
                <c:pt idx="373">
                  <c:v>1106.8828828828837</c:v>
                </c:pt>
                <c:pt idx="374">
                  <c:v>1129.7920623326038</c:v>
                </c:pt>
                <c:pt idx="375">
                  <c:v>1134.1884587290003</c:v>
                </c:pt>
                <c:pt idx="376">
                  <c:v>1130.3403944485035</c:v>
                </c:pt>
                <c:pt idx="377">
                  <c:v>1101.2680788897014</c:v>
                </c:pt>
                <c:pt idx="378">
                  <c:v>1130.725103481861</c:v>
                </c:pt>
                <c:pt idx="379">
                  <c:v>1115.833455076699</c:v>
                </c:pt>
                <c:pt idx="380">
                  <c:v>1099.0728025322628</c:v>
                </c:pt>
                <c:pt idx="381">
                  <c:v>1106.743608473339</c:v>
                </c:pt>
                <c:pt idx="382">
                  <c:v>1082.1884587290001</c:v>
                </c:pt>
                <c:pt idx="383">
                  <c:v>1008.6018991964944</c:v>
                </c:pt>
                <c:pt idx="384">
                  <c:v>1056.906744582421</c:v>
                </c:pt>
                <c:pt idx="385">
                  <c:v>1032.5191137083034</c:v>
                </c:pt>
                <c:pt idx="386">
                  <c:v>1042.2556610664724</c:v>
                </c:pt>
                <c:pt idx="387">
                  <c:v>1048.2288775261754</c:v>
                </c:pt>
                <c:pt idx="388">
                  <c:v>1104.4187971755546</c:v>
                </c:pt>
                <c:pt idx="389">
                  <c:v>1123.1507182858541</c:v>
                </c:pt>
                <c:pt idx="390">
                  <c:v>1100.2220598977362</c:v>
                </c:pt>
                <c:pt idx="391">
                  <c:v>1086.2800097394697</c:v>
                </c:pt>
                <c:pt idx="392">
                  <c:v>1130.2663744825913</c:v>
                </c:pt>
                <c:pt idx="393">
                  <c:v>1113.9615290966649</c:v>
                </c:pt>
                <c:pt idx="394">
                  <c:v>1172.2493304114932</c:v>
                </c:pt>
                <c:pt idx="395">
                  <c:v>1171.8470903335776</c:v>
                </c:pt>
                <c:pt idx="396">
                  <c:v>1179.3591429267112</c:v>
                </c:pt>
                <c:pt idx="397">
                  <c:v>1143.8529340150969</c:v>
                </c:pt>
                <c:pt idx="398">
                  <c:v>1173.0002434867308</c:v>
                </c:pt>
                <c:pt idx="399">
                  <c:v>1174.8682736790852</c:v>
                </c:pt>
                <c:pt idx="400">
                  <c:v>1204.6953981008044</c:v>
                </c:pt>
                <c:pt idx="401">
                  <c:v>1214.4991477964461</c:v>
                </c:pt>
                <c:pt idx="402">
                  <c:v>1215.8022887752627</c:v>
                </c:pt>
                <c:pt idx="403">
                  <c:v>1263.1643535427331</c:v>
                </c:pt>
                <c:pt idx="404">
                  <c:v>1264.8074019965923</c:v>
                </c:pt>
                <c:pt idx="405">
                  <c:v>1260.9758948137337</c:v>
                </c:pt>
                <c:pt idx="406">
                  <c:v>1256.5687850012184</c:v>
                </c:pt>
                <c:pt idx="407">
                  <c:v>1248.3223764304855</c:v>
                </c:pt>
                <c:pt idx="408">
                  <c:v>1272.0934989043105</c:v>
                </c:pt>
                <c:pt idx="409">
                  <c:v>1281.5514974433902</c:v>
                </c:pt>
                <c:pt idx="410">
                  <c:v>1255.9814950085231</c:v>
                </c:pt>
                <c:pt idx="411">
                  <c:v>1257.609934258584</c:v>
                </c:pt>
                <c:pt idx="412">
                  <c:v>1249.7677136596064</c:v>
                </c:pt>
                <c:pt idx="413">
                  <c:v>1251.2656440224018</c:v>
                </c:pt>
                <c:pt idx="414">
                  <c:v>1237.6333089846612</c:v>
                </c:pt>
                <c:pt idx="415">
                  <c:v>1225.8631604577558</c:v>
                </c:pt>
                <c:pt idx="416">
                  <c:v>1243.4847820793775</c:v>
                </c:pt>
                <c:pt idx="417">
                  <c:v>1266.7601655709773</c:v>
                </c:pt>
                <c:pt idx="418">
                  <c:v>1240.5405405405415</c:v>
                </c:pt>
                <c:pt idx="419">
                  <c:v>1221.2622352081821</c:v>
                </c:pt>
                <c:pt idx="420">
                  <c:v>1236.4743121499887</c:v>
                </c:pt>
                <c:pt idx="421">
                  <c:v>1258.806915023132</c:v>
                </c:pt>
                <c:pt idx="422">
                  <c:v>1313.8095933771619</c:v>
                </c:pt>
                <c:pt idx="423">
                  <c:v>1361.7813489164851</c:v>
                </c:pt>
                <c:pt idx="424">
                  <c:v>1317.6888239590951</c:v>
                </c:pt>
                <c:pt idx="425">
                  <c:v>1305.8222546871204</c:v>
                </c:pt>
                <c:pt idx="426">
                  <c:v>1297.0908205502808</c:v>
                </c:pt>
                <c:pt idx="427">
                  <c:v>1242.727051375701</c:v>
                </c:pt>
                <c:pt idx="428">
                  <c:v>1242.6471877282695</c:v>
                </c:pt>
                <c:pt idx="429">
                  <c:v>1235.1779887996113</c:v>
                </c:pt>
                <c:pt idx="430">
                  <c:v>1294.8575602629667</c:v>
                </c:pt>
                <c:pt idx="431">
                  <c:v>1271.1176040905782</c:v>
                </c:pt>
                <c:pt idx="432">
                  <c:v>1271.4838081324579</c:v>
                </c:pt>
                <c:pt idx="433">
                  <c:v>1284.3525687850022</c:v>
                </c:pt>
                <c:pt idx="434">
                  <c:v>1298.207937667398</c:v>
                </c:pt>
                <c:pt idx="435">
                  <c:v>1289.7345994643301</c:v>
                </c:pt>
                <c:pt idx="436">
                  <c:v>1295.4682249817392</c:v>
                </c:pt>
                <c:pt idx="437">
                  <c:v>1304.2843925006096</c:v>
                </c:pt>
                <c:pt idx="438">
                  <c:v>1321.82420258096</c:v>
                </c:pt>
                <c:pt idx="439">
                  <c:v>1274.9481373265164</c:v>
                </c:pt>
                <c:pt idx="440">
                  <c:v>1254.9237886535191</c:v>
                </c:pt>
                <c:pt idx="441">
                  <c:v>1253.0849768687613</c:v>
                </c:pt>
                <c:pt idx="442">
                  <c:v>1278.91404918432</c:v>
                </c:pt>
                <c:pt idx="443">
                  <c:v>1336.1071341611887</c:v>
                </c:pt>
                <c:pt idx="444">
                  <c:v>1323.4721207694186</c:v>
                </c:pt>
                <c:pt idx="445">
                  <c:v>1305.5252008765526</c:v>
                </c:pt>
                <c:pt idx="446">
                  <c:v>1319.0533235938647</c:v>
                </c:pt>
                <c:pt idx="447">
                  <c:v>1307.7730703676655</c:v>
                </c:pt>
                <c:pt idx="448">
                  <c:v>1233.82225468712</c:v>
                </c:pt>
                <c:pt idx="449">
                  <c:v>1237.8836133430732</c:v>
                </c:pt>
                <c:pt idx="450">
                  <c:v>1210.5877769661558</c:v>
                </c:pt>
                <c:pt idx="451">
                  <c:v>1269.1327002678358</c:v>
                </c:pt>
                <c:pt idx="452">
                  <c:v>1305.413196980765</c:v>
                </c:pt>
                <c:pt idx="453">
                  <c:v>1273.7940102264431</c:v>
                </c:pt>
                <c:pt idx="454">
                  <c:v>1314.2624786949116</c:v>
                </c:pt>
                <c:pt idx="455">
                  <c:v>1248.6700754808865</c:v>
                </c:pt>
                <c:pt idx="456">
                  <c:v>1269.2554175797422</c:v>
                </c:pt>
                <c:pt idx="457">
                  <c:v>1274.7319211102997</c:v>
                </c:pt>
                <c:pt idx="458">
                  <c:v>1326.7572437302172</c:v>
                </c:pt>
                <c:pt idx="459">
                  <c:v>1342.3384465546633</c:v>
                </c:pt>
                <c:pt idx="460">
                  <c:v>1343.6659362064772</c:v>
                </c:pt>
                <c:pt idx="461">
                  <c:v>1352.1607012417828</c:v>
                </c:pt>
                <c:pt idx="462">
                  <c:v>1346.2809836863896</c:v>
                </c:pt>
                <c:pt idx="463">
                  <c:v>1296.8892135378626</c:v>
                </c:pt>
                <c:pt idx="464">
                  <c:v>1270.1319698076459</c:v>
                </c:pt>
                <c:pt idx="465">
                  <c:v>1357.5787679571467</c:v>
                </c:pt>
                <c:pt idx="466">
                  <c:v>1352.9476503530561</c:v>
                </c:pt>
                <c:pt idx="467">
                  <c:v>1344.4558071585104</c:v>
                </c:pt>
                <c:pt idx="468">
                  <c:v>1383.359142926711</c:v>
                </c:pt>
                <c:pt idx="469">
                  <c:v>1386.2663744825913</c:v>
                </c:pt>
                <c:pt idx="470">
                  <c:v>1380.7850012174342</c:v>
                </c:pt>
                <c:pt idx="471">
                  <c:v>1400.7635743851968</c:v>
                </c:pt>
                <c:pt idx="472">
                  <c:v>1405.6021426832244</c:v>
                </c:pt>
                <c:pt idx="473">
                  <c:v>1445.6800584368159</c:v>
                </c:pt>
                <c:pt idx="474">
                  <c:v>1454.4358412466527</c:v>
                </c:pt>
                <c:pt idx="475">
                  <c:v>1452.8882395909429</c:v>
                </c:pt>
                <c:pt idx="476">
                  <c:v>1459.55003652301</c:v>
                </c:pt>
                <c:pt idx="477">
                  <c:v>1492.1256391526667</c:v>
                </c:pt>
                <c:pt idx="478">
                  <c:v>1479.5402970538112</c:v>
                </c:pt>
                <c:pt idx="479">
                  <c:v>1489.8670562454352</c:v>
                </c:pt>
                <c:pt idx="480">
                  <c:v>1493.5437058680309</c:v>
                </c:pt>
                <c:pt idx="481">
                  <c:v>1483.0981251521798</c:v>
                </c:pt>
                <c:pt idx="482">
                  <c:v>1500.0749939128325</c:v>
                </c:pt>
                <c:pt idx="483">
                  <c:v>1491.715607499392</c:v>
                </c:pt>
                <c:pt idx="484">
                  <c:v>1503.0192354516685</c:v>
                </c:pt>
                <c:pt idx="485">
                  <c:v>1509.677136596056</c:v>
                </c:pt>
                <c:pt idx="486">
                  <c:v>1540.7538349159975</c:v>
                </c:pt>
                <c:pt idx="487">
                  <c:v>1554.4894083272466</c:v>
                </c:pt>
                <c:pt idx="488">
                  <c:v>1546.1115169223283</c:v>
                </c:pt>
                <c:pt idx="489">
                  <c:v>1479.4740686632583</c:v>
                </c:pt>
                <c:pt idx="490">
                  <c:v>1494.3384465546633</c:v>
                </c:pt>
                <c:pt idx="491">
                  <c:v>1446.8994399805215</c:v>
                </c:pt>
                <c:pt idx="492">
                  <c:v>1510.6968590211839</c:v>
                </c:pt>
                <c:pt idx="493">
                  <c:v>1546.6267348429515</c:v>
                </c:pt>
                <c:pt idx="494">
                  <c:v>1548.3623082542003</c:v>
                </c:pt>
                <c:pt idx="495">
                  <c:v>1603.2042853664477</c:v>
                </c:pt>
                <c:pt idx="496">
                  <c:v>1617.6829802775753</c:v>
                </c:pt>
                <c:pt idx="497">
                  <c:v>1637.72778183589</c:v>
                </c:pt>
                <c:pt idx="498">
                  <c:v>1618.4709033357685</c:v>
                </c:pt>
                <c:pt idx="499">
                  <c:v>1661.9391283175069</c:v>
                </c:pt>
                <c:pt idx="500">
                  <c:v>1679.8889700511324</c:v>
                </c:pt>
                <c:pt idx="501">
                  <c:v>1662.1232042853667</c:v>
                </c:pt>
                <c:pt idx="502">
                  <c:v>1677.7141465790121</c:v>
                </c:pt>
                <c:pt idx="503">
                  <c:v>1658.3364986608237</c:v>
                </c:pt>
                <c:pt idx="504">
                  <c:v>1668.7197467738015</c:v>
                </c:pt>
                <c:pt idx="505">
                  <c:v>1703.1546140735336</c:v>
                </c:pt>
                <c:pt idx="506">
                  <c:v>1695.3932310689074</c:v>
                </c:pt>
                <c:pt idx="507">
                  <c:v>1707.0766983199421</c:v>
                </c:pt>
                <c:pt idx="508">
                  <c:v>1706.3228634039449</c:v>
                </c:pt>
                <c:pt idx="509">
                  <c:v>1747.9912344777215</c:v>
                </c:pt>
                <c:pt idx="510">
                  <c:v>1723.6785975164357</c:v>
                </c:pt>
                <c:pt idx="511">
                  <c:v>1753.223277331386</c:v>
                </c:pt>
                <c:pt idx="512">
                  <c:v>1752.3428293158029</c:v>
                </c:pt>
                <c:pt idx="513">
                  <c:v>1779.0942293644998</c:v>
                </c:pt>
                <c:pt idx="514">
                  <c:v>1770.0306793279769</c:v>
                </c:pt>
                <c:pt idx="515">
                  <c:v>1732.766496225956</c:v>
                </c:pt>
                <c:pt idx="516">
                  <c:v>1777.404431458486</c:v>
                </c:pt>
                <c:pt idx="517">
                  <c:v>1787.8071585098619</c:v>
                </c:pt>
                <c:pt idx="518">
                  <c:v>1801.09374239104</c:v>
                </c:pt>
                <c:pt idx="519">
                  <c:v>1839.1711711711714</c:v>
                </c:pt>
                <c:pt idx="520">
                  <c:v>1847.9678597516438</c:v>
                </c:pt>
                <c:pt idx="521">
                  <c:v>1831.4185536888244</c:v>
                </c:pt>
                <c:pt idx="522">
                  <c:v>1867.7535914292675</c:v>
                </c:pt>
                <c:pt idx="523">
                  <c:v>1880.1373265157054</c:v>
                </c:pt>
                <c:pt idx="524">
                  <c:v>1899.7682006330656</c:v>
                </c:pt>
                <c:pt idx="525">
                  <c:v>1904.7246165084002</c:v>
                </c:pt>
                <c:pt idx="526">
                  <c:v>1884.5833942050158</c:v>
                </c:pt>
                <c:pt idx="527">
                  <c:v>1869.6333089846603</c:v>
                </c:pt>
                <c:pt idx="528">
                  <c:v>1833.5787679571463</c:v>
                </c:pt>
                <c:pt idx="529">
                  <c:v>1854.5877769661554</c:v>
                </c:pt>
                <c:pt idx="530">
                  <c:v>1884.4119795471147</c:v>
                </c:pt>
                <c:pt idx="531">
                  <c:v>1902.063793523253</c:v>
                </c:pt>
                <c:pt idx="532">
                  <c:v>1871.5023131239352</c:v>
                </c:pt>
                <c:pt idx="533">
                  <c:v>1888.8132456781107</c:v>
                </c:pt>
                <c:pt idx="534">
                  <c:v>1878.8838568298029</c:v>
                </c:pt>
                <c:pt idx="535">
                  <c:v>1900.1168736303873</c:v>
                </c:pt>
                <c:pt idx="536">
                  <c:v>1956.6515704894082</c:v>
                </c:pt>
                <c:pt idx="537">
                  <c:v>1952.4898953007059</c:v>
                </c:pt>
                <c:pt idx="538">
                  <c:v>1998.7241295349406</c:v>
                </c:pt>
                <c:pt idx="539">
                  <c:v>2013.8466033601169</c:v>
                </c:pt>
                <c:pt idx="540">
                  <c:v>1999.0153396639882</c:v>
                </c:pt>
                <c:pt idx="541">
                  <c:v>2000.1061602142684</c:v>
                </c:pt>
                <c:pt idx="542">
                  <c:v>1942.072559045532</c:v>
                </c:pt>
                <c:pt idx="543">
                  <c:v>1874.7046505965423</c:v>
                </c:pt>
                <c:pt idx="544">
                  <c:v>1879.0348186023862</c:v>
                </c:pt>
                <c:pt idx="545">
                  <c:v>1862.8205502800095</c:v>
                </c:pt>
                <c:pt idx="546">
                  <c:v>1769.3070367664961</c:v>
                </c:pt>
                <c:pt idx="547">
                  <c:v>1815.208181154127</c:v>
                </c:pt>
                <c:pt idx="548">
                  <c:v>1798.7689310932553</c:v>
                </c:pt>
                <c:pt idx="549">
                  <c:v>1919.3211589968344</c:v>
                </c:pt>
                <c:pt idx="550">
                  <c:v>1878.8799610421229</c:v>
                </c:pt>
                <c:pt idx="551">
                  <c:v>1827.223764304845</c:v>
                </c:pt>
                <c:pt idx="552">
                  <c:v>1766.6803019235447</c:v>
                </c:pt>
                <c:pt idx="553">
                  <c:v>1766.3238373508639</c:v>
                </c:pt>
                <c:pt idx="554">
                  <c:v>1741.1706841977109</c:v>
                </c:pt>
                <c:pt idx="555">
                  <c:v>1781.9537375213044</c:v>
                </c:pt>
                <c:pt idx="556">
                  <c:v>1775.5802288775258</c:v>
                </c:pt>
                <c:pt idx="557">
                  <c:v>1806.1641100560018</c:v>
                </c:pt>
                <c:pt idx="558">
                  <c:v>1820.6515704894082</c:v>
                </c:pt>
                <c:pt idx="559">
                  <c:v>1836.1363525687848</c:v>
                </c:pt>
                <c:pt idx="560">
                  <c:v>1859.4477720964207</c:v>
                </c:pt>
                <c:pt idx="561">
                  <c:v>1817.3791088385681</c:v>
                </c:pt>
                <c:pt idx="562">
                  <c:v>1845.0810810810808</c:v>
                </c:pt>
                <c:pt idx="563">
                  <c:v>1936.991477964451</c:v>
                </c:pt>
                <c:pt idx="564">
                  <c:v>1965.5213050888729</c:v>
                </c:pt>
                <c:pt idx="565">
                  <c:v>1951.1059167275382</c:v>
                </c:pt>
                <c:pt idx="566">
                  <c:v>1952.1821280740196</c:v>
                </c:pt>
                <c:pt idx="567">
                  <c:v>1968.9086924762596</c:v>
                </c:pt>
                <c:pt idx="568">
                  <c:v>1909.4531288044798</c:v>
                </c:pt>
                <c:pt idx="569">
                  <c:v>1920.2882882882877</c:v>
                </c:pt>
                <c:pt idx="570">
                  <c:v>1940.2804967129287</c:v>
                </c:pt>
                <c:pt idx="571">
                  <c:v>1921.0119308497683</c:v>
                </c:pt>
                <c:pt idx="572">
                  <c:v>1930.0472364256141</c:v>
                </c:pt>
                <c:pt idx="573">
                  <c:v>1957.138543949354</c:v>
                </c:pt>
                <c:pt idx="574">
                  <c:v>1951.4438763087408</c:v>
                </c:pt>
                <c:pt idx="575">
                  <c:v>1982.3111760409054</c:v>
                </c:pt>
                <c:pt idx="576">
                  <c:v>2018.7299732164593</c:v>
                </c:pt>
                <c:pt idx="577">
                  <c:v>1966.104699293888</c:v>
                </c:pt>
                <c:pt idx="578">
                  <c:v>1973.7443389335274</c:v>
                </c:pt>
                <c:pt idx="579">
                  <c:v>1995.939615290966</c:v>
                </c:pt>
                <c:pt idx="580">
                  <c:v>2059.7272948624291</c:v>
                </c:pt>
                <c:pt idx="581">
                  <c:v>2070.1495008522024</c:v>
                </c:pt>
                <c:pt idx="582">
                  <c:v>2059.8120282444597</c:v>
                </c:pt>
                <c:pt idx="583">
                  <c:v>2048.155831507182</c:v>
                </c:pt>
                <c:pt idx="584">
                  <c:v>2039.8763087411728</c:v>
                </c:pt>
                <c:pt idx="585">
                  <c:v>2055.4331628926216</c:v>
                </c:pt>
                <c:pt idx="586">
                  <c:v>2078.062819576332</c:v>
                </c:pt>
                <c:pt idx="587">
                  <c:v>2048.1499878256627</c:v>
                </c:pt>
                <c:pt idx="588">
                  <c:v>2031.7730703676639</c:v>
                </c:pt>
                <c:pt idx="589">
                  <c:v>2058.1894326759179</c:v>
                </c:pt>
                <c:pt idx="590">
                  <c:v>2066.3433162892611</c:v>
                </c:pt>
                <c:pt idx="591">
                  <c:v>2136.2990017044062</c:v>
                </c:pt>
                <c:pt idx="592">
                  <c:v>2170.8984660336005</c:v>
                </c:pt>
                <c:pt idx="593">
                  <c:v>2169.5193571950322</c:v>
                </c:pt>
                <c:pt idx="594">
                  <c:v>2150.8750913075232</c:v>
                </c:pt>
                <c:pt idx="595">
                  <c:v>2181.6216216216208</c:v>
                </c:pt>
                <c:pt idx="596">
                  <c:v>2177.9410762113457</c:v>
                </c:pt>
                <c:pt idx="597">
                  <c:v>2133.8719259800332</c:v>
                </c:pt>
                <c:pt idx="598">
                  <c:v>2144.1100560019472</c:v>
                </c:pt>
                <c:pt idx="599">
                  <c:v>2164.3165327489642</c:v>
                </c:pt>
                <c:pt idx="600">
                  <c:v>2184.1120038957865</c:v>
                </c:pt>
                <c:pt idx="601">
                  <c:v>2198.7913318724118</c:v>
                </c:pt>
                <c:pt idx="602">
                  <c:v>2210.7104942780611</c:v>
                </c:pt>
                <c:pt idx="603">
                  <c:v>2186.5488190893589</c:v>
                </c:pt>
                <c:pt idx="604">
                  <c:v>2208.2123204285358</c:v>
                </c:pt>
                <c:pt idx="605">
                  <c:v>2271.0874117360595</c:v>
                </c:pt>
                <c:pt idx="606">
                  <c:v>2280.9174579985383</c:v>
                </c:pt>
                <c:pt idx="607">
                  <c:v>2289.281714146578</c:v>
                </c:pt>
                <c:pt idx="608">
                  <c:v>2311.7107377647908</c:v>
                </c:pt>
                <c:pt idx="609">
                  <c:v>2333.1356221085939</c:v>
                </c:pt>
                <c:pt idx="610">
                  <c:v>2279.784757730702</c:v>
                </c:pt>
                <c:pt idx="611">
                  <c:v>2274.6345264183087</c:v>
                </c:pt>
                <c:pt idx="612">
                  <c:v>2247.5159483808116</c:v>
                </c:pt>
                <c:pt idx="613">
                  <c:v>2253.0080350620874</c:v>
                </c:pt>
                <c:pt idx="614">
                  <c:v>2226.6413440467481</c:v>
                </c:pt>
                <c:pt idx="615">
                  <c:v>2227.6902848794725</c:v>
                </c:pt>
                <c:pt idx="616">
                  <c:v>2308.2775748721679</c:v>
                </c:pt>
                <c:pt idx="617">
                  <c:v>2267.1682493304102</c:v>
                </c:pt>
                <c:pt idx="618">
                  <c:v>2296.8629169710234</c:v>
                </c:pt>
                <c:pt idx="619">
                  <c:v>2309.3713172632079</c:v>
                </c:pt>
                <c:pt idx="620">
                  <c:v>2359.1137083028962</c:v>
                </c:pt>
                <c:pt idx="621">
                  <c:v>2431.0377404431442</c:v>
                </c:pt>
                <c:pt idx="622">
                  <c:v>2336.939858777695</c:v>
                </c:pt>
                <c:pt idx="623">
                  <c:v>2270.4592159727281</c:v>
                </c:pt>
                <c:pt idx="624">
                  <c:v>2306.6968590211823</c:v>
                </c:pt>
                <c:pt idx="625">
                  <c:v>2328.0301923545157</c:v>
                </c:pt>
                <c:pt idx="626">
                  <c:v>2313.7005113221321</c:v>
                </c:pt>
                <c:pt idx="627">
                  <c:v>2342.1796932067195</c:v>
                </c:pt>
                <c:pt idx="628">
                  <c:v>2311.9503287070847</c:v>
                </c:pt>
                <c:pt idx="629">
                  <c:v>2392.5648892135368</c:v>
                </c:pt>
                <c:pt idx="630">
                  <c:v>2365.2398344290223</c:v>
                </c:pt>
                <c:pt idx="631">
                  <c:v>2376.2113464816157</c:v>
                </c:pt>
                <c:pt idx="632">
                  <c:v>2392.7470172875569</c:v>
                </c:pt>
                <c:pt idx="633">
                  <c:v>2380.6165084002914</c:v>
                </c:pt>
                <c:pt idx="634">
                  <c:v>2387.1526661796925</c:v>
                </c:pt>
                <c:pt idx="635">
                  <c:v>2340.6729973216452</c:v>
                </c:pt>
                <c:pt idx="636">
                  <c:v>2310.5225225225217</c:v>
                </c:pt>
                <c:pt idx="637">
                  <c:v>2388.6087168249323</c:v>
                </c:pt>
                <c:pt idx="638">
                  <c:v>2360.5278792305812</c:v>
                </c:pt>
                <c:pt idx="639">
                  <c:v>2352.118821524226</c:v>
                </c:pt>
                <c:pt idx="640">
                  <c:v>2341.5982468955431</c:v>
                </c:pt>
                <c:pt idx="641">
                  <c:v>2362.320915510104</c:v>
                </c:pt>
                <c:pt idx="642">
                  <c:v>2340.0545410275131</c:v>
                </c:pt>
                <c:pt idx="643">
                  <c:v>2294.891648405161</c:v>
                </c:pt>
                <c:pt idx="644">
                  <c:v>2306.960798636474</c:v>
                </c:pt>
                <c:pt idx="645">
                  <c:v>2331.7438519600678</c:v>
                </c:pt>
                <c:pt idx="646">
                  <c:v>2291.8344290236178</c:v>
                </c:pt>
                <c:pt idx="647">
                  <c:v>2263.8733869004136</c:v>
                </c:pt>
                <c:pt idx="648">
                  <c:v>2280.581446311176</c:v>
                </c:pt>
                <c:pt idx="649">
                  <c:v>2288.3613343072802</c:v>
                </c:pt>
                <c:pt idx="650">
                  <c:v>2323.27343559776</c:v>
                </c:pt>
                <c:pt idx="651">
                  <c:v>2294.5264183102022</c:v>
                </c:pt>
                <c:pt idx="652">
                  <c:v>2263.3834915997081</c:v>
                </c:pt>
                <c:pt idx="653">
                  <c:v>2275.2705137570006</c:v>
                </c:pt>
                <c:pt idx="654">
                  <c:v>2290.1232042853667</c:v>
                </c:pt>
                <c:pt idx="655">
                  <c:v>2280.0925249573897</c:v>
                </c:pt>
                <c:pt idx="656">
                  <c:v>2260.9671292914536</c:v>
                </c:pt>
                <c:pt idx="657">
                  <c:v>2308.0214268322379</c:v>
                </c:pt>
                <c:pt idx="658">
                  <c:v>2368.7197467738015</c:v>
                </c:pt>
                <c:pt idx="659">
                  <c:v>2270.0053567080595</c:v>
                </c:pt>
                <c:pt idx="660">
                  <c:v>2239.2559045532021</c:v>
                </c:pt>
                <c:pt idx="661">
                  <c:v>2162.7533479425369</c:v>
                </c:pt>
                <c:pt idx="662">
                  <c:v>2145.8953007061114</c:v>
                </c:pt>
                <c:pt idx="663">
                  <c:v>2153.8953007061114</c:v>
                </c:pt>
                <c:pt idx="664">
                  <c:v>2139.5373752130508</c:v>
                </c:pt>
                <c:pt idx="665">
                  <c:v>2150.0978816654492</c:v>
                </c:pt>
                <c:pt idx="666">
                  <c:v>2248.955441928415</c:v>
                </c:pt>
                <c:pt idx="667">
                  <c:v>2267.5052349646944</c:v>
                </c:pt>
                <c:pt idx="668">
                  <c:v>2327.200389578768</c:v>
                </c:pt>
                <c:pt idx="669">
                  <c:v>2349.6586316045773</c:v>
                </c:pt>
                <c:pt idx="670">
                  <c:v>2263.6717798879959</c:v>
                </c:pt>
                <c:pt idx="671">
                  <c:v>2224.6242999756514</c:v>
                </c:pt>
                <c:pt idx="672">
                  <c:v>2283.7087898709519</c:v>
                </c:pt>
                <c:pt idx="673">
                  <c:v>2267.9990260530799</c:v>
                </c:pt>
                <c:pt idx="674">
                  <c:v>2259.2218164110054</c:v>
                </c:pt>
                <c:pt idx="675">
                  <c:v>2177.5680545410273</c:v>
                </c:pt>
                <c:pt idx="676">
                  <c:v>2187.9678597516431</c:v>
                </c:pt>
                <c:pt idx="677">
                  <c:v>2255.5617238860482</c:v>
                </c:pt>
                <c:pt idx="678">
                  <c:v>2240.6369612856101</c:v>
                </c:pt>
                <c:pt idx="679">
                  <c:v>2169.8173849525201</c:v>
                </c:pt>
                <c:pt idx="680">
                  <c:v>2051.7360603847092</c:v>
                </c:pt>
                <c:pt idx="681">
                  <c:v>2119.4847820793766</c:v>
                </c:pt>
                <c:pt idx="682">
                  <c:v>2189.4394935476016</c:v>
                </c:pt>
                <c:pt idx="683">
                  <c:v>2103.3455076698319</c:v>
                </c:pt>
                <c:pt idx="684">
                  <c:v>2036.4334063793526</c:v>
                </c:pt>
                <c:pt idx="685">
                  <c:v>2074.7328950572191</c:v>
                </c:pt>
                <c:pt idx="686">
                  <c:v>2126.1748234721204</c:v>
                </c:pt>
                <c:pt idx="687">
                  <c:v>2211.578280983686</c:v>
                </c:pt>
                <c:pt idx="688">
                  <c:v>2226.4923301680055</c:v>
                </c:pt>
                <c:pt idx="689">
                  <c:v>2276.3321158996837</c:v>
                </c:pt>
                <c:pt idx="690">
                  <c:v>2251.4769905040175</c:v>
                </c:pt>
                <c:pt idx="691">
                  <c:v>2320.7119551984415</c:v>
                </c:pt>
                <c:pt idx="692">
                  <c:v>2339.2179206233254</c:v>
                </c:pt>
                <c:pt idx="693">
                  <c:v>2334.5838811784752</c:v>
                </c:pt>
                <c:pt idx="694">
                  <c:v>2315.9152666179684</c:v>
                </c:pt>
                <c:pt idx="695">
                  <c:v>2312.0350620891154</c:v>
                </c:pt>
                <c:pt idx="696">
                  <c:v>2332.482103725346</c:v>
                </c:pt>
                <c:pt idx="697">
                  <c:v>2279.7438519600673</c:v>
                </c:pt>
                <c:pt idx="698">
                  <c:v>2249.2164597029455</c:v>
                </c:pt>
                <c:pt idx="699">
                  <c:v>2256.2503043584115</c:v>
                </c:pt>
                <c:pt idx="700">
                  <c:v>2283.9824689554412</c:v>
                </c:pt>
                <c:pt idx="701">
                  <c:v>2296.9807645483311</c:v>
                </c:pt>
                <c:pt idx="702">
                  <c:v>2282.3228634039433</c:v>
                </c:pt>
                <c:pt idx="703">
                  <c:v>2312.4762600438262</c:v>
                </c:pt>
                <c:pt idx="704">
                  <c:v>2425.9099099099085</c:v>
                </c:pt>
                <c:pt idx="705">
                  <c:v>2441.2427562697817</c:v>
                </c:pt>
                <c:pt idx="706">
                  <c:v>2464.6184562941303</c:v>
                </c:pt>
                <c:pt idx="707">
                  <c:v>2462.2761139517875</c:v>
                </c:pt>
                <c:pt idx="708">
                  <c:v>2444.1986851716565</c:v>
                </c:pt>
                <c:pt idx="709">
                  <c:v>2435.7195032870691</c:v>
                </c:pt>
                <c:pt idx="710">
                  <c:v>2456.1402483564625</c:v>
                </c:pt>
                <c:pt idx="711">
                  <c:v>2402.1193084976849</c:v>
                </c:pt>
                <c:pt idx="712">
                  <c:v>2396.5171658144614</c:v>
                </c:pt>
                <c:pt idx="713">
                  <c:v>2453.9284149013856</c:v>
                </c:pt>
                <c:pt idx="714">
                  <c:v>2382.7221816410984</c:v>
                </c:pt>
                <c:pt idx="715">
                  <c:v>2331.562697832966</c:v>
                </c:pt>
                <c:pt idx="716">
                  <c:v>2421.4394935475998</c:v>
                </c:pt>
                <c:pt idx="717">
                  <c:v>2418.0949598246875</c:v>
                </c:pt>
                <c:pt idx="718">
                  <c:v>2305.5466277087876</c:v>
                </c:pt>
                <c:pt idx="719">
                  <c:v>2377.9196493791064</c:v>
                </c:pt>
                <c:pt idx="720">
                  <c:v>2407.6717798879936</c:v>
                </c:pt>
                <c:pt idx="721">
                  <c:v>2401.5894813732625</c:v>
                </c:pt>
                <c:pt idx="722">
                  <c:v>2325.3995617238838</c:v>
                </c:pt>
                <c:pt idx="723">
                  <c:v>2181.9663988312614</c:v>
                </c:pt>
                <c:pt idx="724">
                  <c:v>2188.1996591185753</c:v>
                </c:pt>
                <c:pt idx="725">
                  <c:v>2212.9349890430944</c:v>
                </c:pt>
                <c:pt idx="726">
                  <c:v>2128.2493304114896</c:v>
                </c:pt>
                <c:pt idx="727">
                  <c:v>2169.1921110299459</c:v>
                </c:pt>
                <c:pt idx="728">
                  <c:v>2209.352812271728</c:v>
                </c:pt>
                <c:pt idx="729">
                  <c:v>2241.854394935473</c:v>
                </c:pt>
                <c:pt idx="730">
                  <c:v>2232.2366691015309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59-4C94-BDB6-F57A146136EF}"/>
            </c:ext>
          </c:extLst>
        </c:ser>
        <c:ser>
          <c:idx val="11"/>
          <c:order val="11"/>
          <c:tx>
            <c:strRef>
              <c:f>Index!$AA$1</c:f>
              <c:strCache>
                <c:ptCount val="1"/>
                <c:pt idx="0">
                  <c:v>Toll Roads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Index!$AA$2:$AA$732</c:f>
              <c:numCache>
                <c:formatCode>General</c:formatCode>
                <c:ptCount val="731"/>
                <c:pt idx="0">
                  <c:v>100</c:v>
                </c:pt>
                <c:pt idx="1">
                  <c:v>101.79362880886427</c:v>
                </c:pt>
                <c:pt idx="2">
                  <c:v>101.22279382667195</c:v>
                </c:pt>
                <c:pt idx="3">
                  <c:v>103.45370003957264</c:v>
                </c:pt>
                <c:pt idx="4">
                  <c:v>101.22675108824696</c:v>
                </c:pt>
                <c:pt idx="5">
                  <c:v>102.32884843688169</c:v>
                </c:pt>
                <c:pt idx="6">
                  <c:v>104.95745943806888</c:v>
                </c:pt>
                <c:pt idx="7">
                  <c:v>106.1466165413534</c:v>
                </c:pt>
                <c:pt idx="8">
                  <c:v>108.50613375544124</c:v>
                </c:pt>
                <c:pt idx="9">
                  <c:v>108.7801741195093</c:v>
                </c:pt>
                <c:pt idx="10">
                  <c:v>104.99109616145627</c:v>
                </c:pt>
                <c:pt idx="11">
                  <c:v>103.44875346260388</c:v>
                </c:pt>
                <c:pt idx="12">
                  <c:v>107.95706371191136</c:v>
                </c:pt>
                <c:pt idx="13">
                  <c:v>108.16383062920458</c:v>
                </c:pt>
                <c:pt idx="14">
                  <c:v>112.04491491887613</c:v>
                </c:pt>
                <c:pt idx="15">
                  <c:v>112.11119905025723</c:v>
                </c:pt>
                <c:pt idx="16">
                  <c:v>114.60625247328849</c:v>
                </c:pt>
                <c:pt idx="17">
                  <c:v>116.210922041947</c:v>
                </c:pt>
                <c:pt idx="18">
                  <c:v>120.33933518005543</c:v>
                </c:pt>
                <c:pt idx="19">
                  <c:v>120.68658488326081</c:v>
                </c:pt>
                <c:pt idx="20">
                  <c:v>126.76691729323309</c:v>
                </c:pt>
                <c:pt idx="21">
                  <c:v>127.49010684606256</c:v>
                </c:pt>
                <c:pt idx="22">
                  <c:v>128.51800554016623</c:v>
                </c:pt>
                <c:pt idx="23">
                  <c:v>132.07459438068861</c:v>
                </c:pt>
                <c:pt idx="24">
                  <c:v>129.90007914523156</c:v>
                </c:pt>
                <c:pt idx="25">
                  <c:v>126.59081915314607</c:v>
                </c:pt>
                <c:pt idx="26">
                  <c:v>125.13751483973097</c:v>
                </c:pt>
                <c:pt idx="27">
                  <c:v>124.33518005540171</c:v>
                </c:pt>
                <c:pt idx="28">
                  <c:v>122.47724574594386</c:v>
                </c:pt>
                <c:pt idx="29">
                  <c:v>124.66857934309465</c:v>
                </c:pt>
                <c:pt idx="30">
                  <c:v>123.32508903838549</c:v>
                </c:pt>
                <c:pt idx="31">
                  <c:v>123.78314206569061</c:v>
                </c:pt>
                <c:pt idx="32">
                  <c:v>124.19865453106456</c:v>
                </c:pt>
                <c:pt idx="33">
                  <c:v>119.95745943806889</c:v>
                </c:pt>
                <c:pt idx="34">
                  <c:v>118.97506925207759</c:v>
                </c:pt>
                <c:pt idx="35">
                  <c:v>120.21270280965574</c:v>
                </c:pt>
                <c:pt idx="36">
                  <c:v>122.02216066481998</c:v>
                </c:pt>
                <c:pt idx="37">
                  <c:v>122.39908982983778</c:v>
                </c:pt>
                <c:pt idx="38">
                  <c:v>124.1749109616146</c:v>
                </c:pt>
                <c:pt idx="39">
                  <c:v>126.8994855559953</c:v>
                </c:pt>
                <c:pt idx="40">
                  <c:v>131.26038781163439</c:v>
                </c:pt>
                <c:pt idx="41">
                  <c:v>129.95449149188767</c:v>
                </c:pt>
                <c:pt idx="42">
                  <c:v>131.57499010684614</c:v>
                </c:pt>
                <c:pt idx="43">
                  <c:v>130.06628413138117</c:v>
                </c:pt>
                <c:pt idx="44">
                  <c:v>129.17095370003966</c:v>
                </c:pt>
                <c:pt idx="45">
                  <c:v>131.95983379501391</c:v>
                </c:pt>
                <c:pt idx="46">
                  <c:v>134.74772457459443</c:v>
                </c:pt>
                <c:pt idx="47">
                  <c:v>136.97863078749509</c:v>
                </c:pt>
                <c:pt idx="48">
                  <c:v>141.01009101701626</c:v>
                </c:pt>
                <c:pt idx="49">
                  <c:v>141.16640284922838</c:v>
                </c:pt>
                <c:pt idx="50">
                  <c:v>142.22892758211322</c:v>
                </c:pt>
                <c:pt idx="51">
                  <c:v>142.90166204986153</c:v>
                </c:pt>
                <c:pt idx="52">
                  <c:v>148.13019390581721</c:v>
                </c:pt>
                <c:pt idx="53">
                  <c:v>147.68005540166209</c:v>
                </c:pt>
                <c:pt idx="54">
                  <c:v>145.8053027305105</c:v>
                </c:pt>
                <c:pt idx="55">
                  <c:v>149.6230708349822</c:v>
                </c:pt>
                <c:pt idx="56">
                  <c:v>144.92777997625643</c:v>
                </c:pt>
                <c:pt idx="57">
                  <c:v>146.83913731697663</c:v>
                </c:pt>
                <c:pt idx="58">
                  <c:v>149.04827859121482</c:v>
                </c:pt>
                <c:pt idx="59">
                  <c:v>148.86327661258406</c:v>
                </c:pt>
                <c:pt idx="60">
                  <c:v>150.1028888009497</c:v>
                </c:pt>
                <c:pt idx="61">
                  <c:v>150.8211317768104</c:v>
                </c:pt>
                <c:pt idx="62">
                  <c:v>146.69766521567072</c:v>
                </c:pt>
                <c:pt idx="63">
                  <c:v>148.54669568658488</c:v>
                </c:pt>
                <c:pt idx="64">
                  <c:v>147.08844479620103</c:v>
                </c:pt>
                <c:pt idx="65">
                  <c:v>150.17016224772459</c:v>
                </c:pt>
                <c:pt idx="66">
                  <c:v>152.66422635536213</c:v>
                </c:pt>
                <c:pt idx="67">
                  <c:v>150.06727344677489</c:v>
                </c:pt>
                <c:pt idx="68">
                  <c:v>146.38899881282157</c:v>
                </c:pt>
                <c:pt idx="69">
                  <c:v>144.59339137316979</c:v>
                </c:pt>
                <c:pt idx="70">
                  <c:v>147.09537000395727</c:v>
                </c:pt>
                <c:pt idx="71">
                  <c:v>142.50494657696876</c:v>
                </c:pt>
                <c:pt idx="72">
                  <c:v>145.80925999208549</c:v>
                </c:pt>
                <c:pt idx="73">
                  <c:v>150.13652552433717</c:v>
                </c:pt>
                <c:pt idx="74">
                  <c:v>149.93668381480018</c:v>
                </c:pt>
                <c:pt idx="75">
                  <c:v>149.73387415908195</c:v>
                </c:pt>
                <c:pt idx="76">
                  <c:v>150.43430945785519</c:v>
                </c:pt>
                <c:pt idx="77">
                  <c:v>153.3003561535418</c:v>
                </c:pt>
                <c:pt idx="78">
                  <c:v>158.3122279382668</c:v>
                </c:pt>
                <c:pt idx="79">
                  <c:v>161.81242580134554</c:v>
                </c:pt>
                <c:pt idx="80">
                  <c:v>161.96675900277017</c:v>
                </c:pt>
                <c:pt idx="81">
                  <c:v>157.36050652948168</c:v>
                </c:pt>
                <c:pt idx="82">
                  <c:v>157.00732093391383</c:v>
                </c:pt>
                <c:pt idx="83">
                  <c:v>160.8092599920856</c:v>
                </c:pt>
                <c:pt idx="84">
                  <c:v>160.03264740799378</c:v>
                </c:pt>
                <c:pt idx="85">
                  <c:v>163.28947368421063</c:v>
                </c:pt>
                <c:pt idx="86">
                  <c:v>162.81460229521184</c:v>
                </c:pt>
                <c:pt idx="87">
                  <c:v>164.64384645825103</c:v>
                </c:pt>
                <c:pt idx="88">
                  <c:v>169.46774831816398</c:v>
                </c:pt>
                <c:pt idx="89">
                  <c:v>168.94341115947782</c:v>
                </c:pt>
                <c:pt idx="90">
                  <c:v>171.92916501780783</c:v>
                </c:pt>
                <c:pt idx="91">
                  <c:v>173.7227938266721</c:v>
                </c:pt>
                <c:pt idx="92">
                  <c:v>175.32449544914937</c:v>
                </c:pt>
                <c:pt idx="93">
                  <c:v>176.0931935100912</c:v>
                </c:pt>
                <c:pt idx="94">
                  <c:v>179.39849624060167</c:v>
                </c:pt>
                <c:pt idx="95">
                  <c:v>178.16481994459852</c:v>
                </c:pt>
                <c:pt idx="96">
                  <c:v>183.21131776810466</c:v>
                </c:pt>
                <c:pt idx="97">
                  <c:v>185.20577760189965</c:v>
                </c:pt>
                <c:pt idx="98">
                  <c:v>188.08468539770499</c:v>
                </c:pt>
                <c:pt idx="99">
                  <c:v>194.82884843688188</c:v>
                </c:pt>
                <c:pt idx="100">
                  <c:v>197.1458250890386</c:v>
                </c:pt>
                <c:pt idx="101">
                  <c:v>192.15868618915729</c:v>
                </c:pt>
                <c:pt idx="102">
                  <c:v>196.27225959635956</c:v>
                </c:pt>
                <c:pt idx="103">
                  <c:v>202.28630787495075</c:v>
                </c:pt>
                <c:pt idx="104">
                  <c:v>204.12544519192741</c:v>
                </c:pt>
                <c:pt idx="105">
                  <c:v>200.05836960823132</c:v>
                </c:pt>
                <c:pt idx="106">
                  <c:v>205.82607835377939</c:v>
                </c:pt>
                <c:pt idx="107">
                  <c:v>207.85912148793057</c:v>
                </c:pt>
                <c:pt idx="108">
                  <c:v>213.72279382667216</c:v>
                </c:pt>
                <c:pt idx="109">
                  <c:v>221.08033240997253</c:v>
                </c:pt>
                <c:pt idx="110">
                  <c:v>221.15947764147234</c:v>
                </c:pt>
                <c:pt idx="111">
                  <c:v>217.98476454293649</c:v>
                </c:pt>
                <c:pt idx="112">
                  <c:v>213.97407993668401</c:v>
                </c:pt>
                <c:pt idx="113">
                  <c:v>212.67411950929977</c:v>
                </c:pt>
                <c:pt idx="114">
                  <c:v>208.96814404432152</c:v>
                </c:pt>
                <c:pt idx="115">
                  <c:v>211.54234269885259</c:v>
                </c:pt>
                <c:pt idx="116">
                  <c:v>203.2904629996045</c:v>
                </c:pt>
                <c:pt idx="117">
                  <c:v>205.55500593589255</c:v>
                </c:pt>
                <c:pt idx="118">
                  <c:v>208.47645429362905</c:v>
                </c:pt>
                <c:pt idx="119">
                  <c:v>206.07439651761004</c:v>
                </c:pt>
                <c:pt idx="120">
                  <c:v>208.63474475662866</c:v>
                </c:pt>
                <c:pt idx="121">
                  <c:v>204.03838543727767</c:v>
                </c:pt>
                <c:pt idx="122">
                  <c:v>204.42718638702041</c:v>
                </c:pt>
                <c:pt idx="123">
                  <c:v>202.20419469726974</c:v>
                </c:pt>
                <c:pt idx="124">
                  <c:v>203.60308666402872</c:v>
                </c:pt>
                <c:pt idx="125">
                  <c:v>206.08428967154748</c:v>
                </c:pt>
                <c:pt idx="126">
                  <c:v>209.80906212900695</c:v>
                </c:pt>
                <c:pt idx="127">
                  <c:v>211.36921250494677</c:v>
                </c:pt>
                <c:pt idx="128">
                  <c:v>213.97506925207776</c:v>
                </c:pt>
                <c:pt idx="129">
                  <c:v>212.58211317768126</c:v>
                </c:pt>
                <c:pt idx="130">
                  <c:v>217.79481598733693</c:v>
                </c:pt>
                <c:pt idx="131">
                  <c:v>214.26394934705203</c:v>
                </c:pt>
                <c:pt idx="132">
                  <c:v>217.86604669568678</c:v>
                </c:pt>
                <c:pt idx="133">
                  <c:v>221.20102888800969</c:v>
                </c:pt>
                <c:pt idx="134">
                  <c:v>216.99149188761393</c:v>
                </c:pt>
                <c:pt idx="135">
                  <c:v>220.77859121487947</c:v>
                </c:pt>
                <c:pt idx="136">
                  <c:v>224.74970320538205</c:v>
                </c:pt>
                <c:pt idx="137">
                  <c:v>220.48872180451141</c:v>
                </c:pt>
                <c:pt idx="138">
                  <c:v>224.52512861100135</c:v>
                </c:pt>
                <c:pt idx="139">
                  <c:v>231.88860308666418</c:v>
                </c:pt>
                <c:pt idx="140">
                  <c:v>232.59101701622495</c:v>
                </c:pt>
                <c:pt idx="141">
                  <c:v>234.56865848832624</c:v>
                </c:pt>
                <c:pt idx="142">
                  <c:v>230.25029679461827</c:v>
                </c:pt>
                <c:pt idx="143">
                  <c:v>232.32489117530685</c:v>
                </c:pt>
                <c:pt idx="144">
                  <c:v>222.81064503363686</c:v>
                </c:pt>
                <c:pt idx="145">
                  <c:v>218.81677878907811</c:v>
                </c:pt>
                <c:pt idx="146">
                  <c:v>209.52908587257633</c:v>
                </c:pt>
                <c:pt idx="147">
                  <c:v>209.90106846062537</c:v>
                </c:pt>
                <c:pt idx="148">
                  <c:v>207.53363672338756</c:v>
                </c:pt>
                <c:pt idx="149">
                  <c:v>213.10743965176113</c:v>
                </c:pt>
                <c:pt idx="150">
                  <c:v>213.51701622477262</c:v>
                </c:pt>
                <c:pt idx="151">
                  <c:v>214.87336762960049</c:v>
                </c:pt>
                <c:pt idx="152">
                  <c:v>214.92283339928787</c:v>
                </c:pt>
                <c:pt idx="153">
                  <c:v>218.09259992085495</c:v>
                </c:pt>
                <c:pt idx="154">
                  <c:v>218.89295607439669</c:v>
                </c:pt>
                <c:pt idx="155">
                  <c:v>217.26553225168198</c:v>
                </c:pt>
                <c:pt idx="156">
                  <c:v>215.77859121487947</c:v>
                </c:pt>
                <c:pt idx="157">
                  <c:v>224.97130985358152</c:v>
                </c:pt>
                <c:pt idx="158">
                  <c:v>225.56489908983002</c:v>
                </c:pt>
                <c:pt idx="159">
                  <c:v>225.70439256034842</c:v>
                </c:pt>
                <c:pt idx="160">
                  <c:v>227.97388207360527</c:v>
                </c:pt>
                <c:pt idx="161">
                  <c:v>224.37969924812052</c:v>
                </c:pt>
                <c:pt idx="162">
                  <c:v>223.18163830629223</c:v>
                </c:pt>
                <c:pt idx="163">
                  <c:v>224.87930352196298</c:v>
                </c:pt>
                <c:pt idx="164">
                  <c:v>226.64523149980229</c:v>
                </c:pt>
                <c:pt idx="165">
                  <c:v>225.45706371191153</c:v>
                </c:pt>
                <c:pt idx="166">
                  <c:v>224.28472497032072</c:v>
                </c:pt>
                <c:pt idx="167">
                  <c:v>228.24792243767328</c:v>
                </c:pt>
                <c:pt idx="168">
                  <c:v>224.90007914523164</c:v>
                </c:pt>
                <c:pt idx="169">
                  <c:v>225.95172140878526</c:v>
                </c:pt>
                <c:pt idx="170">
                  <c:v>230.38484368816793</c:v>
                </c:pt>
                <c:pt idx="171">
                  <c:v>227.33973090621302</c:v>
                </c:pt>
                <c:pt idx="172">
                  <c:v>233.55362089434129</c:v>
                </c:pt>
                <c:pt idx="173">
                  <c:v>239.20261179263969</c:v>
                </c:pt>
                <c:pt idx="174">
                  <c:v>242.84626038781184</c:v>
                </c:pt>
                <c:pt idx="175">
                  <c:v>241.77285318559578</c:v>
                </c:pt>
                <c:pt idx="176">
                  <c:v>231.57993668381499</c:v>
                </c:pt>
                <c:pt idx="177">
                  <c:v>232.48219232291274</c:v>
                </c:pt>
                <c:pt idx="178">
                  <c:v>233.51009101701646</c:v>
                </c:pt>
                <c:pt idx="179">
                  <c:v>227.88088642659301</c:v>
                </c:pt>
                <c:pt idx="180">
                  <c:v>224.98911753066898</c:v>
                </c:pt>
                <c:pt idx="181">
                  <c:v>223.0164226355364</c:v>
                </c:pt>
                <c:pt idx="182">
                  <c:v>228.00949742778019</c:v>
                </c:pt>
                <c:pt idx="183">
                  <c:v>230.27502967946205</c:v>
                </c:pt>
                <c:pt idx="184">
                  <c:v>221.85199841709561</c:v>
                </c:pt>
                <c:pt idx="185">
                  <c:v>221.07241788682256</c:v>
                </c:pt>
                <c:pt idx="186">
                  <c:v>225.92402057776044</c:v>
                </c:pt>
                <c:pt idx="187">
                  <c:v>229.82785912148822</c:v>
                </c:pt>
                <c:pt idx="188">
                  <c:v>228.93252869014674</c:v>
                </c:pt>
                <c:pt idx="189">
                  <c:v>230.89335180055429</c:v>
                </c:pt>
                <c:pt idx="190">
                  <c:v>231.12683023347873</c:v>
                </c:pt>
                <c:pt idx="191">
                  <c:v>237.26948951325716</c:v>
                </c:pt>
                <c:pt idx="192">
                  <c:v>235.74891175306718</c:v>
                </c:pt>
                <c:pt idx="193">
                  <c:v>237.05678670360143</c:v>
                </c:pt>
                <c:pt idx="194">
                  <c:v>242.39117530668813</c:v>
                </c:pt>
                <c:pt idx="195">
                  <c:v>244.06806489909016</c:v>
                </c:pt>
                <c:pt idx="196">
                  <c:v>241.47407993668415</c:v>
                </c:pt>
                <c:pt idx="197">
                  <c:v>240.90225563909806</c:v>
                </c:pt>
                <c:pt idx="198">
                  <c:v>245.24831816383093</c:v>
                </c:pt>
                <c:pt idx="199">
                  <c:v>250.34428175702445</c:v>
                </c:pt>
                <c:pt idx="200">
                  <c:v>249.53502176493899</c:v>
                </c:pt>
                <c:pt idx="201">
                  <c:v>257.53066877720653</c:v>
                </c:pt>
                <c:pt idx="202">
                  <c:v>259.24416303917724</c:v>
                </c:pt>
                <c:pt idx="203">
                  <c:v>264.25405619311471</c:v>
                </c:pt>
                <c:pt idx="204">
                  <c:v>267.99861495844908</c:v>
                </c:pt>
                <c:pt idx="205">
                  <c:v>268.77423822714712</c:v>
                </c:pt>
                <c:pt idx="206">
                  <c:v>266.47111199050283</c:v>
                </c:pt>
                <c:pt idx="207">
                  <c:v>264.59042342698882</c:v>
                </c:pt>
                <c:pt idx="208">
                  <c:v>267.64542936288115</c:v>
                </c:pt>
                <c:pt idx="209">
                  <c:v>265.23248911753092</c:v>
                </c:pt>
                <c:pt idx="210">
                  <c:v>269.74673525920093</c:v>
                </c:pt>
                <c:pt idx="211">
                  <c:v>271.30292837356575</c:v>
                </c:pt>
                <c:pt idx="212">
                  <c:v>268.4596359319354</c:v>
                </c:pt>
                <c:pt idx="213">
                  <c:v>272.33874159081944</c:v>
                </c:pt>
                <c:pt idx="214">
                  <c:v>275.3709932726556</c:v>
                </c:pt>
                <c:pt idx="215">
                  <c:v>275.93094578551677</c:v>
                </c:pt>
                <c:pt idx="216">
                  <c:v>280.37495053423066</c:v>
                </c:pt>
                <c:pt idx="217">
                  <c:v>275.30371982588082</c:v>
                </c:pt>
                <c:pt idx="218">
                  <c:v>276.17530668777243</c:v>
                </c:pt>
                <c:pt idx="219">
                  <c:v>283.01939058171786</c:v>
                </c:pt>
                <c:pt idx="220">
                  <c:v>289.47764147210171</c:v>
                </c:pt>
                <c:pt idx="221">
                  <c:v>292.16660071230746</c:v>
                </c:pt>
                <c:pt idx="222">
                  <c:v>297.72655322516857</c:v>
                </c:pt>
                <c:pt idx="223">
                  <c:v>302.5494657696878</c:v>
                </c:pt>
                <c:pt idx="224">
                  <c:v>303.08270676691768</c:v>
                </c:pt>
                <c:pt idx="225">
                  <c:v>298.16877720617367</c:v>
                </c:pt>
                <c:pt idx="226">
                  <c:v>302.21408785120735</c:v>
                </c:pt>
                <c:pt idx="227">
                  <c:v>304.41036802532682</c:v>
                </c:pt>
                <c:pt idx="228">
                  <c:v>308.52295211713528</c:v>
                </c:pt>
                <c:pt idx="229">
                  <c:v>306.24356944994099</c:v>
                </c:pt>
                <c:pt idx="230">
                  <c:v>307.21507716660102</c:v>
                </c:pt>
                <c:pt idx="231">
                  <c:v>298.8286505738032</c:v>
                </c:pt>
                <c:pt idx="232">
                  <c:v>300.79343094578581</c:v>
                </c:pt>
                <c:pt idx="233">
                  <c:v>298.49228333992903</c:v>
                </c:pt>
                <c:pt idx="234">
                  <c:v>299.64087851206989</c:v>
                </c:pt>
                <c:pt idx="235">
                  <c:v>302.93035219628041</c:v>
                </c:pt>
                <c:pt idx="236">
                  <c:v>305.76869806094203</c:v>
                </c:pt>
                <c:pt idx="237">
                  <c:v>308.50514444004767</c:v>
                </c:pt>
                <c:pt idx="238">
                  <c:v>290.02473288484384</c:v>
                </c:pt>
                <c:pt idx="239">
                  <c:v>290.7993668381481</c:v>
                </c:pt>
                <c:pt idx="240">
                  <c:v>286.72239810051451</c:v>
                </c:pt>
                <c:pt idx="241">
                  <c:v>268.19054214483583</c:v>
                </c:pt>
                <c:pt idx="242">
                  <c:v>283.97111199050266</c:v>
                </c:pt>
                <c:pt idx="243">
                  <c:v>289.19667590027706</c:v>
                </c:pt>
                <c:pt idx="244">
                  <c:v>284.81005144440053</c:v>
                </c:pt>
                <c:pt idx="245">
                  <c:v>287.42975860704399</c:v>
                </c:pt>
                <c:pt idx="246">
                  <c:v>293.14800158290467</c:v>
                </c:pt>
                <c:pt idx="247">
                  <c:v>299.55480807281367</c:v>
                </c:pt>
                <c:pt idx="248">
                  <c:v>308.07874950534233</c:v>
                </c:pt>
                <c:pt idx="249">
                  <c:v>308.80886426592804</c:v>
                </c:pt>
                <c:pt idx="250">
                  <c:v>307.95310645033641</c:v>
                </c:pt>
                <c:pt idx="251">
                  <c:v>315.09200633161856</c:v>
                </c:pt>
                <c:pt idx="252">
                  <c:v>317.07657301147611</c:v>
                </c:pt>
                <c:pt idx="253">
                  <c:v>314.5726157499011</c:v>
                </c:pt>
                <c:pt idx="254">
                  <c:v>306.62643450732099</c:v>
                </c:pt>
                <c:pt idx="255">
                  <c:v>299.97724574594389</c:v>
                </c:pt>
                <c:pt idx="256">
                  <c:v>314.93866244558774</c:v>
                </c:pt>
                <c:pt idx="257">
                  <c:v>318.7613771270282</c:v>
                </c:pt>
                <c:pt idx="258">
                  <c:v>309.60922041946986</c:v>
                </c:pt>
                <c:pt idx="259">
                  <c:v>304.99505342303138</c:v>
                </c:pt>
                <c:pt idx="260">
                  <c:v>305.77067669172948</c:v>
                </c:pt>
                <c:pt idx="261">
                  <c:v>300.37791848041172</c:v>
                </c:pt>
                <c:pt idx="262">
                  <c:v>298.58824693312249</c:v>
                </c:pt>
                <c:pt idx="263">
                  <c:v>289.42421844083913</c:v>
                </c:pt>
                <c:pt idx="264">
                  <c:v>284.02651365255264</c:v>
                </c:pt>
                <c:pt idx="265">
                  <c:v>294.08884052235874</c:v>
                </c:pt>
                <c:pt idx="266">
                  <c:v>280.83201424614191</c:v>
                </c:pt>
                <c:pt idx="267">
                  <c:v>289.12544519192744</c:v>
                </c:pt>
                <c:pt idx="268">
                  <c:v>288.14404432132989</c:v>
                </c:pt>
                <c:pt idx="269">
                  <c:v>293.6673921646223</c:v>
                </c:pt>
                <c:pt idx="270">
                  <c:v>281.27324891175329</c:v>
                </c:pt>
                <c:pt idx="271">
                  <c:v>279.51919271863892</c:v>
                </c:pt>
                <c:pt idx="272">
                  <c:v>265.56687772061753</c:v>
                </c:pt>
                <c:pt idx="273">
                  <c:v>280.11278195488745</c:v>
                </c:pt>
                <c:pt idx="274">
                  <c:v>289.59635931935122</c:v>
                </c:pt>
                <c:pt idx="275">
                  <c:v>280.78056984566706</c:v>
                </c:pt>
                <c:pt idx="276">
                  <c:v>286.55817174515261</c:v>
                </c:pt>
                <c:pt idx="277">
                  <c:v>288.0658884052238</c:v>
                </c:pt>
                <c:pt idx="278">
                  <c:v>293.90977443609046</c:v>
                </c:pt>
                <c:pt idx="279">
                  <c:v>290.5381875741989</c:v>
                </c:pt>
                <c:pt idx="280">
                  <c:v>294.61515631183238</c:v>
                </c:pt>
                <c:pt idx="281">
                  <c:v>295.21962801741216</c:v>
                </c:pt>
                <c:pt idx="282">
                  <c:v>289.59141274238249</c:v>
                </c:pt>
                <c:pt idx="283">
                  <c:v>283.02928373565516</c:v>
                </c:pt>
                <c:pt idx="284">
                  <c:v>265.02077562326889</c:v>
                </c:pt>
                <c:pt idx="285">
                  <c:v>253.41313810842917</c:v>
                </c:pt>
                <c:pt idx="286">
                  <c:v>237.47229916897524</c:v>
                </c:pt>
                <c:pt idx="287">
                  <c:v>228.96418678274651</c:v>
                </c:pt>
                <c:pt idx="288">
                  <c:v>225.42837356549285</c:v>
                </c:pt>
                <c:pt idx="289">
                  <c:v>226.90245350217666</c:v>
                </c:pt>
                <c:pt idx="290">
                  <c:v>239.32825484764558</c:v>
                </c:pt>
                <c:pt idx="291">
                  <c:v>225.83201424614182</c:v>
                </c:pt>
                <c:pt idx="292">
                  <c:v>226.65809259992099</c:v>
                </c:pt>
                <c:pt idx="293">
                  <c:v>222.08250890383869</c:v>
                </c:pt>
                <c:pt idx="294">
                  <c:v>211.10011871784741</c:v>
                </c:pt>
                <c:pt idx="295">
                  <c:v>212.56034823901871</c:v>
                </c:pt>
                <c:pt idx="296">
                  <c:v>198.24099722991699</c:v>
                </c:pt>
                <c:pt idx="297">
                  <c:v>202.36941036802543</c:v>
                </c:pt>
                <c:pt idx="298">
                  <c:v>209.64483577364476</c:v>
                </c:pt>
                <c:pt idx="299">
                  <c:v>203.58330035615364</c:v>
                </c:pt>
                <c:pt idx="300">
                  <c:v>193.64859517214097</c:v>
                </c:pt>
                <c:pt idx="301">
                  <c:v>152.65334388603091</c:v>
                </c:pt>
                <c:pt idx="302">
                  <c:v>161.93510091017018</c:v>
                </c:pt>
                <c:pt idx="303">
                  <c:v>147.52176493866247</c:v>
                </c:pt>
                <c:pt idx="304">
                  <c:v>156.8084685397705</c:v>
                </c:pt>
                <c:pt idx="305">
                  <c:v>164.69331222793829</c:v>
                </c:pt>
                <c:pt idx="306">
                  <c:v>154.12445587653346</c:v>
                </c:pt>
                <c:pt idx="307">
                  <c:v>135.66679857538585</c:v>
                </c:pt>
                <c:pt idx="308">
                  <c:v>146.30490700435303</c:v>
                </c:pt>
                <c:pt idx="309">
                  <c:v>136.09715077166607</c:v>
                </c:pt>
                <c:pt idx="310">
                  <c:v>147.60091017016231</c:v>
                </c:pt>
                <c:pt idx="311">
                  <c:v>160.44123466561146</c:v>
                </c:pt>
                <c:pt idx="312">
                  <c:v>153.30332409972306</c:v>
                </c:pt>
                <c:pt idx="313">
                  <c:v>159.48357736446388</c:v>
                </c:pt>
                <c:pt idx="314">
                  <c:v>155.77364463791065</c:v>
                </c:pt>
                <c:pt idx="315">
                  <c:v>143.09952512861108</c:v>
                </c:pt>
                <c:pt idx="316">
                  <c:v>133.58231104075986</c:v>
                </c:pt>
                <c:pt idx="317">
                  <c:v>137.04293628808873</c:v>
                </c:pt>
                <c:pt idx="318">
                  <c:v>138.62584091808478</c:v>
                </c:pt>
                <c:pt idx="319">
                  <c:v>139.130391768896</c:v>
                </c:pt>
                <c:pt idx="320">
                  <c:v>126.36327661258417</c:v>
                </c:pt>
                <c:pt idx="321">
                  <c:v>119.31836169370803</c:v>
                </c:pt>
                <c:pt idx="322">
                  <c:v>110.23941432528697</c:v>
                </c:pt>
                <c:pt idx="323">
                  <c:v>116.96082311040767</c:v>
                </c:pt>
                <c:pt idx="324">
                  <c:v>130.78254847645437</c:v>
                </c:pt>
                <c:pt idx="325">
                  <c:v>136.64918876137719</c:v>
                </c:pt>
                <c:pt idx="326">
                  <c:v>138.61891571032851</c:v>
                </c:pt>
                <c:pt idx="327">
                  <c:v>139.56470122675114</c:v>
                </c:pt>
                <c:pt idx="328">
                  <c:v>141.13771270280969</c:v>
                </c:pt>
                <c:pt idx="329">
                  <c:v>142.85615354174917</c:v>
                </c:pt>
                <c:pt idx="330">
                  <c:v>147.00039572615756</c:v>
                </c:pt>
                <c:pt idx="331">
                  <c:v>154.60031658092606</c:v>
                </c:pt>
                <c:pt idx="332">
                  <c:v>151.10605461020981</c:v>
                </c:pt>
                <c:pt idx="333">
                  <c:v>156.94598337950146</c:v>
                </c:pt>
                <c:pt idx="334">
                  <c:v>159.58646616541358</c:v>
                </c:pt>
                <c:pt idx="335">
                  <c:v>159.6695686584884</c:v>
                </c:pt>
                <c:pt idx="336">
                  <c:v>159.61515631183229</c:v>
                </c:pt>
                <c:pt idx="337">
                  <c:v>155.56588840522366</c:v>
                </c:pt>
                <c:pt idx="338">
                  <c:v>157.41096161456278</c:v>
                </c:pt>
                <c:pt idx="339">
                  <c:v>157.98080728136136</c:v>
                </c:pt>
                <c:pt idx="340">
                  <c:v>152.41195092995653</c:v>
                </c:pt>
                <c:pt idx="341">
                  <c:v>165.15927977839343</c:v>
                </c:pt>
                <c:pt idx="342">
                  <c:v>173.58132172536611</c:v>
                </c:pt>
                <c:pt idx="343">
                  <c:v>176.22477245745952</c:v>
                </c:pt>
                <c:pt idx="344">
                  <c:v>179.90601503759407</c:v>
                </c:pt>
                <c:pt idx="345">
                  <c:v>178.09161060546111</c:v>
                </c:pt>
                <c:pt idx="346">
                  <c:v>175.08013454689365</c:v>
                </c:pt>
                <c:pt idx="347">
                  <c:v>180.32053818757427</c:v>
                </c:pt>
                <c:pt idx="348">
                  <c:v>177.79481598733685</c:v>
                </c:pt>
                <c:pt idx="349">
                  <c:v>190.09299564701234</c:v>
                </c:pt>
                <c:pt idx="350">
                  <c:v>193.71784724970325</c:v>
                </c:pt>
                <c:pt idx="351">
                  <c:v>193.23209339137324</c:v>
                </c:pt>
                <c:pt idx="352">
                  <c:v>196.33656509695297</c:v>
                </c:pt>
                <c:pt idx="353">
                  <c:v>204.8575385833004</c:v>
                </c:pt>
                <c:pt idx="354">
                  <c:v>208.72279382667199</c:v>
                </c:pt>
                <c:pt idx="355">
                  <c:v>208.86921250494663</c:v>
                </c:pt>
                <c:pt idx="356">
                  <c:v>197.03205381875748</c:v>
                </c:pt>
                <c:pt idx="357">
                  <c:v>210.13355757815603</c:v>
                </c:pt>
                <c:pt idx="358">
                  <c:v>213.64859517214097</c:v>
                </c:pt>
                <c:pt idx="359">
                  <c:v>211.49089829837763</c:v>
                </c:pt>
                <c:pt idx="360">
                  <c:v>208.4843688167789</c:v>
                </c:pt>
                <c:pt idx="361">
                  <c:v>213.34586466165422</c:v>
                </c:pt>
                <c:pt idx="362">
                  <c:v>208.27562326869813</c:v>
                </c:pt>
                <c:pt idx="363">
                  <c:v>202.14978235061344</c:v>
                </c:pt>
                <c:pt idx="364">
                  <c:v>205.91907400079148</c:v>
                </c:pt>
                <c:pt idx="365">
                  <c:v>208.37059754649789</c:v>
                </c:pt>
                <c:pt idx="366">
                  <c:v>215.92303126236652</c:v>
                </c:pt>
                <c:pt idx="367">
                  <c:v>215.54115552037996</c:v>
                </c:pt>
                <c:pt idx="368">
                  <c:v>207.18935496636331</c:v>
                </c:pt>
                <c:pt idx="369">
                  <c:v>200.5738029283736</c:v>
                </c:pt>
                <c:pt idx="370">
                  <c:v>187.6266323703997</c:v>
                </c:pt>
                <c:pt idx="371">
                  <c:v>188.8543727740404</c:v>
                </c:pt>
                <c:pt idx="372">
                  <c:v>194.07993668381485</c:v>
                </c:pt>
                <c:pt idx="373">
                  <c:v>193.0757815591611</c:v>
                </c:pt>
                <c:pt idx="374">
                  <c:v>202.01424614167004</c:v>
                </c:pt>
                <c:pt idx="375">
                  <c:v>201.44835773644647</c:v>
                </c:pt>
                <c:pt idx="376">
                  <c:v>199.81499802136929</c:v>
                </c:pt>
                <c:pt idx="377">
                  <c:v>194.9089829837753</c:v>
                </c:pt>
                <c:pt idx="378">
                  <c:v>198.81282152750305</c:v>
                </c:pt>
                <c:pt idx="379">
                  <c:v>199.34606252473299</c:v>
                </c:pt>
                <c:pt idx="380">
                  <c:v>199.81005144440056</c:v>
                </c:pt>
                <c:pt idx="381">
                  <c:v>193.56944994064114</c:v>
                </c:pt>
                <c:pt idx="382">
                  <c:v>185.62030075187977</c:v>
                </c:pt>
                <c:pt idx="383">
                  <c:v>164.63791056588846</c:v>
                </c:pt>
                <c:pt idx="384">
                  <c:v>166.28413138108434</c:v>
                </c:pt>
                <c:pt idx="385">
                  <c:v>157.76018994855565</c:v>
                </c:pt>
                <c:pt idx="386">
                  <c:v>159.82192322912547</c:v>
                </c:pt>
                <c:pt idx="387">
                  <c:v>155.17510882469335</c:v>
                </c:pt>
                <c:pt idx="388">
                  <c:v>160.60546102097356</c:v>
                </c:pt>
                <c:pt idx="389">
                  <c:v>165.76078353779192</c:v>
                </c:pt>
                <c:pt idx="390">
                  <c:v>162.28333992876935</c:v>
                </c:pt>
                <c:pt idx="391">
                  <c:v>160.93391373169774</c:v>
                </c:pt>
                <c:pt idx="392">
                  <c:v>174.08092599920863</c:v>
                </c:pt>
                <c:pt idx="393">
                  <c:v>178.32508903838553</c:v>
                </c:pt>
                <c:pt idx="394">
                  <c:v>176.88167787890788</c:v>
                </c:pt>
                <c:pt idx="395">
                  <c:v>178.4992085476851</c:v>
                </c:pt>
                <c:pt idx="396">
                  <c:v>183.09655718242985</c:v>
                </c:pt>
                <c:pt idx="397">
                  <c:v>175.87851206964788</c:v>
                </c:pt>
                <c:pt idx="398">
                  <c:v>173.40324495449156</c:v>
                </c:pt>
                <c:pt idx="399">
                  <c:v>176.12089434111601</c:v>
                </c:pt>
                <c:pt idx="400">
                  <c:v>186.16145627225967</c:v>
                </c:pt>
                <c:pt idx="401">
                  <c:v>187.15868618915715</c:v>
                </c:pt>
                <c:pt idx="402">
                  <c:v>190.10091017016231</c:v>
                </c:pt>
                <c:pt idx="403">
                  <c:v>195.57776018994863</c:v>
                </c:pt>
                <c:pt idx="404">
                  <c:v>197.88583300356163</c:v>
                </c:pt>
                <c:pt idx="405">
                  <c:v>205.52532647408</c:v>
                </c:pt>
                <c:pt idx="406">
                  <c:v>210.77562326869815</c:v>
                </c:pt>
                <c:pt idx="407">
                  <c:v>209.98911753066889</c:v>
                </c:pt>
                <c:pt idx="408">
                  <c:v>212.81658092599932</c:v>
                </c:pt>
                <c:pt idx="409">
                  <c:v>215.11476058567484</c:v>
                </c:pt>
                <c:pt idx="410">
                  <c:v>208.39236248516036</c:v>
                </c:pt>
                <c:pt idx="411">
                  <c:v>204.6171349426198</c:v>
                </c:pt>
                <c:pt idx="412">
                  <c:v>194.39948555599534</c:v>
                </c:pt>
                <c:pt idx="413">
                  <c:v>200.47685001978641</c:v>
                </c:pt>
                <c:pt idx="414">
                  <c:v>197.7809655718244</c:v>
                </c:pt>
                <c:pt idx="415">
                  <c:v>198.96319746735267</c:v>
                </c:pt>
                <c:pt idx="416">
                  <c:v>200.08409180846863</c:v>
                </c:pt>
                <c:pt idx="417">
                  <c:v>201.48496240601514</c:v>
                </c:pt>
                <c:pt idx="418">
                  <c:v>196.93707954095777</c:v>
                </c:pt>
                <c:pt idx="419">
                  <c:v>206.67985753858341</c:v>
                </c:pt>
                <c:pt idx="420">
                  <c:v>210.3482390185992</c:v>
                </c:pt>
                <c:pt idx="421">
                  <c:v>211.44143252869023</c:v>
                </c:pt>
                <c:pt idx="422">
                  <c:v>212.86901464186789</c:v>
                </c:pt>
                <c:pt idx="423">
                  <c:v>213.84052235852798</c:v>
                </c:pt>
                <c:pt idx="424">
                  <c:v>216.5759794222399</c:v>
                </c:pt>
                <c:pt idx="425">
                  <c:v>215.3858330035616</c:v>
                </c:pt>
                <c:pt idx="426">
                  <c:v>217.9956470122676</c:v>
                </c:pt>
                <c:pt idx="427">
                  <c:v>213.16778789077964</c:v>
                </c:pt>
                <c:pt idx="428">
                  <c:v>211.7580134546894</c:v>
                </c:pt>
                <c:pt idx="429">
                  <c:v>218.98001582904638</c:v>
                </c:pt>
                <c:pt idx="430">
                  <c:v>226.05263157894748</c:v>
                </c:pt>
                <c:pt idx="431">
                  <c:v>229.28868223189565</c:v>
                </c:pt>
                <c:pt idx="432">
                  <c:v>226.75702413929571</c:v>
                </c:pt>
                <c:pt idx="433">
                  <c:v>231.58191531460238</c:v>
                </c:pt>
                <c:pt idx="434">
                  <c:v>235.74198654531077</c:v>
                </c:pt>
                <c:pt idx="435">
                  <c:v>231.42164622081532</c:v>
                </c:pt>
                <c:pt idx="436">
                  <c:v>226.79066086268315</c:v>
                </c:pt>
                <c:pt idx="437">
                  <c:v>226.64721013058974</c:v>
                </c:pt>
                <c:pt idx="438">
                  <c:v>226.36228729719051</c:v>
                </c:pt>
                <c:pt idx="439">
                  <c:v>229.79817965967567</c:v>
                </c:pt>
                <c:pt idx="440">
                  <c:v>222.91650178076785</c:v>
                </c:pt>
                <c:pt idx="441">
                  <c:v>216.66402849228351</c:v>
                </c:pt>
                <c:pt idx="442">
                  <c:v>211.8015433320144</c:v>
                </c:pt>
                <c:pt idx="443">
                  <c:v>220.54214483577377</c:v>
                </c:pt>
                <c:pt idx="444">
                  <c:v>211.1733280569847</c:v>
                </c:pt>
                <c:pt idx="445">
                  <c:v>203.64661654135352</c:v>
                </c:pt>
                <c:pt idx="446">
                  <c:v>213.9869410368027</c:v>
                </c:pt>
                <c:pt idx="447">
                  <c:v>206.46715472892774</c:v>
                </c:pt>
                <c:pt idx="448">
                  <c:v>180.67075583696098</c:v>
                </c:pt>
                <c:pt idx="449">
                  <c:v>180.89730906212915</c:v>
                </c:pt>
                <c:pt idx="450">
                  <c:v>176.74020577760206</c:v>
                </c:pt>
                <c:pt idx="451">
                  <c:v>178.7208151958846</c:v>
                </c:pt>
                <c:pt idx="452">
                  <c:v>183.62485160269108</c:v>
                </c:pt>
                <c:pt idx="453">
                  <c:v>176.95884447962027</c:v>
                </c:pt>
                <c:pt idx="454">
                  <c:v>178.01741195093012</c:v>
                </c:pt>
                <c:pt idx="455">
                  <c:v>164.54293628808878</c:v>
                </c:pt>
                <c:pt idx="456">
                  <c:v>175.58369608231118</c:v>
                </c:pt>
                <c:pt idx="457">
                  <c:v>177.08943411159493</c:v>
                </c:pt>
                <c:pt idx="458">
                  <c:v>187.86307874950552</c:v>
                </c:pt>
                <c:pt idx="459">
                  <c:v>187.57419865453122</c:v>
                </c:pt>
                <c:pt idx="460">
                  <c:v>196.92125049465784</c:v>
                </c:pt>
                <c:pt idx="461">
                  <c:v>182.44360902255653</c:v>
                </c:pt>
                <c:pt idx="462">
                  <c:v>180.99228333992889</c:v>
                </c:pt>
                <c:pt idx="463">
                  <c:v>176.42362485160282</c:v>
                </c:pt>
                <c:pt idx="464">
                  <c:v>163.24891175306701</c:v>
                </c:pt>
                <c:pt idx="465">
                  <c:v>181.83616937079557</c:v>
                </c:pt>
                <c:pt idx="466">
                  <c:v>179.9178868223191</c:v>
                </c:pt>
                <c:pt idx="467">
                  <c:v>174.86644242184423</c:v>
                </c:pt>
                <c:pt idx="468">
                  <c:v>178.58923624851622</c:v>
                </c:pt>
                <c:pt idx="469">
                  <c:v>180.07716660071247</c:v>
                </c:pt>
                <c:pt idx="470">
                  <c:v>178.09952512861116</c:v>
                </c:pt>
                <c:pt idx="471">
                  <c:v>179.0848832607837</c:v>
                </c:pt>
                <c:pt idx="472">
                  <c:v>183.91373169766536</c:v>
                </c:pt>
                <c:pt idx="473">
                  <c:v>188.86327661258423</c:v>
                </c:pt>
                <c:pt idx="474">
                  <c:v>194.45686584883276</c:v>
                </c:pt>
                <c:pt idx="475">
                  <c:v>192.73149980213708</c:v>
                </c:pt>
                <c:pt idx="476">
                  <c:v>195.22259596359334</c:v>
                </c:pt>
                <c:pt idx="477">
                  <c:v>196.84210526315806</c:v>
                </c:pt>
                <c:pt idx="478">
                  <c:v>197.02216066482009</c:v>
                </c:pt>
                <c:pt idx="479">
                  <c:v>192.39414325286916</c:v>
                </c:pt>
                <c:pt idx="480">
                  <c:v>195.69054214483592</c:v>
                </c:pt>
                <c:pt idx="481">
                  <c:v>193.32311040759808</c:v>
                </c:pt>
                <c:pt idx="482">
                  <c:v>193.1173328056986</c:v>
                </c:pt>
                <c:pt idx="483">
                  <c:v>186.4730906212902</c:v>
                </c:pt>
                <c:pt idx="484">
                  <c:v>182.12900672734483</c:v>
                </c:pt>
                <c:pt idx="485">
                  <c:v>183.79105658884069</c:v>
                </c:pt>
                <c:pt idx="486">
                  <c:v>187.89077958053045</c:v>
                </c:pt>
                <c:pt idx="487">
                  <c:v>182.22002374356964</c:v>
                </c:pt>
                <c:pt idx="488">
                  <c:v>179.85555995251303</c:v>
                </c:pt>
                <c:pt idx="489">
                  <c:v>168.34388603086677</c:v>
                </c:pt>
                <c:pt idx="490">
                  <c:v>167.94717055797403</c:v>
                </c:pt>
                <c:pt idx="491">
                  <c:v>162.5405619311438</c:v>
                </c:pt>
                <c:pt idx="492">
                  <c:v>167.23387415908209</c:v>
                </c:pt>
                <c:pt idx="493">
                  <c:v>168.87910565888421</c:v>
                </c:pt>
                <c:pt idx="494">
                  <c:v>168.24693312227956</c:v>
                </c:pt>
                <c:pt idx="495">
                  <c:v>174.49643846458267</c:v>
                </c:pt>
                <c:pt idx="496">
                  <c:v>169.53798971112008</c:v>
                </c:pt>
                <c:pt idx="497">
                  <c:v>172.64740799366857</c:v>
                </c:pt>
                <c:pt idx="498">
                  <c:v>172.17748318163848</c:v>
                </c:pt>
                <c:pt idx="499">
                  <c:v>174.56470122675128</c:v>
                </c:pt>
                <c:pt idx="500">
                  <c:v>173.4428175702416</c:v>
                </c:pt>
                <c:pt idx="501">
                  <c:v>171.78868223189573</c:v>
                </c:pt>
                <c:pt idx="502">
                  <c:v>176.18223189552847</c:v>
                </c:pt>
                <c:pt idx="503">
                  <c:v>177.09438068856372</c:v>
                </c:pt>
                <c:pt idx="504">
                  <c:v>177.86208943411179</c:v>
                </c:pt>
                <c:pt idx="505">
                  <c:v>184.53007518797011</c:v>
                </c:pt>
                <c:pt idx="506">
                  <c:v>192.52176493866261</c:v>
                </c:pt>
                <c:pt idx="507">
                  <c:v>191.22872971903462</c:v>
                </c:pt>
                <c:pt idx="508">
                  <c:v>183.57934309457872</c:v>
                </c:pt>
                <c:pt idx="509">
                  <c:v>189.52314998021387</c:v>
                </c:pt>
                <c:pt idx="510">
                  <c:v>186.38899881282171</c:v>
                </c:pt>
                <c:pt idx="511">
                  <c:v>189.80510486743191</c:v>
                </c:pt>
                <c:pt idx="512">
                  <c:v>189.70815195884467</c:v>
                </c:pt>
                <c:pt idx="513">
                  <c:v>191.34942619707181</c:v>
                </c:pt>
                <c:pt idx="514">
                  <c:v>184.62307083498237</c:v>
                </c:pt>
                <c:pt idx="515">
                  <c:v>182.37336762960049</c:v>
                </c:pt>
                <c:pt idx="516">
                  <c:v>188.98100514444022</c:v>
                </c:pt>
                <c:pt idx="517">
                  <c:v>193.02433715868634</c:v>
                </c:pt>
                <c:pt idx="518">
                  <c:v>194.44301543332031</c:v>
                </c:pt>
                <c:pt idx="519">
                  <c:v>197.8294420261181</c:v>
                </c:pt>
                <c:pt idx="520">
                  <c:v>199.66264345073228</c:v>
                </c:pt>
                <c:pt idx="521">
                  <c:v>201.17233874159098</c:v>
                </c:pt>
                <c:pt idx="522">
                  <c:v>204.31638306292061</c:v>
                </c:pt>
                <c:pt idx="523">
                  <c:v>205.81816383062932</c:v>
                </c:pt>
                <c:pt idx="524">
                  <c:v>204.39552829442039</c:v>
                </c:pt>
                <c:pt idx="525">
                  <c:v>208.65156311832223</c:v>
                </c:pt>
                <c:pt idx="526">
                  <c:v>210.99722991689762</c:v>
                </c:pt>
                <c:pt idx="527">
                  <c:v>207.04788286505749</c:v>
                </c:pt>
                <c:pt idx="528">
                  <c:v>207.13889988128227</c:v>
                </c:pt>
                <c:pt idx="529">
                  <c:v>204.96141669964393</c:v>
                </c:pt>
                <c:pt idx="530">
                  <c:v>201.58785120696487</c:v>
                </c:pt>
                <c:pt idx="531">
                  <c:v>203.06687772061744</c:v>
                </c:pt>
                <c:pt idx="532">
                  <c:v>203.97111199050266</c:v>
                </c:pt>
                <c:pt idx="533">
                  <c:v>205.235457063712</c:v>
                </c:pt>
                <c:pt idx="534">
                  <c:v>200.40858725761782</c:v>
                </c:pt>
                <c:pt idx="535">
                  <c:v>199.20953700039581</c:v>
                </c:pt>
                <c:pt idx="536">
                  <c:v>206.52849228334003</c:v>
                </c:pt>
                <c:pt idx="537">
                  <c:v>204.26988523941444</c:v>
                </c:pt>
                <c:pt idx="538">
                  <c:v>210.38385437277412</c:v>
                </c:pt>
                <c:pt idx="539">
                  <c:v>214.83577364463801</c:v>
                </c:pt>
                <c:pt idx="540">
                  <c:v>218.53185595567876</c:v>
                </c:pt>
                <c:pt idx="541">
                  <c:v>215.10189948555606</c:v>
                </c:pt>
                <c:pt idx="542">
                  <c:v>207.61574990106851</c:v>
                </c:pt>
                <c:pt idx="543">
                  <c:v>209.50831024930753</c:v>
                </c:pt>
                <c:pt idx="544">
                  <c:v>207.27245745943813</c:v>
                </c:pt>
                <c:pt idx="545">
                  <c:v>208.15789473684214</c:v>
                </c:pt>
                <c:pt idx="546">
                  <c:v>191.74614166996443</c:v>
                </c:pt>
                <c:pt idx="547">
                  <c:v>196.93015433320144</c:v>
                </c:pt>
                <c:pt idx="548">
                  <c:v>194.89612188365655</c:v>
                </c:pt>
                <c:pt idx="549">
                  <c:v>197.97586070439263</c:v>
                </c:pt>
                <c:pt idx="550">
                  <c:v>203.77522754254062</c:v>
                </c:pt>
                <c:pt idx="551">
                  <c:v>209.44004748713894</c:v>
                </c:pt>
                <c:pt idx="552">
                  <c:v>210.35714285714292</c:v>
                </c:pt>
                <c:pt idx="553">
                  <c:v>212.64345073209344</c:v>
                </c:pt>
                <c:pt idx="554">
                  <c:v>211.22279382667199</c:v>
                </c:pt>
                <c:pt idx="555">
                  <c:v>208.70003957261579</c:v>
                </c:pt>
                <c:pt idx="556">
                  <c:v>201.13969133359717</c:v>
                </c:pt>
                <c:pt idx="557">
                  <c:v>208.37158686189159</c:v>
                </c:pt>
                <c:pt idx="558">
                  <c:v>213.81084289671551</c:v>
                </c:pt>
                <c:pt idx="559">
                  <c:v>223.74752671151569</c:v>
                </c:pt>
                <c:pt idx="560">
                  <c:v>224.70617332805705</c:v>
                </c:pt>
                <c:pt idx="561">
                  <c:v>230.43727740403648</c:v>
                </c:pt>
                <c:pt idx="562">
                  <c:v>235.89730906212907</c:v>
                </c:pt>
                <c:pt idx="563">
                  <c:v>243.1104075979423</c:v>
                </c:pt>
                <c:pt idx="564">
                  <c:v>245.68262762168587</c:v>
                </c:pt>
                <c:pt idx="565">
                  <c:v>237.2922437673131</c:v>
                </c:pt>
                <c:pt idx="566">
                  <c:v>236.67194301543338</c:v>
                </c:pt>
                <c:pt idx="567">
                  <c:v>238.60902255639101</c:v>
                </c:pt>
                <c:pt idx="568">
                  <c:v>235.73011476058571</c:v>
                </c:pt>
                <c:pt idx="569">
                  <c:v>239.68045112781954</c:v>
                </c:pt>
                <c:pt idx="570">
                  <c:v>235.90027700831024</c:v>
                </c:pt>
                <c:pt idx="571">
                  <c:v>232.20221606648198</c:v>
                </c:pt>
                <c:pt idx="572">
                  <c:v>236.35833003561538</c:v>
                </c:pt>
                <c:pt idx="573">
                  <c:v>240.29184804115553</c:v>
                </c:pt>
                <c:pt idx="574">
                  <c:v>241.76098140087058</c:v>
                </c:pt>
                <c:pt idx="575">
                  <c:v>244.25999208547685</c:v>
                </c:pt>
                <c:pt idx="576">
                  <c:v>246.96082311040763</c:v>
                </c:pt>
                <c:pt idx="577">
                  <c:v>244.84269885239414</c:v>
                </c:pt>
                <c:pt idx="578">
                  <c:v>243.46260387811634</c:v>
                </c:pt>
                <c:pt idx="579">
                  <c:v>247.82053818757416</c:v>
                </c:pt>
                <c:pt idx="580">
                  <c:v>254.16106054610208</c:v>
                </c:pt>
                <c:pt idx="581">
                  <c:v>256.32865057380292</c:v>
                </c:pt>
                <c:pt idx="582">
                  <c:v>260.7409972299169</c:v>
                </c:pt>
                <c:pt idx="583">
                  <c:v>263.86426592797778</c:v>
                </c:pt>
                <c:pt idx="584">
                  <c:v>256.61159477641468</c:v>
                </c:pt>
                <c:pt idx="585">
                  <c:v>260.23743569449937</c:v>
                </c:pt>
                <c:pt idx="586">
                  <c:v>265.2146814404432</c:v>
                </c:pt>
                <c:pt idx="587">
                  <c:v>270.20379897111195</c:v>
                </c:pt>
                <c:pt idx="588">
                  <c:v>265.25326474079935</c:v>
                </c:pt>
                <c:pt idx="589">
                  <c:v>264.28868223189551</c:v>
                </c:pt>
                <c:pt idx="590">
                  <c:v>265.83003561535418</c:v>
                </c:pt>
                <c:pt idx="591">
                  <c:v>268.35872576177286</c:v>
                </c:pt>
                <c:pt idx="592">
                  <c:v>267.87989711119906</c:v>
                </c:pt>
                <c:pt idx="593">
                  <c:v>270.03561535417492</c:v>
                </c:pt>
                <c:pt idx="594">
                  <c:v>269.17392164622083</c:v>
                </c:pt>
                <c:pt idx="595">
                  <c:v>278.81381084289677</c:v>
                </c:pt>
                <c:pt idx="596">
                  <c:v>284.67451523545714</c:v>
                </c:pt>
                <c:pt idx="597">
                  <c:v>283.56351404827871</c:v>
                </c:pt>
                <c:pt idx="598">
                  <c:v>283.11139691333608</c:v>
                </c:pt>
                <c:pt idx="599">
                  <c:v>284.22338741590823</c:v>
                </c:pt>
                <c:pt idx="600">
                  <c:v>285.98239018599133</c:v>
                </c:pt>
                <c:pt idx="601">
                  <c:v>281.48694103680253</c:v>
                </c:pt>
                <c:pt idx="602">
                  <c:v>282.59299564701229</c:v>
                </c:pt>
                <c:pt idx="603">
                  <c:v>282.78492283339932</c:v>
                </c:pt>
                <c:pt idx="604">
                  <c:v>272.97783933518014</c:v>
                </c:pt>
                <c:pt idx="605">
                  <c:v>259.65373961218842</c:v>
                </c:pt>
                <c:pt idx="606">
                  <c:v>266.75900277008316</c:v>
                </c:pt>
                <c:pt idx="607">
                  <c:v>270.13949347051852</c:v>
                </c:pt>
                <c:pt idx="608">
                  <c:v>274.57360506529494</c:v>
                </c:pt>
                <c:pt idx="609">
                  <c:v>278.38642659279793</c:v>
                </c:pt>
                <c:pt idx="610">
                  <c:v>267.82152750296808</c:v>
                </c:pt>
                <c:pt idx="611">
                  <c:v>262.29422239810066</c:v>
                </c:pt>
                <c:pt idx="612">
                  <c:v>254.65868618915727</c:v>
                </c:pt>
                <c:pt idx="613">
                  <c:v>250.05540166205</c:v>
                </c:pt>
                <c:pt idx="614">
                  <c:v>244.7012267510884</c:v>
                </c:pt>
                <c:pt idx="615">
                  <c:v>246.15354174910973</c:v>
                </c:pt>
                <c:pt idx="616">
                  <c:v>253.09259992085492</c:v>
                </c:pt>
                <c:pt idx="617">
                  <c:v>260.64602295211728</c:v>
                </c:pt>
                <c:pt idx="618">
                  <c:v>256.49683419074012</c:v>
                </c:pt>
                <c:pt idx="619">
                  <c:v>259.16996438464594</c:v>
                </c:pt>
                <c:pt idx="620">
                  <c:v>262.64444004748725</c:v>
                </c:pt>
                <c:pt idx="621">
                  <c:v>267.35852789869421</c:v>
                </c:pt>
                <c:pt idx="622">
                  <c:v>265.9843688167789</c:v>
                </c:pt>
                <c:pt idx="623">
                  <c:v>259.20360110803335</c:v>
                </c:pt>
                <c:pt idx="624">
                  <c:v>260.21171349426209</c:v>
                </c:pt>
                <c:pt idx="625">
                  <c:v>262.1290067273448</c:v>
                </c:pt>
                <c:pt idx="626">
                  <c:v>260.14641867827476</c:v>
                </c:pt>
                <c:pt idx="627">
                  <c:v>260.92402057776036</c:v>
                </c:pt>
                <c:pt idx="628">
                  <c:v>266.43252869014657</c:v>
                </c:pt>
                <c:pt idx="629">
                  <c:v>267.30906212900692</c:v>
                </c:pt>
                <c:pt idx="630">
                  <c:v>267.10328452710746</c:v>
                </c:pt>
                <c:pt idx="631">
                  <c:v>270.56885635140503</c:v>
                </c:pt>
                <c:pt idx="632">
                  <c:v>271.34645825089063</c:v>
                </c:pt>
                <c:pt idx="633">
                  <c:v>270.44717055797412</c:v>
                </c:pt>
                <c:pt idx="634">
                  <c:v>270.00989315393775</c:v>
                </c:pt>
                <c:pt idx="635">
                  <c:v>262.97487138899908</c:v>
                </c:pt>
                <c:pt idx="636">
                  <c:v>256.11891571032868</c:v>
                </c:pt>
                <c:pt idx="637">
                  <c:v>268.59912940245374</c:v>
                </c:pt>
                <c:pt idx="638">
                  <c:v>273.27958053027328</c:v>
                </c:pt>
                <c:pt idx="639">
                  <c:v>273.85931935100933</c:v>
                </c:pt>
                <c:pt idx="640">
                  <c:v>278.79006727344705</c:v>
                </c:pt>
                <c:pt idx="641">
                  <c:v>278.45370003957288</c:v>
                </c:pt>
                <c:pt idx="642">
                  <c:v>286.07637514839757</c:v>
                </c:pt>
                <c:pt idx="643">
                  <c:v>291.46715472892788</c:v>
                </c:pt>
                <c:pt idx="644">
                  <c:v>280.914127423823</c:v>
                </c:pt>
                <c:pt idx="645">
                  <c:v>291.0862683023351</c:v>
                </c:pt>
                <c:pt idx="646">
                  <c:v>282.85516422635567</c:v>
                </c:pt>
                <c:pt idx="647">
                  <c:v>277.7354570637122</c:v>
                </c:pt>
                <c:pt idx="648">
                  <c:v>272.10229521171379</c:v>
                </c:pt>
                <c:pt idx="649">
                  <c:v>271.74416303917718</c:v>
                </c:pt>
                <c:pt idx="650">
                  <c:v>274.9713098535816</c:v>
                </c:pt>
                <c:pt idx="651">
                  <c:v>271.00712307083529</c:v>
                </c:pt>
                <c:pt idx="652">
                  <c:v>264.29758607043954</c:v>
                </c:pt>
                <c:pt idx="653">
                  <c:v>264.52809655718272</c:v>
                </c:pt>
                <c:pt idx="654">
                  <c:v>267.45449149188789</c:v>
                </c:pt>
                <c:pt idx="655">
                  <c:v>266.80451127819578</c:v>
                </c:pt>
                <c:pt idx="656">
                  <c:v>267.73149980213719</c:v>
                </c:pt>
                <c:pt idx="657">
                  <c:v>265.97348634744782</c:v>
                </c:pt>
                <c:pt idx="658">
                  <c:v>267.29125445191954</c:v>
                </c:pt>
                <c:pt idx="659">
                  <c:v>260.43233082706791</c:v>
                </c:pt>
                <c:pt idx="660">
                  <c:v>257.49406410763777</c:v>
                </c:pt>
                <c:pt idx="661">
                  <c:v>252.94123466561166</c:v>
                </c:pt>
                <c:pt idx="662">
                  <c:v>257.89572615749927</c:v>
                </c:pt>
                <c:pt idx="663">
                  <c:v>263.59220419469756</c:v>
                </c:pt>
                <c:pt idx="664">
                  <c:v>259.88425009893183</c:v>
                </c:pt>
                <c:pt idx="665">
                  <c:v>263.35773644637942</c:v>
                </c:pt>
                <c:pt idx="666">
                  <c:v>270.26711515631217</c:v>
                </c:pt>
                <c:pt idx="667">
                  <c:v>272.66719430154365</c:v>
                </c:pt>
                <c:pt idx="668">
                  <c:v>272.43965176098175</c:v>
                </c:pt>
                <c:pt idx="669">
                  <c:v>272.23684210526346</c:v>
                </c:pt>
                <c:pt idx="670">
                  <c:v>264.62999604273875</c:v>
                </c:pt>
                <c:pt idx="671">
                  <c:v>257.76117926394966</c:v>
                </c:pt>
                <c:pt idx="672">
                  <c:v>261.86683814800193</c:v>
                </c:pt>
                <c:pt idx="673">
                  <c:v>261.46913335971544</c:v>
                </c:pt>
                <c:pt idx="674">
                  <c:v>257.58211317768138</c:v>
                </c:pt>
                <c:pt idx="675">
                  <c:v>254.8060941828258</c:v>
                </c:pt>
                <c:pt idx="676">
                  <c:v>255.98239018599159</c:v>
                </c:pt>
                <c:pt idx="677">
                  <c:v>261.47803719825913</c:v>
                </c:pt>
                <c:pt idx="678">
                  <c:v>261.93015433320181</c:v>
                </c:pt>
                <c:pt idx="679">
                  <c:v>243.80193905817208</c:v>
                </c:pt>
                <c:pt idx="680">
                  <c:v>236.17233874159118</c:v>
                </c:pt>
                <c:pt idx="681">
                  <c:v>245.22457459438104</c:v>
                </c:pt>
                <c:pt idx="682">
                  <c:v>250.85180055401699</c:v>
                </c:pt>
                <c:pt idx="683">
                  <c:v>253.95825089038422</c:v>
                </c:pt>
                <c:pt idx="684">
                  <c:v>243.52789869410398</c:v>
                </c:pt>
                <c:pt idx="685">
                  <c:v>248.14107637514874</c:v>
                </c:pt>
                <c:pt idx="686">
                  <c:v>250.74990106846096</c:v>
                </c:pt>
                <c:pt idx="687">
                  <c:v>259.70914127423856</c:v>
                </c:pt>
                <c:pt idx="688">
                  <c:v>268.06687772061764</c:v>
                </c:pt>
                <c:pt idx="689">
                  <c:v>270.84487534626066</c:v>
                </c:pt>
                <c:pt idx="690">
                  <c:v>268.30332409972334</c:v>
                </c:pt>
                <c:pt idx="691">
                  <c:v>272.02611792639527</c:v>
                </c:pt>
                <c:pt idx="692">
                  <c:v>272.37237831420691</c:v>
                </c:pt>
                <c:pt idx="693">
                  <c:v>274.71903442817609</c:v>
                </c:pt>
                <c:pt idx="694">
                  <c:v>276.53640680649028</c:v>
                </c:pt>
                <c:pt idx="695">
                  <c:v>283.57637514839769</c:v>
                </c:pt>
                <c:pt idx="696">
                  <c:v>284.19865453106485</c:v>
                </c:pt>
                <c:pt idx="697">
                  <c:v>279.10466956865884</c:v>
                </c:pt>
                <c:pt idx="698">
                  <c:v>277.8798971111994</c:v>
                </c:pt>
                <c:pt idx="699">
                  <c:v>275.89038385437311</c:v>
                </c:pt>
                <c:pt idx="700">
                  <c:v>277.30708349821958</c:v>
                </c:pt>
                <c:pt idx="701">
                  <c:v>272.49703205381911</c:v>
                </c:pt>
                <c:pt idx="702">
                  <c:v>266.46715472892788</c:v>
                </c:pt>
                <c:pt idx="703">
                  <c:v>259.48456667985783</c:v>
                </c:pt>
                <c:pt idx="704">
                  <c:v>266.99149188761407</c:v>
                </c:pt>
                <c:pt idx="705">
                  <c:v>264.36189157103314</c:v>
                </c:pt>
                <c:pt idx="706">
                  <c:v>268.72180451127844</c:v>
                </c:pt>
                <c:pt idx="707">
                  <c:v>268.21131776810472</c:v>
                </c:pt>
                <c:pt idx="708">
                  <c:v>276.64127423822742</c:v>
                </c:pt>
                <c:pt idx="709">
                  <c:v>271.90542144835803</c:v>
                </c:pt>
                <c:pt idx="710">
                  <c:v>277.0765730114764</c:v>
                </c:pt>
                <c:pt idx="711">
                  <c:v>273.26770874554842</c:v>
                </c:pt>
                <c:pt idx="712">
                  <c:v>276.06846062524767</c:v>
                </c:pt>
                <c:pt idx="713">
                  <c:v>271.08428967154759</c:v>
                </c:pt>
                <c:pt idx="714">
                  <c:v>266.5027700831028</c:v>
                </c:pt>
                <c:pt idx="715">
                  <c:v>258.08666402849258</c:v>
                </c:pt>
                <c:pt idx="716">
                  <c:v>265.78551642263585</c:v>
                </c:pt>
                <c:pt idx="717">
                  <c:v>267.93529877324926</c:v>
                </c:pt>
                <c:pt idx="718">
                  <c:v>252.6177285318563</c:v>
                </c:pt>
                <c:pt idx="719">
                  <c:v>252.45152354570672</c:v>
                </c:pt>
                <c:pt idx="720">
                  <c:v>252.85615354174945</c:v>
                </c:pt>
                <c:pt idx="721">
                  <c:v>248.9503363672342</c:v>
                </c:pt>
                <c:pt idx="722">
                  <c:v>246.61060546102129</c:v>
                </c:pt>
                <c:pt idx="723">
                  <c:v>231.03878116343526</c:v>
                </c:pt>
                <c:pt idx="724">
                  <c:v>225.44815987336796</c:v>
                </c:pt>
                <c:pt idx="725">
                  <c:v>231.055599525129</c:v>
                </c:pt>
                <c:pt idx="726">
                  <c:v>231.99643846458289</c:v>
                </c:pt>
                <c:pt idx="727">
                  <c:v>235.15136525524375</c:v>
                </c:pt>
                <c:pt idx="728">
                  <c:v>235.36505738029325</c:v>
                </c:pt>
                <c:pt idx="729">
                  <c:v>238.51305896319786</c:v>
                </c:pt>
                <c:pt idx="730">
                  <c:v>238.23703996834229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59-4C94-BDB6-F57A146136EF}"/>
            </c:ext>
          </c:extLst>
        </c:ser>
        <c:ser>
          <c:idx val="12"/>
          <c:order val="12"/>
          <c:tx>
            <c:strRef>
              <c:f>Index!$AB$1</c:f>
              <c:strCache>
                <c:ptCount val="1"/>
                <c:pt idx="0">
                  <c:v>Oil&amp;Gas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Index!$AB$2:$AB$732</c:f>
              <c:numCache>
                <c:formatCode>General</c:formatCode>
                <c:ptCount val="731"/>
                <c:pt idx="0">
                  <c:v>100</c:v>
                </c:pt>
                <c:pt idx="1">
                  <c:v>100.60229772671718</c:v>
                </c:pt>
                <c:pt idx="2">
                  <c:v>99.651918846247852</c:v>
                </c:pt>
                <c:pt idx="3">
                  <c:v>98.568565142996803</c:v>
                </c:pt>
                <c:pt idx="4">
                  <c:v>96.263994133463683</c:v>
                </c:pt>
                <c:pt idx="5">
                  <c:v>94.631141530188216</c:v>
                </c:pt>
                <c:pt idx="6">
                  <c:v>94.305548765582984</c:v>
                </c:pt>
                <c:pt idx="7">
                  <c:v>95.612808604253232</c:v>
                </c:pt>
                <c:pt idx="8">
                  <c:v>95.527743827914932</c:v>
                </c:pt>
                <c:pt idx="9">
                  <c:v>96.026399413346368</c:v>
                </c:pt>
                <c:pt idx="10">
                  <c:v>93.163529699340017</c:v>
                </c:pt>
                <c:pt idx="11">
                  <c:v>95.259838670251767</c:v>
                </c:pt>
                <c:pt idx="12">
                  <c:v>95.374236128086039</c:v>
                </c:pt>
                <c:pt idx="13">
                  <c:v>96.590564654118793</c:v>
                </c:pt>
                <c:pt idx="14">
                  <c:v>96.853581031532627</c:v>
                </c:pt>
                <c:pt idx="15">
                  <c:v>98.594964556343172</c:v>
                </c:pt>
                <c:pt idx="16">
                  <c:v>100.49376680518209</c:v>
                </c:pt>
                <c:pt idx="17">
                  <c:v>101.86360303104374</c:v>
                </c:pt>
                <c:pt idx="18">
                  <c:v>103.83671473967243</c:v>
                </c:pt>
                <c:pt idx="19">
                  <c:v>104.72549498900023</c:v>
                </c:pt>
                <c:pt idx="20">
                  <c:v>107.72329503788805</c:v>
                </c:pt>
                <c:pt idx="21">
                  <c:v>108.27866047421169</c:v>
                </c:pt>
                <c:pt idx="22">
                  <c:v>109.91737961378638</c:v>
                </c:pt>
                <c:pt idx="23">
                  <c:v>110.97140063554144</c:v>
                </c:pt>
                <c:pt idx="24">
                  <c:v>110.94304571009535</c:v>
                </c:pt>
                <c:pt idx="25">
                  <c:v>109.27108286482523</c:v>
                </c:pt>
                <c:pt idx="26">
                  <c:v>109.60743094597898</c:v>
                </c:pt>
                <c:pt idx="27">
                  <c:v>109.17037399168906</c:v>
                </c:pt>
                <c:pt idx="28">
                  <c:v>107.58054265460767</c:v>
                </c:pt>
                <c:pt idx="29">
                  <c:v>108.99731117086287</c:v>
                </c:pt>
                <c:pt idx="30">
                  <c:v>107.23735028110487</c:v>
                </c:pt>
                <c:pt idx="31">
                  <c:v>107.28232705939868</c:v>
                </c:pt>
                <c:pt idx="32">
                  <c:v>108.92495722317281</c:v>
                </c:pt>
                <c:pt idx="33">
                  <c:v>107.62160840870203</c:v>
                </c:pt>
                <c:pt idx="34">
                  <c:v>108.52407724272794</c:v>
                </c:pt>
                <c:pt idx="35">
                  <c:v>109.77658274260571</c:v>
                </c:pt>
                <c:pt idx="36">
                  <c:v>109.78440479100463</c:v>
                </c:pt>
                <c:pt idx="37">
                  <c:v>111.1992177951601</c:v>
                </c:pt>
                <c:pt idx="38">
                  <c:v>109.77560498655585</c:v>
                </c:pt>
                <c:pt idx="39">
                  <c:v>111.92764605230994</c:v>
                </c:pt>
                <c:pt idx="40">
                  <c:v>113.24175018332924</c:v>
                </c:pt>
                <c:pt idx="41">
                  <c:v>112.95331214861891</c:v>
                </c:pt>
                <c:pt idx="42">
                  <c:v>112.04986555854312</c:v>
                </c:pt>
                <c:pt idx="43">
                  <c:v>113.26032754827666</c:v>
                </c:pt>
                <c:pt idx="44">
                  <c:v>114.15692984600338</c:v>
                </c:pt>
                <c:pt idx="45">
                  <c:v>115.33708139819112</c:v>
                </c:pt>
                <c:pt idx="46">
                  <c:v>114.97922268394034</c:v>
                </c:pt>
                <c:pt idx="47">
                  <c:v>116.05670985089218</c:v>
                </c:pt>
                <c:pt idx="48">
                  <c:v>116.83793693473477</c:v>
                </c:pt>
                <c:pt idx="49">
                  <c:v>118.3867025177218</c:v>
                </c:pt>
                <c:pt idx="50">
                  <c:v>119.19628452701048</c:v>
                </c:pt>
                <c:pt idx="51">
                  <c:v>121.76191640185769</c:v>
                </c:pt>
                <c:pt idx="52">
                  <c:v>123.15912979711557</c:v>
                </c:pt>
                <c:pt idx="53">
                  <c:v>122.68394035688092</c:v>
                </c:pt>
                <c:pt idx="54">
                  <c:v>122.06013199706669</c:v>
                </c:pt>
                <c:pt idx="55">
                  <c:v>123.1073087264727</c:v>
                </c:pt>
                <c:pt idx="56">
                  <c:v>120.76949401124416</c:v>
                </c:pt>
                <c:pt idx="57">
                  <c:v>121.75702762160837</c:v>
                </c:pt>
                <c:pt idx="58">
                  <c:v>123.20801759960885</c:v>
                </c:pt>
                <c:pt idx="59">
                  <c:v>122.34172573942799</c:v>
                </c:pt>
                <c:pt idx="60">
                  <c:v>123.60009777560495</c:v>
                </c:pt>
                <c:pt idx="61">
                  <c:v>126.3671473967245</c:v>
                </c:pt>
                <c:pt idx="62">
                  <c:v>123.57076509410899</c:v>
                </c:pt>
                <c:pt idx="63">
                  <c:v>124.21706184307014</c:v>
                </c:pt>
                <c:pt idx="64">
                  <c:v>122.25274993889022</c:v>
                </c:pt>
                <c:pt idx="65">
                  <c:v>125.13908579809333</c:v>
                </c:pt>
                <c:pt idx="66">
                  <c:v>124.40283549254457</c:v>
                </c:pt>
                <c:pt idx="67">
                  <c:v>120.77731605964308</c:v>
                </c:pt>
                <c:pt idx="68">
                  <c:v>119.86409190906866</c:v>
                </c:pt>
                <c:pt idx="69">
                  <c:v>118.11586409190903</c:v>
                </c:pt>
                <c:pt idx="70">
                  <c:v>117.8068931801515</c:v>
                </c:pt>
                <c:pt idx="71">
                  <c:v>116.21608408702025</c:v>
                </c:pt>
                <c:pt idx="72">
                  <c:v>115.90906868736248</c:v>
                </c:pt>
                <c:pt idx="73">
                  <c:v>117.80493766805179</c:v>
                </c:pt>
                <c:pt idx="74">
                  <c:v>118.03666585186993</c:v>
                </c:pt>
                <c:pt idx="75">
                  <c:v>117.65240772427275</c:v>
                </c:pt>
                <c:pt idx="76">
                  <c:v>119.73600586653623</c:v>
                </c:pt>
                <c:pt idx="77">
                  <c:v>120.0127108286482</c:v>
                </c:pt>
                <c:pt idx="78">
                  <c:v>120.87998044487892</c:v>
                </c:pt>
                <c:pt idx="79">
                  <c:v>121.70325103886573</c:v>
                </c:pt>
                <c:pt idx="80">
                  <c:v>121.33463700806642</c:v>
                </c:pt>
                <c:pt idx="81">
                  <c:v>119.88266927401605</c:v>
                </c:pt>
                <c:pt idx="82">
                  <c:v>119.71938401368853</c:v>
                </c:pt>
                <c:pt idx="83">
                  <c:v>120.96602297726712</c:v>
                </c:pt>
                <c:pt idx="84">
                  <c:v>121.85675873869464</c:v>
                </c:pt>
                <c:pt idx="85">
                  <c:v>122.89122463945239</c:v>
                </c:pt>
                <c:pt idx="86">
                  <c:v>122.03568809582003</c:v>
                </c:pt>
                <c:pt idx="87">
                  <c:v>124.08702028843797</c:v>
                </c:pt>
                <c:pt idx="88">
                  <c:v>126.31434857003173</c:v>
                </c:pt>
                <c:pt idx="89">
                  <c:v>126.96162307504271</c:v>
                </c:pt>
                <c:pt idx="90">
                  <c:v>126.68296260083103</c:v>
                </c:pt>
                <c:pt idx="91">
                  <c:v>129.74236128086037</c:v>
                </c:pt>
                <c:pt idx="92">
                  <c:v>129.50281104864328</c:v>
                </c:pt>
                <c:pt idx="93">
                  <c:v>129.22610608653133</c:v>
                </c:pt>
                <c:pt idx="94">
                  <c:v>129.94084575898304</c:v>
                </c:pt>
                <c:pt idx="95">
                  <c:v>133.46663407479824</c:v>
                </c:pt>
                <c:pt idx="96">
                  <c:v>134.7963823026154</c:v>
                </c:pt>
                <c:pt idx="97">
                  <c:v>137.12050843314583</c:v>
                </c:pt>
                <c:pt idx="98">
                  <c:v>137.21828403813237</c:v>
                </c:pt>
                <c:pt idx="99">
                  <c:v>141.58298704473219</c:v>
                </c:pt>
                <c:pt idx="100">
                  <c:v>140.85064776338288</c:v>
                </c:pt>
                <c:pt idx="101">
                  <c:v>139.64507455389867</c:v>
                </c:pt>
                <c:pt idx="102">
                  <c:v>143.23930579320447</c:v>
                </c:pt>
                <c:pt idx="103">
                  <c:v>145.70618430701529</c:v>
                </c:pt>
                <c:pt idx="104">
                  <c:v>146.78171596186741</c:v>
                </c:pt>
                <c:pt idx="105">
                  <c:v>140.99926668296249</c:v>
                </c:pt>
                <c:pt idx="106">
                  <c:v>143.61280860425313</c:v>
                </c:pt>
                <c:pt idx="107">
                  <c:v>144.04497677829372</c:v>
                </c:pt>
                <c:pt idx="108">
                  <c:v>145.48716695184541</c:v>
                </c:pt>
                <c:pt idx="109">
                  <c:v>149.89782449278894</c:v>
                </c:pt>
                <c:pt idx="110">
                  <c:v>149.6240527988266</c:v>
                </c:pt>
                <c:pt idx="111">
                  <c:v>149.48325592764596</c:v>
                </c:pt>
                <c:pt idx="112">
                  <c:v>148.22977267171831</c:v>
                </c:pt>
                <c:pt idx="113">
                  <c:v>151.07504277682708</c:v>
                </c:pt>
                <c:pt idx="114">
                  <c:v>148.78709362014169</c:v>
                </c:pt>
                <c:pt idx="115">
                  <c:v>148.87215839647999</c:v>
                </c:pt>
                <c:pt idx="116">
                  <c:v>145.43632363725243</c:v>
                </c:pt>
                <c:pt idx="117">
                  <c:v>147.16401857736486</c:v>
                </c:pt>
                <c:pt idx="118">
                  <c:v>148.04693229039347</c:v>
                </c:pt>
                <c:pt idx="119">
                  <c:v>145.62991933512581</c:v>
                </c:pt>
                <c:pt idx="120">
                  <c:v>147.32534832559267</c:v>
                </c:pt>
                <c:pt idx="121">
                  <c:v>146.00048887802484</c:v>
                </c:pt>
                <c:pt idx="122">
                  <c:v>148.24932779271563</c:v>
                </c:pt>
                <c:pt idx="123">
                  <c:v>146.67514055243205</c:v>
                </c:pt>
                <c:pt idx="124">
                  <c:v>148.86922512833038</c:v>
                </c:pt>
                <c:pt idx="125">
                  <c:v>149.90955756538736</c:v>
                </c:pt>
                <c:pt idx="126">
                  <c:v>150.42679051576624</c:v>
                </c:pt>
                <c:pt idx="127">
                  <c:v>150.0699095575653</c:v>
                </c:pt>
                <c:pt idx="128">
                  <c:v>153.35321437301386</c:v>
                </c:pt>
                <c:pt idx="129">
                  <c:v>153.00415546321184</c:v>
                </c:pt>
                <c:pt idx="130">
                  <c:v>156.61794182351497</c:v>
                </c:pt>
                <c:pt idx="131">
                  <c:v>157.97897824492782</c:v>
                </c:pt>
                <c:pt idx="132">
                  <c:v>157.04131019310677</c:v>
                </c:pt>
                <c:pt idx="133">
                  <c:v>157.63187484722556</c:v>
                </c:pt>
                <c:pt idx="134">
                  <c:v>158.95673429479336</c:v>
                </c:pt>
                <c:pt idx="135">
                  <c:v>158.92740161329741</c:v>
                </c:pt>
                <c:pt idx="136">
                  <c:v>158.93229039354674</c:v>
                </c:pt>
                <c:pt idx="137">
                  <c:v>155.7135174773893</c:v>
                </c:pt>
                <c:pt idx="138">
                  <c:v>156.45661207528713</c:v>
                </c:pt>
                <c:pt idx="139">
                  <c:v>162.32999266682953</c:v>
                </c:pt>
                <c:pt idx="140">
                  <c:v>163.55218772916146</c:v>
                </c:pt>
                <c:pt idx="141">
                  <c:v>163.40259105353203</c:v>
                </c:pt>
                <c:pt idx="142">
                  <c:v>162.34270349547776</c:v>
                </c:pt>
                <c:pt idx="143">
                  <c:v>164.0342214617452</c:v>
                </c:pt>
                <c:pt idx="144">
                  <c:v>157.7296504522121</c:v>
                </c:pt>
                <c:pt idx="145">
                  <c:v>153.42459056465404</c:v>
                </c:pt>
                <c:pt idx="146">
                  <c:v>151.10828648252252</c:v>
                </c:pt>
                <c:pt idx="147">
                  <c:v>153.66805182107058</c:v>
                </c:pt>
                <c:pt idx="148">
                  <c:v>153.9398680029332</c:v>
                </c:pt>
                <c:pt idx="149">
                  <c:v>151.56294304571</c:v>
                </c:pt>
                <c:pt idx="150">
                  <c:v>151.82693717917371</c:v>
                </c:pt>
                <c:pt idx="151">
                  <c:v>155.55120997311164</c:v>
                </c:pt>
                <c:pt idx="152">
                  <c:v>154.4111464189684</c:v>
                </c:pt>
                <c:pt idx="153">
                  <c:v>153.40601319970659</c:v>
                </c:pt>
                <c:pt idx="154">
                  <c:v>156.72060620875084</c:v>
                </c:pt>
                <c:pt idx="155">
                  <c:v>154.428746027866</c:v>
                </c:pt>
                <c:pt idx="156">
                  <c:v>152.87020288438029</c:v>
                </c:pt>
                <c:pt idx="157">
                  <c:v>156.10168662918596</c:v>
                </c:pt>
                <c:pt idx="158">
                  <c:v>155.33708139819112</c:v>
                </c:pt>
                <c:pt idx="159">
                  <c:v>155.49156685406987</c:v>
                </c:pt>
                <c:pt idx="160">
                  <c:v>157.29454901002197</c:v>
                </c:pt>
                <c:pt idx="161">
                  <c:v>155.40161329748224</c:v>
                </c:pt>
                <c:pt idx="162">
                  <c:v>153.92715717428499</c:v>
                </c:pt>
                <c:pt idx="163">
                  <c:v>156.80567098508919</c:v>
                </c:pt>
                <c:pt idx="164">
                  <c:v>159.13859692006841</c:v>
                </c:pt>
                <c:pt idx="165">
                  <c:v>157.20166218528476</c:v>
                </c:pt>
                <c:pt idx="166">
                  <c:v>154.10021999511122</c:v>
                </c:pt>
                <c:pt idx="167">
                  <c:v>157.71889513566364</c:v>
                </c:pt>
                <c:pt idx="168">
                  <c:v>155.63334148130042</c:v>
                </c:pt>
                <c:pt idx="169">
                  <c:v>155.22659496455634</c:v>
                </c:pt>
                <c:pt idx="170">
                  <c:v>155.46810070887312</c:v>
                </c:pt>
                <c:pt idx="171">
                  <c:v>153.95942312393058</c:v>
                </c:pt>
                <c:pt idx="172">
                  <c:v>158.53336592520168</c:v>
                </c:pt>
                <c:pt idx="173">
                  <c:v>159.19335125886096</c:v>
                </c:pt>
                <c:pt idx="174">
                  <c:v>161.6983622586165</c:v>
                </c:pt>
                <c:pt idx="175">
                  <c:v>158.89513566365193</c:v>
                </c:pt>
                <c:pt idx="176">
                  <c:v>154.92740161329749</c:v>
                </c:pt>
                <c:pt idx="177">
                  <c:v>156.97384502566612</c:v>
                </c:pt>
                <c:pt idx="178">
                  <c:v>162.98215595208998</c:v>
                </c:pt>
                <c:pt idx="179">
                  <c:v>159.05255438768029</c:v>
                </c:pt>
                <c:pt idx="180">
                  <c:v>156.90931312637497</c:v>
                </c:pt>
                <c:pt idx="181">
                  <c:v>157.01197751161084</c:v>
                </c:pt>
                <c:pt idx="182">
                  <c:v>162.39061354192125</c:v>
                </c:pt>
                <c:pt idx="183">
                  <c:v>163.60596431190416</c:v>
                </c:pt>
                <c:pt idx="184">
                  <c:v>162.69274016132974</c:v>
                </c:pt>
                <c:pt idx="185">
                  <c:v>164.74798337814715</c:v>
                </c:pt>
                <c:pt idx="186">
                  <c:v>170.10999755560988</c:v>
                </c:pt>
                <c:pt idx="187">
                  <c:v>169.15375213884138</c:v>
                </c:pt>
                <c:pt idx="188">
                  <c:v>167.54827670496215</c:v>
                </c:pt>
                <c:pt idx="189">
                  <c:v>168.5015888535811</c:v>
                </c:pt>
                <c:pt idx="190">
                  <c:v>168.35199217795167</c:v>
                </c:pt>
                <c:pt idx="191">
                  <c:v>170.79540454656569</c:v>
                </c:pt>
                <c:pt idx="192">
                  <c:v>167.47396724517239</c:v>
                </c:pt>
                <c:pt idx="193">
                  <c:v>168.9875336103643</c:v>
                </c:pt>
                <c:pt idx="194">
                  <c:v>168.48790026888301</c:v>
                </c:pt>
                <c:pt idx="195">
                  <c:v>172.08897580053787</c:v>
                </c:pt>
                <c:pt idx="196">
                  <c:v>171.62258616475199</c:v>
                </c:pt>
                <c:pt idx="197">
                  <c:v>173.23686140308001</c:v>
                </c:pt>
                <c:pt idx="198">
                  <c:v>177.58787582498175</c:v>
                </c:pt>
                <c:pt idx="199">
                  <c:v>179.43681251527755</c:v>
                </c:pt>
                <c:pt idx="200">
                  <c:v>180.73331703739927</c:v>
                </c:pt>
                <c:pt idx="201">
                  <c:v>183.97457834270358</c:v>
                </c:pt>
                <c:pt idx="202">
                  <c:v>184.22781715961878</c:v>
                </c:pt>
                <c:pt idx="203">
                  <c:v>185.96431190417999</c:v>
                </c:pt>
                <c:pt idx="204">
                  <c:v>187.14446345636773</c:v>
                </c:pt>
                <c:pt idx="205">
                  <c:v>190.90784649230028</c:v>
                </c:pt>
                <c:pt idx="206">
                  <c:v>189.86946956734306</c:v>
                </c:pt>
                <c:pt idx="207">
                  <c:v>185.7795160107554</c:v>
                </c:pt>
                <c:pt idx="208">
                  <c:v>185.42850158885366</c:v>
                </c:pt>
                <c:pt idx="209">
                  <c:v>183.7125397213396</c:v>
                </c:pt>
                <c:pt idx="210">
                  <c:v>180.4018577364948</c:v>
                </c:pt>
                <c:pt idx="211">
                  <c:v>180.46638963578593</c:v>
                </c:pt>
                <c:pt idx="212">
                  <c:v>180.88584698117825</c:v>
                </c:pt>
                <c:pt idx="213">
                  <c:v>182.84331459300907</c:v>
                </c:pt>
                <c:pt idx="214">
                  <c:v>185.51161085309218</c:v>
                </c:pt>
                <c:pt idx="215">
                  <c:v>187.00366658518701</c:v>
                </c:pt>
                <c:pt idx="216">
                  <c:v>185.71987289171355</c:v>
                </c:pt>
                <c:pt idx="217">
                  <c:v>181.08335370325105</c:v>
                </c:pt>
                <c:pt idx="218">
                  <c:v>182.10119775116112</c:v>
                </c:pt>
                <c:pt idx="219">
                  <c:v>182.43656807626499</c:v>
                </c:pt>
                <c:pt idx="220">
                  <c:v>189.13419701784409</c:v>
                </c:pt>
                <c:pt idx="221">
                  <c:v>190.33097042287955</c:v>
                </c:pt>
                <c:pt idx="222">
                  <c:v>192.28452701051094</c:v>
                </c:pt>
                <c:pt idx="223">
                  <c:v>193.15864091909077</c:v>
                </c:pt>
                <c:pt idx="224">
                  <c:v>195.91004644341248</c:v>
                </c:pt>
                <c:pt idx="225">
                  <c:v>195.80249327792725</c:v>
                </c:pt>
                <c:pt idx="226">
                  <c:v>197.7540943534589</c:v>
                </c:pt>
                <c:pt idx="227">
                  <c:v>197.81373747250069</c:v>
                </c:pt>
                <c:pt idx="228">
                  <c:v>201.56440967978497</c:v>
                </c:pt>
                <c:pt idx="229">
                  <c:v>198.21461745294556</c:v>
                </c:pt>
                <c:pt idx="230">
                  <c:v>201.15179662674171</c:v>
                </c:pt>
                <c:pt idx="231">
                  <c:v>191.64409679784902</c:v>
                </c:pt>
                <c:pt idx="232">
                  <c:v>196.19457345392331</c:v>
                </c:pt>
                <c:pt idx="233">
                  <c:v>191.57956489855789</c:v>
                </c:pt>
                <c:pt idx="234">
                  <c:v>192.51723295037894</c:v>
                </c:pt>
                <c:pt idx="235">
                  <c:v>195.26961623075044</c:v>
                </c:pt>
                <c:pt idx="236">
                  <c:v>197.9085798093376</c:v>
                </c:pt>
                <c:pt idx="237">
                  <c:v>198.36225861647523</c:v>
                </c:pt>
                <c:pt idx="238">
                  <c:v>185.86262527499395</c:v>
                </c:pt>
                <c:pt idx="239">
                  <c:v>184.0635541432413</c:v>
                </c:pt>
                <c:pt idx="240">
                  <c:v>184.74113908579815</c:v>
                </c:pt>
                <c:pt idx="241">
                  <c:v>177.64458567587391</c:v>
                </c:pt>
                <c:pt idx="242">
                  <c:v>182.53336592520171</c:v>
                </c:pt>
                <c:pt idx="243">
                  <c:v>181.88315815204112</c:v>
                </c:pt>
                <c:pt idx="244">
                  <c:v>180.73625030554882</c:v>
                </c:pt>
                <c:pt idx="245">
                  <c:v>184.20923979467128</c:v>
                </c:pt>
                <c:pt idx="246">
                  <c:v>191.28526032754831</c:v>
                </c:pt>
                <c:pt idx="247">
                  <c:v>189.9916890735762</c:v>
                </c:pt>
                <c:pt idx="248">
                  <c:v>193.82742605719875</c:v>
                </c:pt>
                <c:pt idx="249">
                  <c:v>197.57809826448303</c:v>
                </c:pt>
                <c:pt idx="250">
                  <c:v>193.52725494989002</c:v>
                </c:pt>
                <c:pt idx="251">
                  <c:v>199.77609386458082</c:v>
                </c:pt>
                <c:pt idx="252">
                  <c:v>200.57980933757025</c:v>
                </c:pt>
                <c:pt idx="253">
                  <c:v>197.2349058909802</c:v>
                </c:pt>
                <c:pt idx="254">
                  <c:v>194.81104864336348</c:v>
                </c:pt>
                <c:pt idx="255">
                  <c:v>192.52114397457834</c:v>
                </c:pt>
                <c:pt idx="256">
                  <c:v>193.34343681251531</c:v>
                </c:pt>
                <c:pt idx="257">
                  <c:v>197.06575409435348</c:v>
                </c:pt>
                <c:pt idx="258">
                  <c:v>193.5301882180396</c:v>
                </c:pt>
                <c:pt idx="259">
                  <c:v>196.8486922512833</c:v>
                </c:pt>
                <c:pt idx="260">
                  <c:v>198.421901735517</c:v>
                </c:pt>
                <c:pt idx="261">
                  <c:v>193.51552187729163</c:v>
                </c:pt>
                <c:pt idx="262">
                  <c:v>195.59129797115622</c:v>
                </c:pt>
                <c:pt idx="263">
                  <c:v>187.9775116108531</c:v>
                </c:pt>
                <c:pt idx="264">
                  <c:v>183.26081642630163</c:v>
                </c:pt>
                <c:pt idx="265">
                  <c:v>191.07993155707652</c:v>
                </c:pt>
                <c:pt idx="266">
                  <c:v>188.55732094842338</c:v>
                </c:pt>
                <c:pt idx="267">
                  <c:v>190.80127108286482</c:v>
                </c:pt>
                <c:pt idx="268">
                  <c:v>191.16108530921534</c:v>
                </c:pt>
                <c:pt idx="269">
                  <c:v>191.37521388413592</c:v>
                </c:pt>
                <c:pt idx="270">
                  <c:v>189.66707406502078</c:v>
                </c:pt>
                <c:pt idx="271">
                  <c:v>191.85138108042048</c:v>
                </c:pt>
                <c:pt idx="272">
                  <c:v>184.90931312637503</c:v>
                </c:pt>
                <c:pt idx="273">
                  <c:v>188.56123197262286</c:v>
                </c:pt>
                <c:pt idx="274">
                  <c:v>193.41383524810564</c:v>
                </c:pt>
                <c:pt idx="275">
                  <c:v>191.26668296260087</c:v>
                </c:pt>
                <c:pt idx="276">
                  <c:v>198.83255927646056</c:v>
                </c:pt>
                <c:pt idx="277">
                  <c:v>198.75922757272065</c:v>
                </c:pt>
                <c:pt idx="278">
                  <c:v>199.8054265460768</c:v>
                </c:pt>
                <c:pt idx="279">
                  <c:v>205.22708384258132</c:v>
                </c:pt>
                <c:pt idx="280">
                  <c:v>208.38523588364711</c:v>
                </c:pt>
                <c:pt idx="281">
                  <c:v>207.89440234661456</c:v>
                </c:pt>
                <c:pt idx="282">
                  <c:v>208.09777560498665</c:v>
                </c:pt>
                <c:pt idx="283">
                  <c:v>207.20508433145937</c:v>
                </c:pt>
                <c:pt idx="284">
                  <c:v>204.75287215839654</c:v>
                </c:pt>
                <c:pt idx="285">
                  <c:v>205.42947934490351</c:v>
                </c:pt>
                <c:pt idx="286">
                  <c:v>205.3131263749695</c:v>
                </c:pt>
                <c:pt idx="287">
                  <c:v>201.6338303593254</c:v>
                </c:pt>
                <c:pt idx="288">
                  <c:v>200.78318259594238</c:v>
                </c:pt>
                <c:pt idx="289">
                  <c:v>196.04008799804453</c:v>
                </c:pt>
                <c:pt idx="290">
                  <c:v>197.34539232461503</c:v>
                </c:pt>
                <c:pt idx="291">
                  <c:v>198.40625763871918</c:v>
                </c:pt>
                <c:pt idx="292">
                  <c:v>194.57247616719633</c:v>
                </c:pt>
                <c:pt idx="293">
                  <c:v>192.96308970911761</c:v>
                </c:pt>
                <c:pt idx="294">
                  <c:v>195.35761427523838</c:v>
                </c:pt>
                <c:pt idx="295">
                  <c:v>197.58787582498169</c:v>
                </c:pt>
                <c:pt idx="296">
                  <c:v>186.5705206550966</c:v>
                </c:pt>
                <c:pt idx="297">
                  <c:v>186.5480322659497</c:v>
                </c:pt>
                <c:pt idx="298">
                  <c:v>189.60254216572969</c:v>
                </c:pt>
                <c:pt idx="299">
                  <c:v>186.35639208017602</c:v>
                </c:pt>
                <c:pt idx="300">
                  <c:v>171.92080175996091</c:v>
                </c:pt>
                <c:pt idx="301">
                  <c:v>135.15717428501591</c:v>
                </c:pt>
                <c:pt idx="302">
                  <c:v>147.39281349303354</c:v>
                </c:pt>
                <c:pt idx="303">
                  <c:v>142.77487166951852</c:v>
                </c:pt>
                <c:pt idx="304">
                  <c:v>156.95135663651925</c:v>
                </c:pt>
                <c:pt idx="305">
                  <c:v>152.20435101442197</c:v>
                </c:pt>
                <c:pt idx="306">
                  <c:v>144.59838670251779</c:v>
                </c:pt>
                <c:pt idx="307">
                  <c:v>135.87582498166714</c:v>
                </c:pt>
                <c:pt idx="308">
                  <c:v>144.95428990466883</c:v>
                </c:pt>
                <c:pt idx="309">
                  <c:v>135.7653385480323</c:v>
                </c:pt>
                <c:pt idx="310">
                  <c:v>141.4461011977512</c:v>
                </c:pt>
                <c:pt idx="311">
                  <c:v>143.00464434123688</c:v>
                </c:pt>
                <c:pt idx="312">
                  <c:v>141.64458567587391</c:v>
                </c:pt>
                <c:pt idx="313">
                  <c:v>148.59936445856761</c:v>
                </c:pt>
                <c:pt idx="314">
                  <c:v>146.01808848692255</c:v>
                </c:pt>
                <c:pt idx="315">
                  <c:v>142.54216572965049</c:v>
                </c:pt>
                <c:pt idx="316">
                  <c:v>139.396724517233</c:v>
                </c:pt>
                <c:pt idx="317">
                  <c:v>141.04522121730631</c:v>
                </c:pt>
                <c:pt idx="318">
                  <c:v>145.52041065754096</c:v>
                </c:pt>
                <c:pt idx="319">
                  <c:v>140.49474456123201</c:v>
                </c:pt>
                <c:pt idx="320">
                  <c:v>131.60303104375461</c:v>
                </c:pt>
                <c:pt idx="321">
                  <c:v>128.90833537032515</c:v>
                </c:pt>
                <c:pt idx="322">
                  <c:v>119.01246638963582</c:v>
                </c:pt>
                <c:pt idx="323">
                  <c:v>124.01759960889761</c:v>
                </c:pt>
                <c:pt idx="324">
                  <c:v>132.27768271816183</c:v>
                </c:pt>
                <c:pt idx="325">
                  <c:v>133.63187484722565</c:v>
                </c:pt>
                <c:pt idx="326">
                  <c:v>135.07895380102667</c:v>
                </c:pt>
                <c:pt idx="327">
                  <c:v>136.4839892446835</c:v>
                </c:pt>
                <c:pt idx="328">
                  <c:v>138.56563187484727</c:v>
                </c:pt>
                <c:pt idx="329">
                  <c:v>139.21583964800786</c:v>
                </c:pt>
                <c:pt idx="330">
                  <c:v>142.92349058909807</c:v>
                </c:pt>
                <c:pt idx="331">
                  <c:v>147.48374480567105</c:v>
                </c:pt>
                <c:pt idx="332">
                  <c:v>143.4446345636764</c:v>
                </c:pt>
                <c:pt idx="333">
                  <c:v>145.34539232461506</c:v>
                </c:pt>
                <c:pt idx="334">
                  <c:v>151.30677096064539</c:v>
                </c:pt>
                <c:pt idx="335">
                  <c:v>154.19701784404799</c:v>
                </c:pt>
                <c:pt idx="336">
                  <c:v>157.26521632852612</c:v>
                </c:pt>
                <c:pt idx="337">
                  <c:v>154.29186018088495</c:v>
                </c:pt>
                <c:pt idx="338">
                  <c:v>156.80469322903943</c:v>
                </c:pt>
                <c:pt idx="339">
                  <c:v>154.91860180884876</c:v>
                </c:pt>
                <c:pt idx="340">
                  <c:v>152.43314593009052</c:v>
                </c:pt>
                <c:pt idx="341">
                  <c:v>160.69322903935475</c:v>
                </c:pt>
                <c:pt idx="342">
                  <c:v>165.81862625275002</c:v>
                </c:pt>
                <c:pt idx="343">
                  <c:v>167.44365680762655</c:v>
                </c:pt>
                <c:pt idx="344">
                  <c:v>167.57956489855786</c:v>
                </c:pt>
                <c:pt idx="345">
                  <c:v>167.48667807382063</c:v>
                </c:pt>
                <c:pt idx="346">
                  <c:v>169.18601808848695</c:v>
                </c:pt>
                <c:pt idx="347">
                  <c:v>170.0190662429724</c:v>
                </c:pt>
                <c:pt idx="348">
                  <c:v>168.4663896357859</c:v>
                </c:pt>
                <c:pt idx="349">
                  <c:v>172.95233439256907</c:v>
                </c:pt>
                <c:pt idx="350">
                  <c:v>176.68149596675633</c:v>
                </c:pt>
                <c:pt idx="351">
                  <c:v>174.66340747983381</c:v>
                </c:pt>
                <c:pt idx="352">
                  <c:v>174.16768516255198</c:v>
                </c:pt>
                <c:pt idx="353">
                  <c:v>180.54069909557569</c:v>
                </c:pt>
                <c:pt idx="354">
                  <c:v>182.82375947201174</c:v>
                </c:pt>
                <c:pt idx="355">
                  <c:v>181.3229039354681</c:v>
                </c:pt>
                <c:pt idx="356">
                  <c:v>176.29137130285994</c:v>
                </c:pt>
                <c:pt idx="357">
                  <c:v>178.34759227572718</c:v>
                </c:pt>
                <c:pt idx="358">
                  <c:v>181.79907113175258</c:v>
                </c:pt>
                <c:pt idx="359">
                  <c:v>181.28086042532382</c:v>
                </c:pt>
                <c:pt idx="360">
                  <c:v>183.12490833537026</c:v>
                </c:pt>
                <c:pt idx="361">
                  <c:v>188.39012466389627</c:v>
                </c:pt>
                <c:pt idx="362">
                  <c:v>192.38132485944746</c:v>
                </c:pt>
                <c:pt idx="363">
                  <c:v>192.39794671229515</c:v>
                </c:pt>
                <c:pt idx="364">
                  <c:v>194.90197995600082</c:v>
                </c:pt>
                <c:pt idx="365">
                  <c:v>196.22683940356868</c:v>
                </c:pt>
                <c:pt idx="366">
                  <c:v>196.66194084575883</c:v>
                </c:pt>
                <c:pt idx="367">
                  <c:v>195.87289171351733</c:v>
                </c:pt>
                <c:pt idx="368">
                  <c:v>191.92177951601062</c:v>
                </c:pt>
                <c:pt idx="369">
                  <c:v>186.2077731605963</c:v>
                </c:pt>
                <c:pt idx="370">
                  <c:v>183.8885358103152</c:v>
                </c:pt>
                <c:pt idx="371">
                  <c:v>185.47445612319714</c:v>
                </c:pt>
                <c:pt idx="372">
                  <c:v>189.66022977267158</c:v>
                </c:pt>
                <c:pt idx="373">
                  <c:v>190.19897335614752</c:v>
                </c:pt>
                <c:pt idx="374">
                  <c:v>196.93473478367136</c:v>
                </c:pt>
                <c:pt idx="375">
                  <c:v>201.31410413101921</c:v>
                </c:pt>
                <c:pt idx="376">
                  <c:v>202.5186995844536</c:v>
                </c:pt>
                <c:pt idx="377">
                  <c:v>201.2837936934734</c:v>
                </c:pt>
                <c:pt idx="378">
                  <c:v>207.36152529943766</c:v>
                </c:pt>
                <c:pt idx="379">
                  <c:v>209.77560498655572</c:v>
                </c:pt>
                <c:pt idx="380">
                  <c:v>207.30090442434599</c:v>
                </c:pt>
                <c:pt idx="381">
                  <c:v>210.27426057198716</c:v>
                </c:pt>
                <c:pt idx="382">
                  <c:v>204.49278904913211</c:v>
                </c:pt>
                <c:pt idx="383">
                  <c:v>191.06722072842817</c:v>
                </c:pt>
                <c:pt idx="384">
                  <c:v>196.81447078953792</c:v>
                </c:pt>
                <c:pt idx="385">
                  <c:v>185.00513321926172</c:v>
                </c:pt>
                <c:pt idx="386">
                  <c:v>186.89220239550224</c:v>
                </c:pt>
                <c:pt idx="387">
                  <c:v>185.19384013688577</c:v>
                </c:pt>
                <c:pt idx="388">
                  <c:v>191.54827670496206</c:v>
                </c:pt>
                <c:pt idx="389">
                  <c:v>198.74847225617202</c:v>
                </c:pt>
                <c:pt idx="390">
                  <c:v>194.63016377413828</c:v>
                </c:pt>
                <c:pt idx="391">
                  <c:v>190.50109997555603</c:v>
                </c:pt>
                <c:pt idx="392">
                  <c:v>200.37839159129791</c:v>
                </c:pt>
                <c:pt idx="393">
                  <c:v>197.09606453189923</c:v>
                </c:pt>
                <c:pt idx="394">
                  <c:v>201.90466878513806</c:v>
                </c:pt>
                <c:pt idx="395">
                  <c:v>200.61109753116594</c:v>
                </c:pt>
                <c:pt idx="396">
                  <c:v>205.75213884135903</c:v>
                </c:pt>
                <c:pt idx="397">
                  <c:v>200.19066242972374</c:v>
                </c:pt>
                <c:pt idx="398">
                  <c:v>198.56074309459785</c:v>
                </c:pt>
                <c:pt idx="399">
                  <c:v>202.00635541432408</c:v>
                </c:pt>
                <c:pt idx="400">
                  <c:v>206.61745294549002</c:v>
                </c:pt>
                <c:pt idx="401">
                  <c:v>207.26277193840133</c:v>
                </c:pt>
                <c:pt idx="402">
                  <c:v>207.08677584942552</c:v>
                </c:pt>
                <c:pt idx="403">
                  <c:v>210.57052065509652</c:v>
                </c:pt>
                <c:pt idx="404">
                  <c:v>213.89391346858955</c:v>
                </c:pt>
                <c:pt idx="405">
                  <c:v>217.20361769738443</c:v>
                </c:pt>
                <c:pt idx="406">
                  <c:v>219.45930090442428</c:v>
                </c:pt>
                <c:pt idx="407">
                  <c:v>218.49816670740645</c:v>
                </c:pt>
                <c:pt idx="408">
                  <c:v>218.83647030065993</c:v>
                </c:pt>
                <c:pt idx="409">
                  <c:v>222.33292593497916</c:v>
                </c:pt>
                <c:pt idx="410">
                  <c:v>217.79613786360301</c:v>
                </c:pt>
                <c:pt idx="411">
                  <c:v>216.57492055732089</c:v>
                </c:pt>
                <c:pt idx="412">
                  <c:v>215.22855047665601</c:v>
                </c:pt>
                <c:pt idx="413">
                  <c:v>219.13566365191878</c:v>
                </c:pt>
                <c:pt idx="414">
                  <c:v>217.12735272549494</c:v>
                </c:pt>
                <c:pt idx="415">
                  <c:v>217.45783427034954</c:v>
                </c:pt>
                <c:pt idx="416">
                  <c:v>219.9618675140552</c:v>
                </c:pt>
                <c:pt idx="417">
                  <c:v>220.40087998044487</c:v>
                </c:pt>
                <c:pt idx="418">
                  <c:v>218.51087753605475</c:v>
                </c:pt>
                <c:pt idx="419">
                  <c:v>221.75996088975799</c:v>
                </c:pt>
                <c:pt idx="420">
                  <c:v>221.28086042532388</c:v>
                </c:pt>
                <c:pt idx="421">
                  <c:v>220.77633830359323</c:v>
                </c:pt>
                <c:pt idx="422">
                  <c:v>224.53092153507697</c:v>
                </c:pt>
                <c:pt idx="423">
                  <c:v>224.43510144219016</c:v>
                </c:pt>
                <c:pt idx="424">
                  <c:v>227.37814715228552</c:v>
                </c:pt>
                <c:pt idx="425">
                  <c:v>228.14177462723052</c:v>
                </c:pt>
                <c:pt idx="426">
                  <c:v>231.68907357614273</c:v>
                </c:pt>
                <c:pt idx="427">
                  <c:v>228.70202884380348</c:v>
                </c:pt>
                <c:pt idx="428">
                  <c:v>226.45514544121241</c:v>
                </c:pt>
                <c:pt idx="429">
                  <c:v>233.09215350769978</c:v>
                </c:pt>
                <c:pt idx="430">
                  <c:v>237.5771205084331</c:v>
                </c:pt>
                <c:pt idx="431">
                  <c:v>237.77169396235632</c:v>
                </c:pt>
                <c:pt idx="432">
                  <c:v>237.95453434368119</c:v>
                </c:pt>
                <c:pt idx="433">
                  <c:v>241.60058665362985</c:v>
                </c:pt>
                <c:pt idx="434">
                  <c:v>246.01711073087259</c:v>
                </c:pt>
                <c:pt idx="435">
                  <c:v>242.58714250794421</c:v>
                </c:pt>
                <c:pt idx="436">
                  <c:v>240.76949401124412</c:v>
                </c:pt>
                <c:pt idx="437">
                  <c:v>243.59716450745535</c:v>
                </c:pt>
                <c:pt idx="438">
                  <c:v>243.97066731850401</c:v>
                </c:pt>
                <c:pt idx="439">
                  <c:v>241.98386702517718</c:v>
                </c:pt>
                <c:pt idx="440">
                  <c:v>237.11659740894646</c:v>
                </c:pt>
                <c:pt idx="441">
                  <c:v>236.56416524077241</c:v>
                </c:pt>
                <c:pt idx="442">
                  <c:v>238.4923001711073</c:v>
                </c:pt>
                <c:pt idx="443">
                  <c:v>248.02346614519678</c:v>
                </c:pt>
                <c:pt idx="444">
                  <c:v>246.41799071131751</c:v>
                </c:pt>
                <c:pt idx="445">
                  <c:v>244.17306282082623</c:v>
                </c:pt>
                <c:pt idx="446">
                  <c:v>248.29137130285997</c:v>
                </c:pt>
                <c:pt idx="447">
                  <c:v>243.66951845514546</c:v>
                </c:pt>
                <c:pt idx="448">
                  <c:v>226.23710584209243</c:v>
                </c:pt>
                <c:pt idx="449">
                  <c:v>230.64776338303594</c:v>
                </c:pt>
                <c:pt idx="450">
                  <c:v>226.28012710828651</c:v>
                </c:pt>
                <c:pt idx="451">
                  <c:v>233.84111464189687</c:v>
                </c:pt>
                <c:pt idx="452">
                  <c:v>237.86262527499389</c:v>
                </c:pt>
                <c:pt idx="453">
                  <c:v>233.33268149596677</c:v>
                </c:pt>
                <c:pt idx="454">
                  <c:v>237.83818137374723</c:v>
                </c:pt>
                <c:pt idx="455">
                  <c:v>226.96064531899287</c:v>
                </c:pt>
                <c:pt idx="456">
                  <c:v>230.30750427768265</c:v>
                </c:pt>
                <c:pt idx="457">
                  <c:v>230.8540699095575</c:v>
                </c:pt>
                <c:pt idx="458">
                  <c:v>239.28917135174765</c:v>
                </c:pt>
                <c:pt idx="459">
                  <c:v>247.74969445123432</c:v>
                </c:pt>
                <c:pt idx="460">
                  <c:v>251.89929112686374</c:v>
                </c:pt>
                <c:pt idx="461">
                  <c:v>247.58152041065742</c:v>
                </c:pt>
                <c:pt idx="462">
                  <c:v>247.25886091420182</c:v>
                </c:pt>
                <c:pt idx="463">
                  <c:v>246.69469567342941</c:v>
                </c:pt>
                <c:pt idx="464">
                  <c:v>237.89782449278894</c:v>
                </c:pt>
                <c:pt idx="465">
                  <c:v>250.96357858714239</c:v>
                </c:pt>
                <c:pt idx="466">
                  <c:v>250.52847714495223</c:v>
                </c:pt>
                <c:pt idx="467">
                  <c:v>249.35028110486422</c:v>
                </c:pt>
                <c:pt idx="468">
                  <c:v>257.9672451723294</c:v>
                </c:pt>
                <c:pt idx="469">
                  <c:v>259.52578831581508</c:v>
                </c:pt>
                <c:pt idx="470">
                  <c:v>256.79784893669017</c:v>
                </c:pt>
                <c:pt idx="471">
                  <c:v>253.76876069420669</c:v>
                </c:pt>
                <c:pt idx="472">
                  <c:v>255.7731605964311</c:v>
                </c:pt>
                <c:pt idx="473">
                  <c:v>259.04571009533106</c:v>
                </c:pt>
                <c:pt idx="474">
                  <c:v>260.64629674896099</c:v>
                </c:pt>
                <c:pt idx="475">
                  <c:v>262.02395502322156</c:v>
                </c:pt>
                <c:pt idx="476">
                  <c:v>262.49132241505731</c:v>
                </c:pt>
                <c:pt idx="477">
                  <c:v>264.1407968711805</c:v>
                </c:pt>
                <c:pt idx="478">
                  <c:v>266.64483011488619</c:v>
                </c:pt>
                <c:pt idx="479">
                  <c:v>267.52285504766542</c:v>
                </c:pt>
                <c:pt idx="480">
                  <c:v>266.35639208017574</c:v>
                </c:pt>
                <c:pt idx="481">
                  <c:v>264.98166707406477</c:v>
                </c:pt>
                <c:pt idx="482">
                  <c:v>265.48032265949621</c:v>
                </c:pt>
                <c:pt idx="483">
                  <c:v>268.27866047421145</c:v>
                </c:pt>
                <c:pt idx="484">
                  <c:v>264.09582009288658</c:v>
                </c:pt>
                <c:pt idx="485">
                  <c:v>267.82498166707381</c:v>
                </c:pt>
                <c:pt idx="486">
                  <c:v>271.22170618430681</c:v>
                </c:pt>
                <c:pt idx="487">
                  <c:v>267.8064043021264</c:v>
                </c:pt>
                <c:pt idx="488">
                  <c:v>267.71058420923964</c:v>
                </c:pt>
                <c:pt idx="489">
                  <c:v>256.21999511121953</c:v>
                </c:pt>
                <c:pt idx="490">
                  <c:v>257.92520166218509</c:v>
                </c:pt>
                <c:pt idx="491">
                  <c:v>252.00977756049846</c:v>
                </c:pt>
                <c:pt idx="492">
                  <c:v>254.71131752627704</c:v>
                </c:pt>
                <c:pt idx="493">
                  <c:v>258.16572965045208</c:v>
                </c:pt>
                <c:pt idx="494">
                  <c:v>256.04008799804438</c:v>
                </c:pt>
                <c:pt idx="495">
                  <c:v>261.9291126863846</c:v>
                </c:pt>
                <c:pt idx="496">
                  <c:v>263.97848936690281</c:v>
                </c:pt>
                <c:pt idx="497">
                  <c:v>267.86018088486907</c:v>
                </c:pt>
                <c:pt idx="498">
                  <c:v>271.82400391102402</c:v>
                </c:pt>
                <c:pt idx="499">
                  <c:v>274.21461745294533</c:v>
                </c:pt>
                <c:pt idx="500">
                  <c:v>273.10193106819833</c:v>
                </c:pt>
                <c:pt idx="501">
                  <c:v>271.82987044732323</c:v>
                </c:pt>
                <c:pt idx="502">
                  <c:v>273.85578098264472</c:v>
                </c:pt>
                <c:pt idx="503">
                  <c:v>272.98557809826434</c:v>
                </c:pt>
                <c:pt idx="504">
                  <c:v>272.32363725250536</c:v>
                </c:pt>
                <c:pt idx="505">
                  <c:v>277.96528966022964</c:v>
                </c:pt>
                <c:pt idx="506">
                  <c:v>281.26032754827662</c:v>
                </c:pt>
                <c:pt idx="507">
                  <c:v>279.68027377169386</c:v>
                </c:pt>
                <c:pt idx="508">
                  <c:v>279.93840136885837</c:v>
                </c:pt>
                <c:pt idx="509">
                  <c:v>285.73845025666083</c:v>
                </c:pt>
                <c:pt idx="510">
                  <c:v>279.6352969934</c:v>
                </c:pt>
                <c:pt idx="511">
                  <c:v>280.33145930090433</c:v>
                </c:pt>
                <c:pt idx="512">
                  <c:v>278.27132730383761</c:v>
                </c:pt>
                <c:pt idx="513">
                  <c:v>276.81740405768755</c:v>
                </c:pt>
                <c:pt idx="514">
                  <c:v>270.19212906379852</c:v>
                </c:pt>
                <c:pt idx="515">
                  <c:v>268.00782204839891</c:v>
                </c:pt>
                <c:pt idx="516">
                  <c:v>275.21192862380832</c:v>
                </c:pt>
                <c:pt idx="517">
                  <c:v>278.00439990222435</c:v>
                </c:pt>
                <c:pt idx="518">
                  <c:v>277.88609142019061</c:v>
                </c:pt>
                <c:pt idx="519">
                  <c:v>278.69469567342946</c:v>
                </c:pt>
                <c:pt idx="520">
                  <c:v>282.67611830848205</c:v>
                </c:pt>
                <c:pt idx="521">
                  <c:v>278.60669762894156</c:v>
                </c:pt>
                <c:pt idx="522">
                  <c:v>288.03128819359569</c:v>
                </c:pt>
                <c:pt idx="523">
                  <c:v>289.89391346858957</c:v>
                </c:pt>
                <c:pt idx="524">
                  <c:v>293.71302859936441</c:v>
                </c:pt>
                <c:pt idx="525">
                  <c:v>294.16377413835244</c:v>
                </c:pt>
                <c:pt idx="526">
                  <c:v>297.30334881447072</c:v>
                </c:pt>
                <c:pt idx="527">
                  <c:v>298.05719872891706</c:v>
                </c:pt>
                <c:pt idx="528">
                  <c:v>295.68222928379362</c:v>
                </c:pt>
                <c:pt idx="529">
                  <c:v>295.63138596920061</c:v>
                </c:pt>
                <c:pt idx="530">
                  <c:v>295.89244683451466</c:v>
                </c:pt>
                <c:pt idx="531">
                  <c:v>300.70691762405272</c:v>
                </c:pt>
                <c:pt idx="532">
                  <c:v>302.73282815937409</c:v>
                </c:pt>
                <c:pt idx="533">
                  <c:v>307.59912001955496</c:v>
                </c:pt>
                <c:pt idx="534">
                  <c:v>312.08995355658755</c:v>
                </c:pt>
                <c:pt idx="535">
                  <c:v>306.58616475189433</c:v>
                </c:pt>
                <c:pt idx="536">
                  <c:v>314.57052065509646</c:v>
                </c:pt>
                <c:pt idx="537">
                  <c:v>313.52236616964058</c:v>
                </c:pt>
                <c:pt idx="538">
                  <c:v>316.38914690784634</c:v>
                </c:pt>
                <c:pt idx="539">
                  <c:v>318.8667807382057</c:v>
                </c:pt>
                <c:pt idx="540">
                  <c:v>318.66047421168406</c:v>
                </c:pt>
                <c:pt idx="541">
                  <c:v>322.15497433390362</c:v>
                </c:pt>
                <c:pt idx="542">
                  <c:v>317.11757516499625</c:v>
                </c:pt>
                <c:pt idx="543">
                  <c:v>305.22317281838173</c:v>
                </c:pt>
                <c:pt idx="544">
                  <c:v>302.58616475189433</c:v>
                </c:pt>
                <c:pt idx="545">
                  <c:v>304.88389146907838</c:v>
                </c:pt>
                <c:pt idx="546">
                  <c:v>293.57809826448295</c:v>
                </c:pt>
                <c:pt idx="547">
                  <c:v>298.19897335614752</c:v>
                </c:pt>
                <c:pt idx="548">
                  <c:v>299.0769982889268</c:v>
                </c:pt>
                <c:pt idx="549">
                  <c:v>310.38083598142254</c:v>
                </c:pt>
                <c:pt idx="550">
                  <c:v>311.72916157418712</c:v>
                </c:pt>
                <c:pt idx="551">
                  <c:v>312.80860425323874</c:v>
                </c:pt>
                <c:pt idx="552">
                  <c:v>314.8599364458567</c:v>
                </c:pt>
                <c:pt idx="553">
                  <c:v>309.00317770716197</c:v>
                </c:pt>
                <c:pt idx="554">
                  <c:v>303.51894402346602</c:v>
                </c:pt>
                <c:pt idx="555">
                  <c:v>302.07284282571487</c:v>
                </c:pt>
                <c:pt idx="556">
                  <c:v>299.57174285015878</c:v>
                </c:pt>
                <c:pt idx="557">
                  <c:v>298.19017355169876</c:v>
                </c:pt>
                <c:pt idx="558">
                  <c:v>300.13786360303095</c:v>
                </c:pt>
                <c:pt idx="559">
                  <c:v>307.53263260816419</c:v>
                </c:pt>
                <c:pt idx="560">
                  <c:v>307.76240527988261</c:v>
                </c:pt>
                <c:pt idx="561">
                  <c:v>305.45978978244926</c:v>
                </c:pt>
                <c:pt idx="562">
                  <c:v>308.73625030554871</c:v>
                </c:pt>
                <c:pt idx="563">
                  <c:v>314.11195306770952</c:v>
                </c:pt>
                <c:pt idx="564">
                  <c:v>317.9252016621852</c:v>
                </c:pt>
                <c:pt idx="565">
                  <c:v>315.80835981422626</c:v>
                </c:pt>
                <c:pt idx="566">
                  <c:v>312.58176484966992</c:v>
                </c:pt>
                <c:pt idx="567">
                  <c:v>315.72622830603757</c:v>
                </c:pt>
                <c:pt idx="568">
                  <c:v>314.65362991933506</c:v>
                </c:pt>
                <c:pt idx="569">
                  <c:v>313.65729650452204</c:v>
                </c:pt>
                <c:pt idx="570">
                  <c:v>313.46565631874836</c:v>
                </c:pt>
                <c:pt idx="571">
                  <c:v>308.07235394768998</c:v>
                </c:pt>
                <c:pt idx="572">
                  <c:v>318.01515521877286</c:v>
                </c:pt>
                <c:pt idx="573">
                  <c:v>322.9371791737961</c:v>
                </c:pt>
                <c:pt idx="574">
                  <c:v>322.74749450012217</c:v>
                </c:pt>
                <c:pt idx="575">
                  <c:v>324.49767782938153</c:v>
                </c:pt>
                <c:pt idx="576">
                  <c:v>325.75800537765826</c:v>
                </c:pt>
                <c:pt idx="577">
                  <c:v>321.30334881447078</c:v>
                </c:pt>
                <c:pt idx="578">
                  <c:v>322.13737472500605</c:v>
                </c:pt>
                <c:pt idx="579">
                  <c:v>322.74260571987287</c:v>
                </c:pt>
                <c:pt idx="580">
                  <c:v>328.32559276460518</c:v>
                </c:pt>
                <c:pt idx="581">
                  <c:v>329.13419701784397</c:v>
                </c:pt>
                <c:pt idx="582">
                  <c:v>329.55854314348562</c:v>
                </c:pt>
                <c:pt idx="583">
                  <c:v>332.03226594964548</c:v>
                </c:pt>
                <c:pt idx="584">
                  <c:v>330.97433390369093</c:v>
                </c:pt>
                <c:pt idx="585">
                  <c:v>330.27914935223652</c:v>
                </c:pt>
                <c:pt idx="586">
                  <c:v>334.69274016132965</c:v>
                </c:pt>
                <c:pt idx="587">
                  <c:v>339.50134441456845</c:v>
                </c:pt>
                <c:pt idx="588">
                  <c:v>339.91004644341223</c:v>
                </c:pt>
                <c:pt idx="589">
                  <c:v>345.89782449278897</c:v>
                </c:pt>
                <c:pt idx="590">
                  <c:v>344.40576876069412</c:v>
                </c:pt>
                <c:pt idx="591">
                  <c:v>348.16719628452694</c:v>
                </c:pt>
                <c:pt idx="592">
                  <c:v>346.59398680029324</c:v>
                </c:pt>
                <c:pt idx="593">
                  <c:v>351.44561231972614</c:v>
                </c:pt>
                <c:pt idx="594">
                  <c:v>356.71180640430208</c:v>
                </c:pt>
                <c:pt idx="595">
                  <c:v>357.68760694206793</c:v>
                </c:pt>
                <c:pt idx="596">
                  <c:v>361.74431679296009</c:v>
                </c:pt>
                <c:pt idx="597">
                  <c:v>361.48618919579559</c:v>
                </c:pt>
                <c:pt idx="598">
                  <c:v>375.4153018821803</c:v>
                </c:pt>
                <c:pt idx="599">
                  <c:v>378.92740161329738</c:v>
                </c:pt>
                <c:pt idx="600">
                  <c:v>378.29870447323384</c:v>
                </c:pt>
                <c:pt idx="601">
                  <c:v>378.93913468589574</c:v>
                </c:pt>
                <c:pt idx="602">
                  <c:v>383.84942556832061</c:v>
                </c:pt>
                <c:pt idx="603">
                  <c:v>387.73209484233672</c:v>
                </c:pt>
                <c:pt idx="604">
                  <c:v>373.49987778049359</c:v>
                </c:pt>
                <c:pt idx="605">
                  <c:v>373.27303837692477</c:v>
                </c:pt>
                <c:pt idx="606">
                  <c:v>388.71180640430197</c:v>
                </c:pt>
                <c:pt idx="607">
                  <c:v>391.8924468345146</c:v>
                </c:pt>
                <c:pt idx="608">
                  <c:v>397.15277438279134</c:v>
                </c:pt>
                <c:pt idx="609">
                  <c:v>402.15301882180381</c:v>
                </c:pt>
                <c:pt idx="610">
                  <c:v>389.88706917624035</c:v>
                </c:pt>
                <c:pt idx="611">
                  <c:v>393.18406257638702</c:v>
                </c:pt>
                <c:pt idx="612">
                  <c:v>380.47127841603503</c:v>
                </c:pt>
                <c:pt idx="613">
                  <c:v>375.71351747738925</c:v>
                </c:pt>
                <c:pt idx="614">
                  <c:v>359.84649230017095</c:v>
                </c:pt>
                <c:pt idx="615">
                  <c:v>361.74040576876052</c:v>
                </c:pt>
                <c:pt idx="616">
                  <c:v>374.79833781471507</c:v>
                </c:pt>
                <c:pt idx="617">
                  <c:v>378.90686873625009</c:v>
                </c:pt>
                <c:pt idx="618">
                  <c:v>376.1447078953799</c:v>
                </c:pt>
                <c:pt idx="619">
                  <c:v>371.04473233928115</c:v>
                </c:pt>
                <c:pt idx="620">
                  <c:v>378.85602542165702</c:v>
                </c:pt>
                <c:pt idx="621">
                  <c:v>368.61598631141504</c:v>
                </c:pt>
                <c:pt idx="622">
                  <c:v>371.38401368858445</c:v>
                </c:pt>
                <c:pt idx="623">
                  <c:v>345.62503055487633</c:v>
                </c:pt>
                <c:pt idx="624">
                  <c:v>362.449278904913</c:v>
                </c:pt>
                <c:pt idx="625">
                  <c:v>370.35052554387664</c:v>
                </c:pt>
                <c:pt idx="626">
                  <c:v>371.01637741383507</c:v>
                </c:pt>
                <c:pt idx="627">
                  <c:v>355.19726228306024</c:v>
                </c:pt>
                <c:pt idx="628">
                  <c:v>354.6086531410412</c:v>
                </c:pt>
                <c:pt idx="629">
                  <c:v>362.0972867269615</c:v>
                </c:pt>
                <c:pt idx="630">
                  <c:v>356.22977267171831</c:v>
                </c:pt>
                <c:pt idx="631">
                  <c:v>360.7274505010999</c:v>
                </c:pt>
                <c:pt idx="632">
                  <c:v>363.97848936690292</c:v>
                </c:pt>
                <c:pt idx="633">
                  <c:v>363.72133952578827</c:v>
                </c:pt>
                <c:pt idx="634">
                  <c:v>359.72231728183812</c:v>
                </c:pt>
                <c:pt idx="635">
                  <c:v>356.57100953312141</c:v>
                </c:pt>
                <c:pt idx="636">
                  <c:v>347.94622341725733</c:v>
                </c:pt>
                <c:pt idx="637">
                  <c:v>364.87704717672938</c:v>
                </c:pt>
                <c:pt idx="638">
                  <c:v>362.87460278660473</c:v>
                </c:pt>
                <c:pt idx="639">
                  <c:v>367.25690540210212</c:v>
                </c:pt>
                <c:pt idx="640">
                  <c:v>374.24590564654113</c:v>
                </c:pt>
                <c:pt idx="641">
                  <c:v>380.31483744805661</c:v>
                </c:pt>
                <c:pt idx="642">
                  <c:v>386.11097531165962</c:v>
                </c:pt>
                <c:pt idx="643">
                  <c:v>378.01613297482265</c:v>
                </c:pt>
                <c:pt idx="644">
                  <c:v>373.26032754827656</c:v>
                </c:pt>
                <c:pt idx="645">
                  <c:v>377.14593009044233</c:v>
                </c:pt>
                <c:pt idx="646">
                  <c:v>371.15619652896589</c:v>
                </c:pt>
                <c:pt idx="647">
                  <c:v>363.28134930334869</c:v>
                </c:pt>
                <c:pt idx="648">
                  <c:v>351.54925446101186</c:v>
                </c:pt>
                <c:pt idx="649">
                  <c:v>346.57149841114631</c:v>
                </c:pt>
                <c:pt idx="650">
                  <c:v>350.38474700562199</c:v>
                </c:pt>
                <c:pt idx="651">
                  <c:v>353.92129063798575</c:v>
                </c:pt>
                <c:pt idx="652">
                  <c:v>347.92080175996085</c:v>
                </c:pt>
                <c:pt idx="653">
                  <c:v>344.07822048398918</c:v>
                </c:pt>
                <c:pt idx="654">
                  <c:v>344.57687606942062</c:v>
                </c:pt>
                <c:pt idx="655">
                  <c:v>329.49107797604495</c:v>
                </c:pt>
                <c:pt idx="656">
                  <c:v>335.59129797115617</c:v>
                </c:pt>
                <c:pt idx="657">
                  <c:v>323.25592764605227</c:v>
                </c:pt>
                <c:pt idx="658">
                  <c:v>330.53629919335123</c:v>
                </c:pt>
                <c:pt idx="659">
                  <c:v>310.18039599120016</c:v>
                </c:pt>
                <c:pt idx="660">
                  <c:v>313.93497922268392</c:v>
                </c:pt>
                <c:pt idx="661">
                  <c:v>300.79296015644098</c:v>
                </c:pt>
                <c:pt idx="662">
                  <c:v>295.06722072842825</c:v>
                </c:pt>
                <c:pt idx="663">
                  <c:v>300.87313615252987</c:v>
                </c:pt>
                <c:pt idx="664">
                  <c:v>292.32461500855527</c:v>
                </c:pt>
                <c:pt idx="665">
                  <c:v>293.8401368858469</c:v>
                </c:pt>
                <c:pt idx="666">
                  <c:v>314.49230017110716</c:v>
                </c:pt>
                <c:pt idx="667">
                  <c:v>314.10804204351001</c:v>
                </c:pt>
                <c:pt idx="668">
                  <c:v>305.05010999755547</c:v>
                </c:pt>
                <c:pt idx="669">
                  <c:v>301.39036910290866</c:v>
                </c:pt>
                <c:pt idx="670">
                  <c:v>290.11781960400867</c:v>
                </c:pt>
                <c:pt idx="671">
                  <c:v>275.52676607186498</c:v>
                </c:pt>
                <c:pt idx="672">
                  <c:v>282.11097531165967</c:v>
                </c:pt>
                <c:pt idx="673">
                  <c:v>278.85309215350759</c:v>
                </c:pt>
                <c:pt idx="674">
                  <c:v>258.35052554387676</c:v>
                </c:pt>
                <c:pt idx="675">
                  <c:v>246.10901979955995</c:v>
                </c:pt>
                <c:pt idx="676">
                  <c:v>242.09044243461253</c:v>
                </c:pt>
                <c:pt idx="677">
                  <c:v>252.86238083598136</c:v>
                </c:pt>
                <c:pt idx="678">
                  <c:v>250.36714739672445</c:v>
                </c:pt>
                <c:pt idx="679">
                  <c:v>238.69567342947931</c:v>
                </c:pt>
                <c:pt idx="680">
                  <c:v>228.86531410413096</c:v>
                </c:pt>
                <c:pt idx="681">
                  <c:v>242.59300904424339</c:v>
                </c:pt>
                <c:pt idx="682">
                  <c:v>249.75898313370803</c:v>
                </c:pt>
                <c:pt idx="683">
                  <c:v>248.1368858469811</c:v>
                </c:pt>
                <c:pt idx="684">
                  <c:v>237.23588364702997</c:v>
                </c:pt>
                <c:pt idx="685">
                  <c:v>248.71962845270099</c:v>
                </c:pt>
                <c:pt idx="686">
                  <c:v>255.52578831581513</c:v>
                </c:pt>
                <c:pt idx="687">
                  <c:v>267.12784160351987</c:v>
                </c:pt>
                <c:pt idx="688">
                  <c:v>268.3471033977022</c:v>
                </c:pt>
                <c:pt idx="689">
                  <c:v>274.45025666096302</c:v>
                </c:pt>
                <c:pt idx="690">
                  <c:v>269.6220972867269</c:v>
                </c:pt>
                <c:pt idx="691">
                  <c:v>270.60669762894156</c:v>
                </c:pt>
                <c:pt idx="692">
                  <c:v>274.58420923979463</c:v>
                </c:pt>
                <c:pt idx="693">
                  <c:v>280.09093131263751</c:v>
                </c:pt>
                <c:pt idx="694">
                  <c:v>284.57394280127107</c:v>
                </c:pt>
                <c:pt idx="695">
                  <c:v>285.79711561965286</c:v>
                </c:pt>
                <c:pt idx="696">
                  <c:v>279.12490833537032</c:v>
                </c:pt>
                <c:pt idx="697">
                  <c:v>279.97946712295283</c:v>
                </c:pt>
                <c:pt idx="698">
                  <c:v>283.19628452701056</c:v>
                </c:pt>
                <c:pt idx="699">
                  <c:v>285.04522121730639</c:v>
                </c:pt>
                <c:pt idx="700">
                  <c:v>291.20312881935968</c:v>
                </c:pt>
                <c:pt idx="701">
                  <c:v>292.65020777316067</c:v>
                </c:pt>
                <c:pt idx="702">
                  <c:v>292.01759960889768</c:v>
                </c:pt>
                <c:pt idx="703">
                  <c:v>291.36739183573707</c:v>
                </c:pt>
                <c:pt idx="704">
                  <c:v>303.02322170618436</c:v>
                </c:pt>
                <c:pt idx="705">
                  <c:v>300.56905402102183</c:v>
                </c:pt>
                <c:pt idx="706">
                  <c:v>308.8095820092887</c:v>
                </c:pt>
                <c:pt idx="707">
                  <c:v>307.32632608164266</c:v>
                </c:pt>
                <c:pt idx="708">
                  <c:v>305.27206062087515</c:v>
                </c:pt>
                <c:pt idx="709">
                  <c:v>305.09313126374974</c:v>
                </c:pt>
                <c:pt idx="710">
                  <c:v>310.81887069176247</c:v>
                </c:pt>
                <c:pt idx="711">
                  <c:v>313.57809826448306</c:v>
                </c:pt>
                <c:pt idx="712">
                  <c:v>309.484233683696</c:v>
                </c:pt>
                <c:pt idx="713">
                  <c:v>309.94769005133224</c:v>
                </c:pt>
                <c:pt idx="714">
                  <c:v>318.60669762894162</c:v>
                </c:pt>
                <c:pt idx="715">
                  <c:v>315.10730872647275</c:v>
                </c:pt>
                <c:pt idx="716">
                  <c:v>321.61231972622824</c:v>
                </c:pt>
                <c:pt idx="717">
                  <c:v>322.32705939867992</c:v>
                </c:pt>
                <c:pt idx="718">
                  <c:v>312.15252994377897</c:v>
                </c:pt>
                <c:pt idx="719">
                  <c:v>311.27841603519914</c:v>
                </c:pt>
                <c:pt idx="720">
                  <c:v>315.91102419946219</c:v>
                </c:pt>
                <c:pt idx="721">
                  <c:v>309.93791249083347</c:v>
                </c:pt>
                <c:pt idx="722">
                  <c:v>299.27059398680024</c:v>
                </c:pt>
                <c:pt idx="723">
                  <c:v>295.79858225372766</c:v>
                </c:pt>
                <c:pt idx="724">
                  <c:v>302.67905157663159</c:v>
                </c:pt>
                <c:pt idx="725">
                  <c:v>306.40136885846971</c:v>
                </c:pt>
                <c:pt idx="726">
                  <c:v>304.95037888046926</c:v>
                </c:pt>
                <c:pt idx="727">
                  <c:v>307.81715961867508</c:v>
                </c:pt>
                <c:pt idx="728">
                  <c:v>312.80273771693959</c:v>
                </c:pt>
                <c:pt idx="729">
                  <c:v>313.22708384258124</c:v>
                </c:pt>
                <c:pt idx="730">
                  <c:v>310.57149841114637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59-4C94-BDB6-F57A14613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4499288"/>
        <c:axId val="2135915144"/>
      </c:lineChart>
      <c:dateAx>
        <c:axId val="2104499288"/>
        <c:scaling>
          <c:orientation val="minMax"/>
        </c:scaling>
        <c:delete val="0"/>
        <c:axPos val="b"/>
        <c:numFmt formatCode="dd\.mm\.yyyy" sourceLinked="1"/>
        <c:majorTickMark val="out"/>
        <c:minorTickMark val="none"/>
        <c:tickLblPos val="nextTo"/>
        <c:crossAx val="2135915144"/>
        <c:crosses val="autoZero"/>
        <c:auto val="1"/>
        <c:lblOffset val="100"/>
        <c:baseTimeUnit val="days"/>
      </c:dateAx>
      <c:valAx>
        <c:axId val="2135915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044992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5555555555555"/>
          <c:y val="0.104178331875182"/>
          <c:w val="0.174052074289193"/>
          <c:h val="0.62161398575178095"/>
        </c:manualLayout>
      </c:layout>
      <c:overlay val="0"/>
    </c:legend>
    <c:plotVisOnly val="1"/>
    <c:dispBlanksAs val="gap"/>
    <c:showDLblsOverMax val="0"/>
  </c:chart>
  <c:printSettings>
    <c:headerFooter/>
    <c:pageMargins b="1" l="0.78740157499999996" r="0.78740157499999996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Index!$P$1</c:f>
              <c:strCache>
                <c:ptCount val="1"/>
                <c:pt idx="0">
                  <c:v>MSCI World Equity</c:v>
                </c:pt>
              </c:strCache>
            </c:strRef>
          </c:tx>
          <c:spPr>
            <a:ln w="12700"/>
          </c:spPr>
          <c:marker>
            <c:symbol val="none"/>
          </c:marker>
          <c:val>
            <c:numRef>
              <c:f>Index!$P$2:$P$732</c:f>
              <c:numCache>
                <c:formatCode>General</c:formatCode>
                <c:ptCount val="731"/>
                <c:pt idx="0">
                  <c:v>100</c:v>
                </c:pt>
                <c:pt idx="1">
                  <c:v>101.29744074897718</c:v>
                </c:pt>
                <c:pt idx="2">
                  <c:v>99.368480544531977</c:v>
                </c:pt>
                <c:pt idx="3">
                  <c:v>95.584278360015261</c:v>
                </c:pt>
                <c:pt idx="4">
                  <c:v>94.295438070548357</c:v>
                </c:pt>
                <c:pt idx="5">
                  <c:v>92.157609563710992</c:v>
                </c:pt>
                <c:pt idx="6">
                  <c:v>92.669951223108214</c:v>
                </c:pt>
                <c:pt idx="7">
                  <c:v>93.808897789681907</c:v>
                </c:pt>
                <c:pt idx="8">
                  <c:v>92.499170669975797</c:v>
                </c:pt>
                <c:pt idx="9">
                  <c:v>90.670958705507985</c:v>
                </c:pt>
                <c:pt idx="10">
                  <c:v>90.962145691784116</c:v>
                </c:pt>
                <c:pt idx="11">
                  <c:v>96.554901647602321</c:v>
                </c:pt>
                <c:pt idx="12">
                  <c:v>93.738865476526897</c:v>
                </c:pt>
                <c:pt idx="13">
                  <c:v>95.202172230344871</c:v>
                </c:pt>
                <c:pt idx="14">
                  <c:v>94.641913725104729</c:v>
                </c:pt>
                <c:pt idx="15">
                  <c:v>97.40266122789987</c:v>
                </c:pt>
                <c:pt idx="16">
                  <c:v>97.604157707854668</c:v>
                </c:pt>
                <c:pt idx="17">
                  <c:v>101.05539924561683</c:v>
                </c:pt>
                <c:pt idx="18">
                  <c:v>102.14765760342051</c:v>
                </c:pt>
                <c:pt idx="19">
                  <c:v>103.7325994274551</c:v>
                </c:pt>
                <c:pt idx="20">
                  <c:v>102.82955117887725</c:v>
                </c:pt>
                <c:pt idx="21">
                  <c:v>105.37405855684287</c:v>
                </c:pt>
                <c:pt idx="22">
                  <c:v>108.52428401174575</c:v>
                </c:pt>
                <c:pt idx="23">
                  <c:v>109.03662567114299</c:v>
                </c:pt>
                <c:pt idx="24">
                  <c:v>109.86349842120136</c:v>
                </c:pt>
                <c:pt idx="25">
                  <c:v>107.40499563833838</c:v>
                </c:pt>
                <c:pt idx="26">
                  <c:v>108.56974358344289</c:v>
                </c:pt>
                <c:pt idx="27">
                  <c:v>109.29095354523227</c:v>
                </c:pt>
                <c:pt idx="28">
                  <c:v>108.32524480593678</c:v>
                </c:pt>
                <c:pt idx="29">
                  <c:v>109.91510117826297</c:v>
                </c:pt>
                <c:pt idx="30">
                  <c:v>108.21712474352202</c:v>
                </c:pt>
                <c:pt idx="31">
                  <c:v>107.92348048310011</c:v>
                </c:pt>
                <c:pt idx="32">
                  <c:v>109.99496258800113</c:v>
                </c:pt>
                <c:pt idx="33">
                  <c:v>110.2996645820791</c:v>
                </c:pt>
                <c:pt idx="34">
                  <c:v>111.23097148333353</c:v>
                </c:pt>
                <c:pt idx="35">
                  <c:v>113.38722954626432</c:v>
                </c:pt>
                <c:pt idx="36">
                  <c:v>113.40197319113906</c:v>
                </c:pt>
                <c:pt idx="37">
                  <c:v>115.7965868462115</c:v>
                </c:pt>
                <c:pt idx="38">
                  <c:v>112.07504515241244</c:v>
                </c:pt>
                <c:pt idx="39">
                  <c:v>116.01159833396814</c:v>
                </c:pt>
                <c:pt idx="40">
                  <c:v>117.49087736973377</c:v>
                </c:pt>
                <c:pt idx="41">
                  <c:v>117.87912668476859</c:v>
                </c:pt>
                <c:pt idx="42">
                  <c:v>116.2425821036724</c:v>
                </c:pt>
                <c:pt idx="43">
                  <c:v>118.28211964467818</c:v>
                </c:pt>
                <c:pt idx="44">
                  <c:v>118.8497499723557</c:v>
                </c:pt>
                <c:pt idx="45">
                  <c:v>119.18025334496447</c:v>
                </c:pt>
                <c:pt idx="46">
                  <c:v>117.45524689461983</c:v>
                </c:pt>
                <c:pt idx="47">
                  <c:v>119.91743558870149</c:v>
                </c:pt>
                <c:pt idx="48">
                  <c:v>121.36722733471765</c:v>
                </c:pt>
                <c:pt idx="49">
                  <c:v>122.27641876865997</c:v>
                </c:pt>
                <c:pt idx="50">
                  <c:v>123.91050607561036</c:v>
                </c:pt>
                <c:pt idx="51">
                  <c:v>125.11334176997458</c:v>
                </c:pt>
                <c:pt idx="52">
                  <c:v>127.53989998894228</c:v>
                </c:pt>
                <c:pt idx="53">
                  <c:v>129.8399085894018</c:v>
                </c:pt>
                <c:pt idx="54">
                  <c:v>130.1900701551769</c:v>
                </c:pt>
                <c:pt idx="55">
                  <c:v>131.67180646508831</c:v>
                </c:pt>
                <c:pt idx="56">
                  <c:v>129.28825054367192</c:v>
                </c:pt>
                <c:pt idx="57">
                  <c:v>130.75155729748994</c:v>
                </c:pt>
                <c:pt idx="58">
                  <c:v>131.99493801525972</c:v>
                </c:pt>
                <c:pt idx="59">
                  <c:v>131.55385730609041</c:v>
                </c:pt>
                <c:pt idx="60">
                  <c:v>131.29830079492825</c:v>
                </c:pt>
                <c:pt idx="61">
                  <c:v>132.95818948040946</c:v>
                </c:pt>
                <c:pt idx="62">
                  <c:v>128.01538253615271</c:v>
                </c:pt>
                <c:pt idx="63">
                  <c:v>128.2647958619504</c:v>
                </c:pt>
                <c:pt idx="64">
                  <c:v>127.77579830693817</c:v>
                </c:pt>
                <c:pt idx="65">
                  <c:v>131.87330294504312</c:v>
                </c:pt>
                <c:pt idx="66">
                  <c:v>131.67057782801547</c:v>
                </c:pt>
                <c:pt idx="67">
                  <c:v>130.55374672875385</c:v>
                </c:pt>
                <c:pt idx="68">
                  <c:v>130.68889680677231</c:v>
                </c:pt>
                <c:pt idx="69">
                  <c:v>127.24502709144751</c:v>
                </c:pt>
                <c:pt idx="70">
                  <c:v>125.95127225368904</c:v>
                </c:pt>
                <c:pt idx="71">
                  <c:v>123.71638141809295</c:v>
                </c:pt>
                <c:pt idx="72">
                  <c:v>124.8688429924685</c:v>
                </c:pt>
                <c:pt idx="73">
                  <c:v>128.00555343956952</c:v>
                </c:pt>
                <c:pt idx="74">
                  <c:v>128.19967809708697</c:v>
                </c:pt>
                <c:pt idx="75">
                  <c:v>129.27473553587012</c:v>
                </c:pt>
                <c:pt idx="76">
                  <c:v>129.82639358159997</c:v>
                </c:pt>
                <c:pt idx="77">
                  <c:v>130.19252742932269</c:v>
                </c:pt>
                <c:pt idx="78">
                  <c:v>129.59049526360411</c:v>
                </c:pt>
                <c:pt idx="79">
                  <c:v>128.72799203843181</c:v>
                </c:pt>
                <c:pt idx="80">
                  <c:v>127.67996461525235</c:v>
                </c:pt>
                <c:pt idx="81">
                  <c:v>124.92536029782165</c:v>
                </c:pt>
                <c:pt idx="82">
                  <c:v>126.17979874924748</c:v>
                </c:pt>
                <c:pt idx="83">
                  <c:v>123.33181801427678</c:v>
                </c:pt>
                <c:pt idx="84">
                  <c:v>122.78015996854691</c:v>
                </c:pt>
                <c:pt idx="85">
                  <c:v>125.73134621764081</c:v>
                </c:pt>
                <c:pt idx="86">
                  <c:v>126.8690641471416</c:v>
                </c:pt>
                <c:pt idx="87">
                  <c:v>127.31628804167541</c:v>
                </c:pt>
                <c:pt idx="88">
                  <c:v>128.94791807448001</c:v>
                </c:pt>
                <c:pt idx="89">
                  <c:v>129.20593185978794</c:v>
                </c:pt>
                <c:pt idx="90">
                  <c:v>127.96623705323685</c:v>
                </c:pt>
                <c:pt idx="91">
                  <c:v>130.58569129264907</c:v>
                </c:pt>
                <c:pt idx="92">
                  <c:v>130.73927092676095</c:v>
                </c:pt>
                <c:pt idx="93">
                  <c:v>129.15678637687216</c:v>
                </c:pt>
                <c:pt idx="94">
                  <c:v>128.98477718666683</c:v>
                </c:pt>
                <c:pt idx="95">
                  <c:v>131.7958988094507</c:v>
                </c:pt>
                <c:pt idx="96">
                  <c:v>136.19441953041493</c:v>
                </c:pt>
                <c:pt idx="97">
                  <c:v>137.95628509294642</c:v>
                </c:pt>
                <c:pt idx="98">
                  <c:v>137.75478861299166</c:v>
                </c:pt>
                <c:pt idx="99">
                  <c:v>139.18492216584147</c:v>
                </c:pt>
                <c:pt idx="100">
                  <c:v>140.59539752552496</c:v>
                </c:pt>
                <c:pt idx="101">
                  <c:v>138.60131955621631</c:v>
                </c:pt>
                <c:pt idx="102">
                  <c:v>139.97739307785878</c:v>
                </c:pt>
                <c:pt idx="103">
                  <c:v>142.89663476305736</c:v>
                </c:pt>
                <c:pt idx="104">
                  <c:v>143.66944748190832</c:v>
                </c:pt>
                <c:pt idx="105">
                  <c:v>140.05356857637824</c:v>
                </c:pt>
                <c:pt idx="106">
                  <c:v>140.19609047683403</c:v>
                </c:pt>
                <c:pt idx="107">
                  <c:v>138.61729183816391</c:v>
                </c:pt>
                <c:pt idx="108">
                  <c:v>139.25249720485064</c:v>
                </c:pt>
                <c:pt idx="109">
                  <c:v>142.27248713002663</c:v>
                </c:pt>
                <c:pt idx="110">
                  <c:v>142.92735068987966</c:v>
                </c:pt>
                <c:pt idx="111">
                  <c:v>143.64733201459617</c:v>
                </c:pt>
                <c:pt idx="112">
                  <c:v>144.62778439876641</c:v>
                </c:pt>
                <c:pt idx="113">
                  <c:v>146.50637048322292</c:v>
                </c:pt>
                <c:pt idx="114">
                  <c:v>145.1720706220589</c:v>
                </c:pt>
                <c:pt idx="115">
                  <c:v>143.65101792581484</c:v>
                </c:pt>
                <c:pt idx="116">
                  <c:v>140.92958680935234</c:v>
                </c:pt>
                <c:pt idx="117">
                  <c:v>141.0671941615166</c:v>
                </c:pt>
                <c:pt idx="118">
                  <c:v>141.74171591453597</c:v>
                </c:pt>
                <c:pt idx="119">
                  <c:v>138.07669152609006</c:v>
                </c:pt>
                <c:pt idx="120">
                  <c:v>138.81878831811864</c:v>
                </c:pt>
                <c:pt idx="121">
                  <c:v>138.05457605877794</c:v>
                </c:pt>
                <c:pt idx="122">
                  <c:v>140.13957317148078</c:v>
                </c:pt>
                <c:pt idx="123">
                  <c:v>137.41077023258092</c:v>
                </c:pt>
                <c:pt idx="124">
                  <c:v>139.81029843594493</c:v>
                </c:pt>
                <c:pt idx="125">
                  <c:v>141.0069909449447</c:v>
                </c:pt>
                <c:pt idx="126">
                  <c:v>140.88166996350941</c:v>
                </c:pt>
                <c:pt idx="127">
                  <c:v>140.97381774397655</c:v>
                </c:pt>
                <c:pt idx="128">
                  <c:v>143.36228821368448</c:v>
                </c:pt>
                <c:pt idx="129">
                  <c:v>141.26991927854425</c:v>
                </c:pt>
                <c:pt idx="130">
                  <c:v>141.02664913811103</c:v>
                </c:pt>
                <c:pt idx="131">
                  <c:v>142.11645022176893</c:v>
                </c:pt>
                <c:pt idx="132">
                  <c:v>144.21127643105496</c:v>
                </c:pt>
                <c:pt idx="133">
                  <c:v>145.24210293521389</c:v>
                </c:pt>
                <c:pt idx="134">
                  <c:v>145.9817424530967</c:v>
                </c:pt>
                <c:pt idx="135">
                  <c:v>145.94734061505565</c:v>
                </c:pt>
                <c:pt idx="136">
                  <c:v>148.44393114717838</c:v>
                </c:pt>
                <c:pt idx="137">
                  <c:v>146.329446744726</c:v>
                </c:pt>
                <c:pt idx="138">
                  <c:v>145.56031993709371</c:v>
                </c:pt>
                <c:pt idx="139">
                  <c:v>148.33949699598227</c:v>
                </c:pt>
                <c:pt idx="140">
                  <c:v>150.58053101694284</c:v>
                </c:pt>
                <c:pt idx="141">
                  <c:v>150.01412932633824</c:v>
                </c:pt>
                <c:pt idx="142">
                  <c:v>147.9930213414259</c:v>
                </c:pt>
                <c:pt idx="143">
                  <c:v>150.4232654716123</c:v>
                </c:pt>
                <c:pt idx="144">
                  <c:v>146.69558059244878</c:v>
                </c:pt>
                <c:pt idx="145">
                  <c:v>145.45342851175189</c:v>
                </c:pt>
                <c:pt idx="146">
                  <c:v>143.51463921072354</c:v>
                </c:pt>
                <c:pt idx="147">
                  <c:v>145.30722070007741</c:v>
                </c:pt>
                <c:pt idx="148">
                  <c:v>148.31492425452444</c:v>
                </c:pt>
                <c:pt idx="149">
                  <c:v>149.45018490987945</c:v>
                </c:pt>
                <c:pt idx="150">
                  <c:v>150.77096976324162</c:v>
                </c:pt>
                <c:pt idx="151">
                  <c:v>152.76873364376897</c:v>
                </c:pt>
                <c:pt idx="152">
                  <c:v>153.54400363676572</c:v>
                </c:pt>
                <c:pt idx="153">
                  <c:v>153.89785111375949</c:v>
                </c:pt>
                <c:pt idx="154">
                  <c:v>155.77029401285154</c:v>
                </c:pt>
                <c:pt idx="155">
                  <c:v>156.15731469081351</c:v>
                </c:pt>
                <c:pt idx="156">
                  <c:v>154.53551375459205</c:v>
                </c:pt>
                <c:pt idx="157">
                  <c:v>160.72415869076437</c:v>
                </c:pt>
                <c:pt idx="158">
                  <c:v>160.55460677470484</c:v>
                </c:pt>
                <c:pt idx="159">
                  <c:v>157.47441363295698</c:v>
                </c:pt>
                <c:pt idx="160">
                  <c:v>161.15786757749629</c:v>
                </c:pt>
                <c:pt idx="161">
                  <c:v>159.24733692914452</c:v>
                </c:pt>
                <c:pt idx="162">
                  <c:v>158.64284748928014</c:v>
                </c:pt>
                <c:pt idx="163">
                  <c:v>159.95380324605915</c:v>
                </c:pt>
                <c:pt idx="164">
                  <c:v>161.33479131599316</c:v>
                </c:pt>
                <c:pt idx="165">
                  <c:v>161.16032485164209</c:v>
                </c:pt>
                <c:pt idx="166">
                  <c:v>160.19461611234655</c:v>
                </c:pt>
                <c:pt idx="167">
                  <c:v>164.46290130358389</c:v>
                </c:pt>
                <c:pt idx="168">
                  <c:v>164.08693835927801</c:v>
                </c:pt>
                <c:pt idx="169">
                  <c:v>164.03164969099774</c:v>
                </c:pt>
                <c:pt idx="170">
                  <c:v>165.41018048678598</c:v>
                </c:pt>
                <c:pt idx="171">
                  <c:v>164.02059195734171</c:v>
                </c:pt>
                <c:pt idx="172">
                  <c:v>168.32450762369302</c:v>
                </c:pt>
                <c:pt idx="173">
                  <c:v>168.73855831725865</c:v>
                </c:pt>
                <c:pt idx="174">
                  <c:v>171.96004472238943</c:v>
                </c:pt>
                <c:pt idx="175">
                  <c:v>168.70661375336337</c:v>
                </c:pt>
                <c:pt idx="176">
                  <c:v>162.42336376257816</c:v>
                </c:pt>
                <c:pt idx="177">
                  <c:v>163.70728950375349</c:v>
                </c:pt>
                <c:pt idx="178">
                  <c:v>164.97647160005405</c:v>
                </c:pt>
                <c:pt idx="179">
                  <c:v>157.73857060362937</c:v>
                </c:pt>
                <c:pt idx="180">
                  <c:v>157.03210428671474</c:v>
                </c:pt>
                <c:pt idx="181">
                  <c:v>156.94978560283079</c:v>
                </c:pt>
                <c:pt idx="182">
                  <c:v>162.1714931626347</c:v>
                </c:pt>
                <c:pt idx="183">
                  <c:v>162.0707449226573</c:v>
                </c:pt>
                <c:pt idx="184">
                  <c:v>156.61191040778468</c:v>
                </c:pt>
                <c:pt idx="185">
                  <c:v>157.24711577447138</c:v>
                </c:pt>
                <c:pt idx="186">
                  <c:v>163.18266147362732</c:v>
                </c:pt>
                <c:pt idx="187">
                  <c:v>164.10782518951726</c:v>
                </c:pt>
                <c:pt idx="188">
                  <c:v>161.99579806121068</c:v>
                </c:pt>
                <c:pt idx="189">
                  <c:v>166.46926564362153</c:v>
                </c:pt>
                <c:pt idx="190">
                  <c:v>165.25905812681989</c:v>
                </c:pt>
                <c:pt idx="191">
                  <c:v>167.7298472804118</c:v>
                </c:pt>
                <c:pt idx="192">
                  <c:v>165.18779717659197</c:v>
                </c:pt>
                <c:pt idx="193">
                  <c:v>166.49260974800649</c:v>
                </c:pt>
                <c:pt idx="194">
                  <c:v>166.4139769753412</c:v>
                </c:pt>
                <c:pt idx="195">
                  <c:v>168.7373296801857</c:v>
                </c:pt>
                <c:pt idx="196">
                  <c:v>170.02002678428809</c:v>
                </c:pt>
                <c:pt idx="197">
                  <c:v>171.77820643560091</c:v>
                </c:pt>
                <c:pt idx="198">
                  <c:v>173.18622452113863</c:v>
                </c:pt>
                <c:pt idx="199">
                  <c:v>175.06603924266804</c:v>
                </c:pt>
                <c:pt idx="200">
                  <c:v>173.71822437370218</c:v>
                </c:pt>
                <c:pt idx="201">
                  <c:v>175.92485655662165</c:v>
                </c:pt>
                <c:pt idx="202">
                  <c:v>176.89302257006295</c:v>
                </c:pt>
                <c:pt idx="203">
                  <c:v>177.89681905861821</c:v>
                </c:pt>
                <c:pt idx="204">
                  <c:v>178.51973805457601</c:v>
                </c:pt>
                <c:pt idx="205">
                  <c:v>180.54698922485284</c:v>
                </c:pt>
                <c:pt idx="206">
                  <c:v>182.30148296494696</c:v>
                </c:pt>
                <c:pt idx="207">
                  <c:v>180.97701220036612</c:v>
                </c:pt>
                <c:pt idx="208">
                  <c:v>182.27813886056194</c:v>
                </c:pt>
                <c:pt idx="209">
                  <c:v>180.58507697411258</c:v>
                </c:pt>
                <c:pt idx="210">
                  <c:v>182.76713641557416</c:v>
                </c:pt>
                <c:pt idx="211">
                  <c:v>183.50431865931117</c:v>
                </c:pt>
                <c:pt idx="212">
                  <c:v>182.73519185167888</c:v>
                </c:pt>
                <c:pt idx="213">
                  <c:v>186.22697841284659</c:v>
                </c:pt>
                <c:pt idx="214">
                  <c:v>185.98616554655916</c:v>
                </c:pt>
                <c:pt idx="215">
                  <c:v>188.80957354007197</c:v>
                </c:pt>
                <c:pt idx="216">
                  <c:v>189.07864505903598</c:v>
                </c:pt>
                <c:pt idx="217">
                  <c:v>180.61456426386206</c:v>
                </c:pt>
                <c:pt idx="218">
                  <c:v>182.48086397758962</c:v>
                </c:pt>
                <c:pt idx="219">
                  <c:v>180.56910469216496</c:v>
                </c:pt>
                <c:pt idx="220">
                  <c:v>187.59445147497877</c:v>
                </c:pt>
                <c:pt idx="221">
                  <c:v>186.03776830362077</c:v>
                </c:pt>
                <c:pt idx="222">
                  <c:v>189.45829391456053</c:v>
                </c:pt>
                <c:pt idx="223">
                  <c:v>190.88842746741037</c:v>
                </c:pt>
                <c:pt idx="224">
                  <c:v>194.51044955830494</c:v>
                </c:pt>
                <c:pt idx="225">
                  <c:v>194.62717008022997</c:v>
                </c:pt>
                <c:pt idx="226">
                  <c:v>196.26740057254489</c:v>
                </c:pt>
                <c:pt idx="227">
                  <c:v>195.82509122630265</c:v>
                </c:pt>
                <c:pt idx="228">
                  <c:v>197.14956199088348</c:v>
                </c:pt>
                <c:pt idx="229">
                  <c:v>196.50821343883229</c:v>
                </c:pt>
                <c:pt idx="230">
                  <c:v>199.68055436104729</c:v>
                </c:pt>
                <c:pt idx="231">
                  <c:v>194.85323930164267</c:v>
                </c:pt>
                <c:pt idx="232">
                  <c:v>198.94337211731025</c:v>
                </c:pt>
                <c:pt idx="233">
                  <c:v>196.34849061935591</c:v>
                </c:pt>
                <c:pt idx="234">
                  <c:v>196.87189001240921</c:v>
                </c:pt>
                <c:pt idx="235">
                  <c:v>200.43616616087772</c:v>
                </c:pt>
                <c:pt idx="236">
                  <c:v>203.31486282267079</c:v>
                </c:pt>
                <c:pt idx="237">
                  <c:v>201.76678011082305</c:v>
                </c:pt>
                <c:pt idx="238">
                  <c:v>191.12309714833333</c:v>
                </c:pt>
                <c:pt idx="239">
                  <c:v>189.47795210772688</c:v>
                </c:pt>
                <c:pt idx="240">
                  <c:v>188.15593861729184</c:v>
                </c:pt>
                <c:pt idx="241">
                  <c:v>184.07932080942609</c:v>
                </c:pt>
                <c:pt idx="242">
                  <c:v>190.76187784890223</c:v>
                </c:pt>
                <c:pt idx="243">
                  <c:v>191.86273666621616</c:v>
                </c:pt>
                <c:pt idx="244">
                  <c:v>189.53446941308007</c:v>
                </c:pt>
                <c:pt idx="245">
                  <c:v>192.46845474315342</c:v>
                </c:pt>
                <c:pt idx="246">
                  <c:v>198.31553857306088</c:v>
                </c:pt>
                <c:pt idx="247">
                  <c:v>200.70769495398753</c:v>
                </c:pt>
                <c:pt idx="248">
                  <c:v>204.41326436583896</c:v>
                </c:pt>
                <c:pt idx="249">
                  <c:v>205.83234018503273</c:v>
                </c:pt>
                <c:pt idx="250">
                  <c:v>199.9508545170842</c:v>
                </c:pt>
                <c:pt idx="251">
                  <c:v>203.82474720792226</c:v>
                </c:pt>
                <c:pt idx="252">
                  <c:v>202.36512636532294</c:v>
                </c:pt>
                <c:pt idx="253">
                  <c:v>196.34603334521015</c:v>
                </c:pt>
                <c:pt idx="254">
                  <c:v>194.25980759543438</c:v>
                </c:pt>
                <c:pt idx="255">
                  <c:v>192.51514295192345</c:v>
                </c:pt>
                <c:pt idx="256">
                  <c:v>197.92606062095319</c:v>
                </c:pt>
                <c:pt idx="257">
                  <c:v>200.27398606725561</c:v>
                </c:pt>
                <c:pt idx="258">
                  <c:v>194.38512857686968</c:v>
                </c:pt>
                <c:pt idx="259">
                  <c:v>194.19223255642518</c:v>
                </c:pt>
                <c:pt idx="260">
                  <c:v>195.94181174822774</c:v>
                </c:pt>
                <c:pt idx="261">
                  <c:v>189.61678809696409</c:v>
                </c:pt>
                <c:pt idx="262">
                  <c:v>186.25277979137749</c:v>
                </c:pt>
                <c:pt idx="263">
                  <c:v>176.65343834084854</c:v>
                </c:pt>
                <c:pt idx="264">
                  <c:v>176.79596024130436</c:v>
                </c:pt>
                <c:pt idx="265">
                  <c:v>182.76713641557421</c:v>
                </c:pt>
                <c:pt idx="266">
                  <c:v>173.80054305758622</c:v>
                </c:pt>
                <c:pt idx="267">
                  <c:v>176.86230664324066</c:v>
                </c:pt>
                <c:pt idx="268">
                  <c:v>178.02091140298069</c:v>
                </c:pt>
                <c:pt idx="269">
                  <c:v>178.83549778231009</c:v>
                </c:pt>
                <c:pt idx="270">
                  <c:v>173.39386418645796</c:v>
                </c:pt>
                <c:pt idx="271">
                  <c:v>172.99087122654839</c:v>
                </c:pt>
                <c:pt idx="272">
                  <c:v>172.866778882186</c:v>
                </c:pt>
                <c:pt idx="273">
                  <c:v>176.38559545895737</c:v>
                </c:pt>
                <c:pt idx="274">
                  <c:v>183.3826835890946</c:v>
                </c:pt>
                <c:pt idx="275">
                  <c:v>179.55547910702657</c:v>
                </c:pt>
                <c:pt idx="276">
                  <c:v>184.85581943949575</c:v>
                </c:pt>
                <c:pt idx="277">
                  <c:v>186.07954196409918</c:v>
                </c:pt>
                <c:pt idx="278">
                  <c:v>188.0048162573257</c:v>
                </c:pt>
                <c:pt idx="279">
                  <c:v>185.97756508704887</c:v>
                </c:pt>
                <c:pt idx="280">
                  <c:v>191.12801169662487</c:v>
                </c:pt>
                <c:pt idx="281">
                  <c:v>186.43461807816584</c:v>
                </c:pt>
                <c:pt idx="282">
                  <c:v>187.45684412281449</c:v>
                </c:pt>
                <c:pt idx="283">
                  <c:v>183.86308068459653</c:v>
                </c:pt>
                <c:pt idx="284">
                  <c:v>179.37486945731098</c:v>
                </c:pt>
                <c:pt idx="285">
                  <c:v>175.74916145519771</c:v>
                </c:pt>
                <c:pt idx="286">
                  <c:v>171.71308867073748</c:v>
                </c:pt>
                <c:pt idx="287">
                  <c:v>167.95960241304314</c:v>
                </c:pt>
                <c:pt idx="288">
                  <c:v>165.30943224680854</c:v>
                </c:pt>
                <c:pt idx="289">
                  <c:v>167.40425845609457</c:v>
                </c:pt>
                <c:pt idx="290">
                  <c:v>167.17941787175479</c:v>
                </c:pt>
                <c:pt idx="291">
                  <c:v>166.10067452175295</c:v>
                </c:pt>
                <c:pt idx="292">
                  <c:v>166.82802766890677</c:v>
                </c:pt>
                <c:pt idx="293">
                  <c:v>165.00104434151186</c:v>
                </c:pt>
                <c:pt idx="294">
                  <c:v>164.33389441092984</c:v>
                </c:pt>
                <c:pt idx="295">
                  <c:v>165.23448538536189</c:v>
                </c:pt>
                <c:pt idx="296">
                  <c:v>155.93001683232779</c:v>
                </c:pt>
                <c:pt idx="297">
                  <c:v>157.65133737145374</c:v>
                </c:pt>
                <c:pt idx="298">
                  <c:v>158.0567876055091</c:v>
                </c:pt>
                <c:pt idx="299">
                  <c:v>153.62509368357669</c:v>
                </c:pt>
                <c:pt idx="300">
                  <c:v>139.90121757933915</c:v>
                </c:pt>
                <c:pt idx="301">
                  <c:v>111.84651865685387</c:v>
                </c:pt>
                <c:pt idx="302">
                  <c:v>116.81512697964139</c:v>
                </c:pt>
                <c:pt idx="303">
                  <c:v>107.09292182182297</c:v>
                </c:pt>
                <c:pt idx="304">
                  <c:v>117.61128380287737</c:v>
                </c:pt>
                <c:pt idx="305">
                  <c:v>115.40342298288498</c:v>
                </c:pt>
                <c:pt idx="306">
                  <c:v>108.04880146453529</c:v>
                </c:pt>
                <c:pt idx="307">
                  <c:v>97.656989101989083</c:v>
                </c:pt>
                <c:pt idx="308">
                  <c:v>109.70869015001649</c:v>
                </c:pt>
                <c:pt idx="309">
                  <c:v>104.23756926441489</c:v>
                </c:pt>
                <c:pt idx="310">
                  <c:v>108.77984052290783</c:v>
                </c:pt>
                <c:pt idx="311">
                  <c:v>111.42755341499662</c:v>
                </c:pt>
                <c:pt idx="312">
                  <c:v>109.76889336658833</c:v>
                </c:pt>
                <c:pt idx="313">
                  <c:v>116.22538118465175</c:v>
                </c:pt>
                <c:pt idx="314">
                  <c:v>113.35774225651474</c:v>
                </c:pt>
                <c:pt idx="315">
                  <c:v>106.37908368247093</c:v>
                </c:pt>
                <c:pt idx="316">
                  <c:v>101.4092467226105</c:v>
                </c:pt>
                <c:pt idx="317">
                  <c:v>103.06176358565433</c:v>
                </c:pt>
                <c:pt idx="318">
                  <c:v>106.98234448526237</c:v>
                </c:pt>
                <c:pt idx="319">
                  <c:v>102.83938027546031</c:v>
                </c:pt>
                <c:pt idx="320">
                  <c:v>94.953987541619981</c:v>
                </c:pt>
                <c:pt idx="321">
                  <c:v>92.253443255396689</c:v>
                </c:pt>
                <c:pt idx="322">
                  <c:v>85.697435834428774</c:v>
                </c:pt>
                <c:pt idx="323">
                  <c:v>92.935336830853444</c:v>
                </c:pt>
                <c:pt idx="324">
                  <c:v>97.053728299197601</c:v>
                </c:pt>
                <c:pt idx="325">
                  <c:v>101.32447076458075</c:v>
                </c:pt>
                <c:pt idx="326">
                  <c:v>105.03618336179666</c:v>
                </c:pt>
                <c:pt idx="327">
                  <c:v>105.90360113526056</c:v>
                </c:pt>
                <c:pt idx="328">
                  <c:v>108.27609932302087</c:v>
                </c:pt>
                <c:pt idx="329">
                  <c:v>108.39773439323747</c:v>
                </c:pt>
                <c:pt idx="330">
                  <c:v>110.11291174699895</c:v>
                </c:pt>
                <c:pt idx="331">
                  <c:v>117.15914536005198</c:v>
                </c:pt>
                <c:pt idx="332">
                  <c:v>113.13904485753942</c:v>
                </c:pt>
                <c:pt idx="333">
                  <c:v>115.64546448624529</c:v>
                </c:pt>
                <c:pt idx="334">
                  <c:v>119.17779607081852</c:v>
                </c:pt>
                <c:pt idx="335">
                  <c:v>120.6877910334065</c:v>
                </c:pt>
                <c:pt idx="336">
                  <c:v>122.17444189160949</c:v>
                </c:pt>
                <c:pt idx="337">
                  <c:v>118.53890479291309</c:v>
                </c:pt>
                <c:pt idx="338">
                  <c:v>118.41235517440491</c:v>
                </c:pt>
                <c:pt idx="339">
                  <c:v>116.32735806170203</c:v>
                </c:pt>
                <c:pt idx="340">
                  <c:v>113.20661989654864</c:v>
                </c:pt>
                <c:pt idx="341">
                  <c:v>120.71359241193733</c:v>
                </c:pt>
                <c:pt idx="342">
                  <c:v>126.24123060289209</c:v>
                </c:pt>
                <c:pt idx="343">
                  <c:v>128.36185819070892</c:v>
                </c:pt>
                <c:pt idx="344">
                  <c:v>130.62992222727317</c:v>
                </c:pt>
                <c:pt idx="345">
                  <c:v>130.72452728188608</c:v>
                </c:pt>
                <c:pt idx="346">
                  <c:v>132.76283618581894</c:v>
                </c:pt>
                <c:pt idx="347">
                  <c:v>134.42395350837302</c:v>
                </c:pt>
                <c:pt idx="348">
                  <c:v>132.12885945620511</c:v>
                </c:pt>
                <c:pt idx="349">
                  <c:v>137.51274710963114</c:v>
                </c:pt>
                <c:pt idx="350">
                  <c:v>139.99459399687913</c:v>
                </c:pt>
                <c:pt idx="351">
                  <c:v>137.04217911071237</c:v>
                </c:pt>
                <c:pt idx="352">
                  <c:v>133.78629086754052</c:v>
                </c:pt>
                <c:pt idx="353">
                  <c:v>140.04496811686781</c:v>
                </c:pt>
                <c:pt idx="354">
                  <c:v>142.05501836812411</c:v>
                </c:pt>
                <c:pt idx="355">
                  <c:v>141.7134572618593</c:v>
                </c:pt>
                <c:pt idx="356">
                  <c:v>135.90814709243026</c:v>
                </c:pt>
                <c:pt idx="357">
                  <c:v>139.10506075610314</c:v>
                </c:pt>
                <c:pt idx="358">
                  <c:v>142.3081176051405</c:v>
                </c:pt>
                <c:pt idx="359">
                  <c:v>140.76740671573012</c:v>
                </c:pt>
                <c:pt idx="360">
                  <c:v>140.62734208942007</c:v>
                </c:pt>
                <c:pt idx="361">
                  <c:v>143.61538745070084</c:v>
                </c:pt>
                <c:pt idx="362">
                  <c:v>141.97392832131305</c:v>
                </c:pt>
                <c:pt idx="363">
                  <c:v>140.56959614699403</c:v>
                </c:pt>
                <c:pt idx="364">
                  <c:v>143.94220491209092</c:v>
                </c:pt>
                <c:pt idx="365">
                  <c:v>143.56255605656636</c:v>
                </c:pt>
                <c:pt idx="366">
                  <c:v>147.22266589672066</c:v>
                </c:pt>
                <c:pt idx="367">
                  <c:v>146.90322025776794</c:v>
                </c:pt>
                <c:pt idx="368">
                  <c:v>141.27974837512735</c:v>
                </c:pt>
                <c:pt idx="369">
                  <c:v>137.55083485889091</c:v>
                </c:pt>
                <c:pt idx="370">
                  <c:v>134.59473406150545</c:v>
                </c:pt>
                <c:pt idx="371">
                  <c:v>136.04944035581315</c:v>
                </c:pt>
                <c:pt idx="372">
                  <c:v>139.38273273457742</c:v>
                </c:pt>
                <c:pt idx="373">
                  <c:v>139.24758265655896</c:v>
                </c:pt>
                <c:pt idx="374">
                  <c:v>143.80705483407246</c:v>
                </c:pt>
                <c:pt idx="375">
                  <c:v>145.88468012433796</c:v>
                </c:pt>
                <c:pt idx="376">
                  <c:v>146.30364536619518</c:v>
                </c:pt>
                <c:pt idx="377">
                  <c:v>146.62677691636659</c:v>
                </c:pt>
                <c:pt idx="378">
                  <c:v>149.00418965241846</c:v>
                </c:pt>
                <c:pt idx="379">
                  <c:v>150.30163040139561</c:v>
                </c:pt>
                <c:pt idx="380">
                  <c:v>150.17016623459585</c:v>
                </c:pt>
                <c:pt idx="381">
                  <c:v>150.554729638412</c:v>
                </c:pt>
                <c:pt idx="382">
                  <c:v>147.25952500890747</c:v>
                </c:pt>
                <c:pt idx="383">
                  <c:v>135.09847526139239</c:v>
                </c:pt>
                <c:pt idx="384">
                  <c:v>138.07177697779838</c:v>
                </c:pt>
                <c:pt idx="385">
                  <c:v>131.90770478308397</c:v>
                </c:pt>
                <c:pt idx="386">
                  <c:v>132.72966298485076</c:v>
                </c:pt>
                <c:pt idx="387">
                  <c:v>130.26870292784201</c:v>
                </c:pt>
                <c:pt idx="388">
                  <c:v>132.7763511936208</c:v>
                </c:pt>
                <c:pt idx="389">
                  <c:v>137.03603592534787</c:v>
                </c:pt>
                <c:pt idx="390">
                  <c:v>132.63382929316495</c:v>
                </c:pt>
                <c:pt idx="391">
                  <c:v>127.36297625044524</c:v>
                </c:pt>
                <c:pt idx="392">
                  <c:v>134.1094224177119</c:v>
                </c:pt>
                <c:pt idx="393">
                  <c:v>133.90792593775711</c:v>
                </c:pt>
                <c:pt idx="394">
                  <c:v>137.29404971065583</c:v>
                </c:pt>
                <c:pt idx="395">
                  <c:v>138.20078387045234</c:v>
                </c:pt>
                <c:pt idx="396">
                  <c:v>141.56970672433053</c:v>
                </c:pt>
                <c:pt idx="397">
                  <c:v>135.58747281640461</c:v>
                </c:pt>
                <c:pt idx="398">
                  <c:v>134.38463712204037</c:v>
                </c:pt>
                <c:pt idx="399">
                  <c:v>133.82806452801893</c:v>
                </c:pt>
                <c:pt idx="400">
                  <c:v>139.01905616100046</c:v>
                </c:pt>
                <c:pt idx="401">
                  <c:v>139.94421987689043</c:v>
                </c:pt>
                <c:pt idx="402">
                  <c:v>142.04273199739515</c:v>
                </c:pt>
                <c:pt idx="403">
                  <c:v>145.35145163470148</c:v>
                </c:pt>
                <c:pt idx="404">
                  <c:v>145.49397353515729</c:v>
                </c:pt>
                <c:pt idx="405">
                  <c:v>148.63682716762278</c:v>
                </c:pt>
                <c:pt idx="406">
                  <c:v>150.31514540919741</c:v>
                </c:pt>
                <c:pt idx="407">
                  <c:v>150.25739946677135</c:v>
                </c:pt>
                <c:pt idx="408">
                  <c:v>150.16770896045</c:v>
                </c:pt>
                <c:pt idx="409">
                  <c:v>155.38941652025389</c:v>
                </c:pt>
                <c:pt idx="410">
                  <c:v>151.90254450737777</c:v>
                </c:pt>
                <c:pt idx="411">
                  <c:v>151.77722352594247</c:v>
                </c:pt>
                <c:pt idx="412">
                  <c:v>148.70931675492358</c:v>
                </c:pt>
                <c:pt idx="413">
                  <c:v>153.22947254610443</c:v>
                </c:pt>
                <c:pt idx="414">
                  <c:v>154.38070548340707</c:v>
                </c:pt>
                <c:pt idx="415">
                  <c:v>154.54288557702921</c:v>
                </c:pt>
                <c:pt idx="416">
                  <c:v>156.5799658438892</c:v>
                </c:pt>
                <c:pt idx="417">
                  <c:v>157.2741457900749</c:v>
                </c:pt>
                <c:pt idx="418">
                  <c:v>157.43878315784286</c:v>
                </c:pt>
                <c:pt idx="419">
                  <c:v>160.82859284196027</c:v>
                </c:pt>
                <c:pt idx="420">
                  <c:v>160.03489329287007</c:v>
                </c:pt>
                <c:pt idx="421">
                  <c:v>159.98451917288139</c:v>
                </c:pt>
                <c:pt idx="422">
                  <c:v>163.61145581206756</c:v>
                </c:pt>
                <c:pt idx="423">
                  <c:v>164.7590028381515</c:v>
                </c:pt>
                <c:pt idx="424">
                  <c:v>167.41654482682344</c:v>
                </c:pt>
                <c:pt idx="425">
                  <c:v>164.79709058741122</c:v>
                </c:pt>
                <c:pt idx="426">
                  <c:v>165.67433745745828</c:v>
                </c:pt>
                <c:pt idx="427">
                  <c:v>161.57437554520754</c:v>
                </c:pt>
                <c:pt idx="428">
                  <c:v>158.14156356353882</c:v>
                </c:pt>
                <c:pt idx="429">
                  <c:v>162.89884630978838</c:v>
                </c:pt>
                <c:pt idx="430">
                  <c:v>164.81552014350464</c:v>
                </c:pt>
                <c:pt idx="431">
                  <c:v>166.0416999422539</c:v>
                </c:pt>
                <c:pt idx="432">
                  <c:v>164.39655490164742</c:v>
                </c:pt>
                <c:pt idx="433">
                  <c:v>167.22119153223309</c:v>
                </c:pt>
                <c:pt idx="434">
                  <c:v>170.6110012163505</c:v>
                </c:pt>
                <c:pt idx="435">
                  <c:v>167.00495140740358</c:v>
                </c:pt>
                <c:pt idx="436">
                  <c:v>165.02684572004259</c:v>
                </c:pt>
                <c:pt idx="437">
                  <c:v>164.22577434851505</c:v>
                </c:pt>
                <c:pt idx="438">
                  <c:v>164.44938629578192</c:v>
                </c:pt>
                <c:pt idx="439">
                  <c:v>162.19360862994662</c:v>
                </c:pt>
                <c:pt idx="440">
                  <c:v>158.30865820545253</c:v>
                </c:pt>
                <c:pt idx="441">
                  <c:v>157.33680628079256</c:v>
                </c:pt>
                <c:pt idx="442">
                  <c:v>156.70651546239742</c:v>
                </c:pt>
                <c:pt idx="443">
                  <c:v>165.10547849270787</c:v>
                </c:pt>
                <c:pt idx="444">
                  <c:v>165.02193117175105</c:v>
                </c:pt>
                <c:pt idx="445">
                  <c:v>161.34093450135751</c:v>
                </c:pt>
                <c:pt idx="446">
                  <c:v>165.70505338428069</c:v>
                </c:pt>
                <c:pt idx="447">
                  <c:v>160.46614490545625</c:v>
                </c:pt>
                <c:pt idx="448">
                  <c:v>146.70540968903182</c:v>
                </c:pt>
                <c:pt idx="449">
                  <c:v>145.0799228415917</c:v>
                </c:pt>
                <c:pt idx="450">
                  <c:v>139.04362890245841</c:v>
                </c:pt>
                <c:pt idx="451">
                  <c:v>142.89294885183853</c:v>
                </c:pt>
                <c:pt idx="452">
                  <c:v>144.39680062906206</c:v>
                </c:pt>
                <c:pt idx="453">
                  <c:v>139.410991387254</c:v>
                </c:pt>
                <c:pt idx="454">
                  <c:v>144.49140568367497</c:v>
                </c:pt>
                <c:pt idx="455">
                  <c:v>134.52593038542335</c:v>
                </c:pt>
                <c:pt idx="456">
                  <c:v>135.6489046700494</c:v>
                </c:pt>
                <c:pt idx="457">
                  <c:v>138.36296396407457</c:v>
                </c:pt>
                <c:pt idx="458">
                  <c:v>145.76550232826716</c:v>
                </c:pt>
                <c:pt idx="459">
                  <c:v>146.7398115270729</c:v>
                </c:pt>
                <c:pt idx="460">
                  <c:v>154.09566168249552</c:v>
                </c:pt>
                <c:pt idx="461">
                  <c:v>147.81364032878318</c:v>
                </c:pt>
                <c:pt idx="462">
                  <c:v>148.10728458920508</c:v>
                </c:pt>
                <c:pt idx="463">
                  <c:v>142.21474118760048</c:v>
                </c:pt>
                <c:pt idx="464">
                  <c:v>134.88100649949001</c:v>
                </c:pt>
                <c:pt idx="465">
                  <c:v>145.91785332530614</c:v>
                </c:pt>
                <c:pt idx="466">
                  <c:v>145.8748510277548</c:v>
                </c:pt>
                <c:pt idx="467">
                  <c:v>140.86078313327016</c:v>
                </c:pt>
                <c:pt idx="468">
                  <c:v>145.25438930594279</c:v>
                </c:pt>
                <c:pt idx="469">
                  <c:v>145.29739160349411</c:v>
                </c:pt>
                <c:pt idx="470">
                  <c:v>146.41299406568282</c:v>
                </c:pt>
                <c:pt idx="471">
                  <c:v>147.56668427713126</c:v>
                </c:pt>
                <c:pt idx="472">
                  <c:v>151.81531127520233</c:v>
                </c:pt>
                <c:pt idx="473">
                  <c:v>153.09309383101316</c:v>
                </c:pt>
                <c:pt idx="474">
                  <c:v>156.49641852293243</c:v>
                </c:pt>
                <c:pt idx="475">
                  <c:v>155.99513459719125</c:v>
                </c:pt>
                <c:pt idx="476">
                  <c:v>158.25459817424522</c:v>
                </c:pt>
                <c:pt idx="477">
                  <c:v>159.7928517895098</c:v>
                </c:pt>
                <c:pt idx="478">
                  <c:v>159.53852391542054</c:v>
                </c:pt>
                <c:pt idx="479">
                  <c:v>158.72270889901822</c:v>
                </c:pt>
                <c:pt idx="480">
                  <c:v>162.29804278114278</c:v>
                </c:pt>
                <c:pt idx="481">
                  <c:v>160.73644506149319</c:v>
                </c:pt>
                <c:pt idx="482">
                  <c:v>161.19841260090172</c:v>
                </c:pt>
                <c:pt idx="483">
                  <c:v>158.37500460738892</c:v>
                </c:pt>
                <c:pt idx="484">
                  <c:v>155.83418314064198</c:v>
                </c:pt>
                <c:pt idx="485">
                  <c:v>157.47564227002977</c:v>
                </c:pt>
                <c:pt idx="486">
                  <c:v>159.56432529395136</c:v>
                </c:pt>
                <c:pt idx="487">
                  <c:v>155.42136108414928</c:v>
                </c:pt>
                <c:pt idx="488">
                  <c:v>152.64586993647941</c:v>
                </c:pt>
                <c:pt idx="489">
                  <c:v>144.78627858116985</c:v>
                </c:pt>
                <c:pt idx="490">
                  <c:v>146.0308879360125</c:v>
                </c:pt>
                <c:pt idx="491">
                  <c:v>141.65816859357909</c:v>
                </c:pt>
                <c:pt idx="492">
                  <c:v>146.06774704819938</c:v>
                </c:pt>
                <c:pt idx="493">
                  <c:v>148.48447617058392</c:v>
                </c:pt>
                <c:pt idx="494">
                  <c:v>148.13308596773595</c:v>
                </c:pt>
                <c:pt idx="495">
                  <c:v>151.82514037178552</c:v>
                </c:pt>
                <c:pt idx="496">
                  <c:v>151.04372719342425</c:v>
                </c:pt>
                <c:pt idx="497">
                  <c:v>150.57561646865125</c:v>
                </c:pt>
                <c:pt idx="498">
                  <c:v>151.28822597093037</c:v>
                </c:pt>
                <c:pt idx="499">
                  <c:v>153.58209138602541</c:v>
                </c:pt>
                <c:pt idx="500">
                  <c:v>154.76526888722333</c:v>
                </c:pt>
                <c:pt idx="501">
                  <c:v>157.06404885060991</c:v>
                </c:pt>
                <c:pt idx="502">
                  <c:v>158.52244105613636</c:v>
                </c:pt>
                <c:pt idx="503">
                  <c:v>157.98306938113541</c:v>
                </c:pt>
                <c:pt idx="504">
                  <c:v>157.16848300180601</c:v>
                </c:pt>
                <c:pt idx="505">
                  <c:v>161.20701306041198</c:v>
                </c:pt>
                <c:pt idx="506">
                  <c:v>165.57236058040803</c:v>
                </c:pt>
                <c:pt idx="507">
                  <c:v>164.39778353872038</c:v>
                </c:pt>
                <c:pt idx="508">
                  <c:v>161.13575211018406</c:v>
                </c:pt>
                <c:pt idx="509">
                  <c:v>163.97758965979031</c:v>
                </c:pt>
                <c:pt idx="510">
                  <c:v>160.46245899423758</c:v>
                </c:pt>
                <c:pt idx="511">
                  <c:v>162.46022287476492</c:v>
                </c:pt>
                <c:pt idx="512">
                  <c:v>159.75107812903136</c:v>
                </c:pt>
                <c:pt idx="513">
                  <c:v>160.4317430674152</c:v>
                </c:pt>
                <c:pt idx="514">
                  <c:v>156.77654777555244</c:v>
                </c:pt>
                <c:pt idx="515">
                  <c:v>153.98631298300782</c:v>
                </c:pt>
                <c:pt idx="516">
                  <c:v>160.31870845670883</c:v>
                </c:pt>
                <c:pt idx="517">
                  <c:v>161.62597830226917</c:v>
                </c:pt>
                <c:pt idx="518">
                  <c:v>162.27101276553907</c:v>
                </c:pt>
                <c:pt idx="519">
                  <c:v>162.85461537516423</c:v>
                </c:pt>
                <c:pt idx="520">
                  <c:v>164.76760329766176</c:v>
                </c:pt>
                <c:pt idx="521">
                  <c:v>163.02048138000501</c:v>
                </c:pt>
                <c:pt idx="522">
                  <c:v>168.33679399442184</c:v>
                </c:pt>
                <c:pt idx="523">
                  <c:v>169.7902716516567</c:v>
                </c:pt>
                <c:pt idx="524">
                  <c:v>170.5483407256329</c:v>
                </c:pt>
                <c:pt idx="525">
                  <c:v>172.6812546841787</c:v>
                </c:pt>
                <c:pt idx="526">
                  <c:v>174.07207185069586</c:v>
                </c:pt>
                <c:pt idx="527">
                  <c:v>173.29188730940751</c:v>
                </c:pt>
                <c:pt idx="528">
                  <c:v>172.85940705974846</c:v>
                </c:pt>
                <c:pt idx="529">
                  <c:v>172.26106080524858</c:v>
                </c:pt>
                <c:pt idx="530">
                  <c:v>172.22420169306173</c:v>
                </c:pt>
                <c:pt idx="531">
                  <c:v>175.53783587865965</c:v>
                </c:pt>
                <c:pt idx="532">
                  <c:v>177.47416790554223</c:v>
                </c:pt>
                <c:pt idx="533">
                  <c:v>175.98137386197476</c:v>
                </c:pt>
                <c:pt idx="534">
                  <c:v>176.24921674386587</c:v>
                </c:pt>
                <c:pt idx="535">
                  <c:v>174.3571156516075</c:v>
                </c:pt>
                <c:pt idx="536">
                  <c:v>178.95590421545361</c:v>
                </c:pt>
                <c:pt idx="537">
                  <c:v>174.74290769249654</c:v>
                </c:pt>
                <c:pt idx="538">
                  <c:v>179.11071248663839</c:v>
                </c:pt>
                <c:pt idx="539">
                  <c:v>182.14053150839757</c:v>
                </c:pt>
                <c:pt idx="540">
                  <c:v>183.78444791193112</c:v>
                </c:pt>
                <c:pt idx="541">
                  <c:v>185.89033185487321</c:v>
                </c:pt>
                <c:pt idx="542">
                  <c:v>183.40357041933365</c:v>
                </c:pt>
                <c:pt idx="543">
                  <c:v>180.84677667063909</c:v>
                </c:pt>
                <c:pt idx="544">
                  <c:v>180.63667973117404</c:v>
                </c:pt>
                <c:pt idx="545">
                  <c:v>179.8515806415941</c:v>
                </c:pt>
                <c:pt idx="546">
                  <c:v>174.61267216276968</c:v>
                </c:pt>
                <c:pt idx="547">
                  <c:v>176.13126758486794</c:v>
                </c:pt>
                <c:pt idx="548">
                  <c:v>178.03565504785524</c:v>
                </c:pt>
                <c:pt idx="549">
                  <c:v>184.08792126893619</c:v>
                </c:pt>
                <c:pt idx="550">
                  <c:v>185.95667825680954</c:v>
                </c:pt>
                <c:pt idx="551">
                  <c:v>186.28718162941831</c:v>
                </c:pt>
                <c:pt idx="552">
                  <c:v>188.45449742600516</c:v>
                </c:pt>
                <c:pt idx="553">
                  <c:v>187.60059466034315</c:v>
                </c:pt>
                <c:pt idx="554">
                  <c:v>185.37676155840313</c:v>
                </c:pt>
                <c:pt idx="555">
                  <c:v>185.33867380914339</c:v>
                </c:pt>
                <c:pt idx="556">
                  <c:v>180.94629627354362</c:v>
                </c:pt>
                <c:pt idx="557">
                  <c:v>184.59043383175029</c:v>
                </c:pt>
                <c:pt idx="558">
                  <c:v>188.43852514405754</c:v>
                </c:pt>
                <c:pt idx="559">
                  <c:v>192.06791905738947</c:v>
                </c:pt>
                <c:pt idx="560">
                  <c:v>191.05183619810529</c:v>
                </c:pt>
                <c:pt idx="561">
                  <c:v>190.13158703050692</c:v>
                </c:pt>
                <c:pt idx="562">
                  <c:v>191.34179454730852</c:v>
                </c:pt>
                <c:pt idx="563">
                  <c:v>196.35340516764742</c:v>
                </c:pt>
                <c:pt idx="564">
                  <c:v>197.55992677323033</c:v>
                </c:pt>
                <c:pt idx="565">
                  <c:v>196.31900332960632</c:v>
                </c:pt>
                <c:pt idx="566">
                  <c:v>196.12487867208893</c:v>
                </c:pt>
                <c:pt idx="567">
                  <c:v>199.2235013699302</c:v>
                </c:pt>
                <c:pt idx="568">
                  <c:v>199.42622648695789</c:v>
                </c:pt>
                <c:pt idx="569">
                  <c:v>200.07371822437355</c:v>
                </c:pt>
                <c:pt idx="570">
                  <c:v>198.13124301212648</c:v>
                </c:pt>
                <c:pt idx="571">
                  <c:v>195.06947942647207</c:v>
                </c:pt>
                <c:pt idx="572">
                  <c:v>199.85747809954404</c:v>
                </c:pt>
                <c:pt idx="573">
                  <c:v>203.23623005000539</c:v>
                </c:pt>
                <c:pt idx="574">
                  <c:v>202.2398053838875</c:v>
                </c:pt>
                <c:pt idx="575">
                  <c:v>203.35295057193039</c:v>
                </c:pt>
                <c:pt idx="576">
                  <c:v>203.62447936504023</c:v>
                </c:pt>
                <c:pt idx="577">
                  <c:v>198.83770932904116</c:v>
                </c:pt>
                <c:pt idx="578">
                  <c:v>196.39272155398007</c:v>
                </c:pt>
                <c:pt idx="579">
                  <c:v>198.02926613507626</c:v>
                </c:pt>
                <c:pt idx="580">
                  <c:v>202.73986067255581</c:v>
                </c:pt>
                <c:pt idx="581">
                  <c:v>203.93532454448268</c:v>
                </c:pt>
                <c:pt idx="582">
                  <c:v>205.84585519283448</c:v>
                </c:pt>
                <c:pt idx="583">
                  <c:v>206.55477878389493</c:v>
                </c:pt>
                <c:pt idx="584">
                  <c:v>201.6353159440232</c:v>
                </c:pt>
                <c:pt idx="585">
                  <c:v>203.14039635831961</c:v>
                </c:pt>
                <c:pt idx="586">
                  <c:v>204.17982332198878</c:v>
                </c:pt>
                <c:pt idx="587">
                  <c:v>205.95028934403052</c:v>
                </c:pt>
                <c:pt idx="588">
                  <c:v>201.3035839343415</c:v>
                </c:pt>
                <c:pt idx="589">
                  <c:v>205.25610939784482</c:v>
                </c:pt>
                <c:pt idx="590">
                  <c:v>205.27576759101117</c:v>
                </c:pt>
                <c:pt idx="591">
                  <c:v>207.51557297489884</c:v>
                </c:pt>
                <c:pt idx="592">
                  <c:v>206.82385030285892</c:v>
                </c:pt>
                <c:pt idx="593">
                  <c:v>206.86439532626446</c:v>
                </c:pt>
                <c:pt idx="594">
                  <c:v>208.61520315513988</c:v>
                </c:pt>
                <c:pt idx="595">
                  <c:v>210.73337346881092</c:v>
                </c:pt>
                <c:pt idx="596">
                  <c:v>213.10341438242543</c:v>
                </c:pt>
                <c:pt idx="597">
                  <c:v>212.21142386750364</c:v>
                </c:pt>
                <c:pt idx="598">
                  <c:v>214.69572802889743</c:v>
                </c:pt>
                <c:pt idx="599">
                  <c:v>213.88851347200537</c:v>
                </c:pt>
                <c:pt idx="600">
                  <c:v>216.66277598260237</c:v>
                </c:pt>
                <c:pt idx="601">
                  <c:v>213.29385312872418</c:v>
                </c:pt>
                <c:pt idx="602">
                  <c:v>214.31239326215419</c:v>
                </c:pt>
                <c:pt idx="603">
                  <c:v>214.79647626887484</c:v>
                </c:pt>
                <c:pt idx="604">
                  <c:v>209.57599734614382</c:v>
                </c:pt>
                <c:pt idx="605">
                  <c:v>207.71215490656203</c:v>
                </c:pt>
                <c:pt idx="606">
                  <c:v>210.62033885810462</c:v>
                </c:pt>
                <c:pt idx="607">
                  <c:v>213.28648130628684</c:v>
                </c:pt>
                <c:pt idx="608">
                  <c:v>214.85053630008221</c:v>
                </c:pt>
                <c:pt idx="609">
                  <c:v>215.08889189222387</c:v>
                </c:pt>
                <c:pt idx="610">
                  <c:v>212.49278175719667</c:v>
                </c:pt>
                <c:pt idx="611">
                  <c:v>213.82216707006907</c:v>
                </c:pt>
                <c:pt idx="612">
                  <c:v>209.83523976852467</c:v>
                </c:pt>
                <c:pt idx="613">
                  <c:v>205.83234018503265</c:v>
                </c:pt>
                <c:pt idx="614">
                  <c:v>199.85993537368989</c:v>
                </c:pt>
                <c:pt idx="615">
                  <c:v>198.24796353405159</c:v>
                </c:pt>
                <c:pt idx="616">
                  <c:v>204.92192011401744</c:v>
                </c:pt>
                <c:pt idx="617">
                  <c:v>209.86226978412836</c:v>
                </c:pt>
                <c:pt idx="618">
                  <c:v>209.7295769802557</c:v>
                </c:pt>
                <c:pt idx="619">
                  <c:v>210.98155815753574</c:v>
                </c:pt>
                <c:pt idx="620">
                  <c:v>213.44374685161739</c:v>
                </c:pt>
                <c:pt idx="621">
                  <c:v>213.72141883009166</c:v>
                </c:pt>
                <c:pt idx="622">
                  <c:v>213.60101239694797</c:v>
                </c:pt>
                <c:pt idx="623">
                  <c:v>205.80162425821027</c:v>
                </c:pt>
                <c:pt idx="624">
                  <c:v>210.95698541607783</c:v>
                </c:pt>
                <c:pt idx="625">
                  <c:v>212.48295266061348</c:v>
                </c:pt>
                <c:pt idx="626">
                  <c:v>209.44699045348983</c:v>
                </c:pt>
                <c:pt idx="627">
                  <c:v>206.87791033406631</c:v>
                </c:pt>
                <c:pt idx="628">
                  <c:v>205.81513926601212</c:v>
                </c:pt>
                <c:pt idx="629">
                  <c:v>209.81926748657705</c:v>
                </c:pt>
                <c:pt idx="630">
                  <c:v>206.10878352643402</c:v>
                </c:pt>
                <c:pt idx="631">
                  <c:v>211.3931515769556</c:v>
                </c:pt>
                <c:pt idx="632">
                  <c:v>215.27933063852262</c:v>
                </c:pt>
                <c:pt idx="633">
                  <c:v>217.23409222149863</c:v>
                </c:pt>
                <c:pt idx="634">
                  <c:v>217.82015210526956</c:v>
                </c:pt>
                <c:pt idx="635">
                  <c:v>214.02734946124258</c:v>
                </c:pt>
                <c:pt idx="636">
                  <c:v>211.30346107063426</c:v>
                </c:pt>
                <c:pt idx="637">
                  <c:v>218.0302490447346</c:v>
                </c:pt>
                <c:pt idx="638">
                  <c:v>214.37505375287188</c:v>
                </c:pt>
                <c:pt idx="639">
                  <c:v>215.04343232052682</c:v>
                </c:pt>
                <c:pt idx="640">
                  <c:v>218.63228121045321</c:v>
                </c:pt>
                <c:pt idx="641">
                  <c:v>217.34712683220499</c:v>
                </c:pt>
                <c:pt idx="642">
                  <c:v>221.13747220208614</c:v>
                </c:pt>
                <c:pt idx="643">
                  <c:v>219.60659040925896</c:v>
                </c:pt>
                <c:pt idx="644">
                  <c:v>220.50349547247231</c:v>
                </c:pt>
                <c:pt idx="645">
                  <c:v>222.02209089457057</c:v>
                </c:pt>
                <c:pt idx="646">
                  <c:v>221.58469609661992</c:v>
                </c:pt>
                <c:pt idx="647">
                  <c:v>218.61262301728681</c:v>
                </c:pt>
                <c:pt idx="648">
                  <c:v>216.29295622366098</c:v>
                </c:pt>
                <c:pt idx="649">
                  <c:v>217.48964873266075</c:v>
                </c:pt>
                <c:pt idx="650">
                  <c:v>218.06833679399429</c:v>
                </c:pt>
                <c:pt idx="651">
                  <c:v>218.2329741617622</c:v>
                </c:pt>
                <c:pt idx="652">
                  <c:v>214.33450872946625</c:v>
                </c:pt>
                <c:pt idx="653">
                  <c:v>214.19075819193753</c:v>
                </c:pt>
                <c:pt idx="654">
                  <c:v>218.79937585236681</c:v>
                </c:pt>
                <c:pt idx="655">
                  <c:v>214.45860107382865</c:v>
                </c:pt>
                <c:pt idx="656">
                  <c:v>216.92816159034763</c:v>
                </c:pt>
                <c:pt idx="657">
                  <c:v>214.68467029524129</c:v>
                </c:pt>
                <c:pt idx="658">
                  <c:v>214.26079050509253</c:v>
                </c:pt>
                <c:pt idx="659">
                  <c:v>202.84306618667895</c:v>
                </c:pt>
                <c:pt idx="660">
                  <c:v>203.71662714550729</c:v>
                </c:pt>
                <c:pt idx="661">
                  <c:v>196.05484635893384</c:v>
                </c:pt>
                <c:pt idx="662">
                  <c:v>199.89802312294952</c:v>
                </c:pt>
                <c:pt idx="663">
                  <c:v>200.35261883992069</c:v>
                </c:pt>
                <c:pt idx="664">
                  <c:v>195.93075401457145</c:v>
                </c:pt>
                <c:pt idx="665">
                  <c:v>197.45794989618</c:v>
                </c:pt>
                <c:pt idx="666">
                  <c:v>205.64558734995248</c:v>
                </c:pt>
                <c:pt idx="667">
                  <c:v>206.84719440724382</c:v>
                </c:pt>
                <c:pt idx="668">
                  <c:v>209.68043149733975</c:v>
                </c:pt>
                <c:pt idx="669">
                  <c:v>209.58091189443527</c:v>
                </c:pt>
                <c:pt idx="670">
                  <c:v>209.4076740671571</c:v>
                </c:pt>
                <c:pt idx="671">
                  <c:v>203.25343096902586</c:v>
                </c:pt>
                <c:pt idx="672">
                  <c:v>209.21600668378545</c:v>
                </c:pt>
                <c:pt idx="673">
                  <c:v>208.9039328672701</c:v>
                </c:pt>
                <c:pt idx="674">
                  <c:v>208.22695384010493</c:v>
                </c:pt>
                <c:pt idx="675">
                  <c:v>201.2298657099677</c:v>
                </c:pt>
                <c:pt idx="676">
                  <c:v>200.72858178422655</c:v>
                </c:pt>
                <c:pt idx="677">
                  <c:v>205.58784140752641</c:v>
                </c:pt>
                <c:pt idx="678">
                  <c:v>204.29654384391372</c:v>
                </c:pt>
                <c:pt idx="679">
                  <c:v>191.84799302134124</c:v>
                </c:pt>
                <c:pt idx="680">
                  <c:v>186.87569878733501</c:v>
                </c:pt>
                <c:pt idx="681">
                  <c:v>188.81571672543629</c:v>
                </c:pt>
                <c:pt idx="682">
                  <c:v>191.93522625351679</c:v>
                </c:pt>
                <c:pt idx="683">
                  <c:v>187.22831762725588</c:v>
                </c:pt>
                <c:pt idx="684">
                  <c:v>182.63075770048266</c:v>
                </c:pt>
                <c:pt idx="685">
                  <c:v>188.98526864149579</c:v>
                </c:pt>
                <c:pt idx="686">
                  <c:v>190.98794707031468</c:v>
                </c:pt>
                <c:pt idx="687">
                  <c:v>197.56975586981341</c:v>
                </c:pt>
                <c:pt idx="688">
                  <c:v>199.79727488297212</c:v>
                </c:pt>
                <c:pt idx="689">
                  <c:v>202.18083080438845</c:v>
                </c:pt>
                <c:pt idx="690">
                  <c:v>199.4950301630399</c:v>
                </c:pt>
                <c:pt idx="691">
                  <c:v>201.51368087380644</c:v>
                </c:pt>
                <c:pt idx="692">
                  <c:v>200.53814303792777</c:v>
                </c:pt>
                <c:pt idx="693">
                  <c:v>205.24013711589708</c:v>
                </c:pt>
                <c:pt idx="694">
                  <c:v>207.16909732034227</c:v>
                </c:pt>
                <c:pt idx="695">
                  <c:v>205.2806821393026</c:v>
                </c:pt>
                <c:pt idx="696">
                  <c:v>201.88841518103942</c:v>
                </c:pt>
                <c:pt idx="697">
                  <c:v>200.99519602904473</c:v>
                </c:pt>
                <c:pt idx="698">
                  <c:v>201.47805039869249</c:v>
                </c:pt>
                <c:pt idx="699">
                  <c:v>205.92817387671829</c:v>
                </c:pt>
                <c:pt idx="700">
                  <c:v>206.23656178201495</c:v>
                </c:pt>
                <c:pt idx="701">
                  <c:v>204.59510265262719</c:v>
                </c:pt>
                <c:pt idx="702">
                  <c:v>200.97799511002421</c:v>
                </c:pt>
                <c:pt idx="703">
                  <c:v>197.66190365028052</c:v>
                </c:pt>
                <c:pt idx="704">
                  <c:v>203.98569866447127</c:v>
                </c:pt>
                <c:pt idx="705">
                  <c:v>204.23879790148763</c:v>
                </c:pt>
                <c:pt idx="706">
                  <c:v>208.93833470531112</c:v>
                </c:pt>
                <c:pt idx="707">
                  <c:v>209.72466243196396</c:v>
                </c:pt>
                <c:pt idx="708">
                  <c:v>211.54550257399441</c:v>
                </c:pt>
                <c:pt idx="709">
                  <c:v>210.91398311852637</c:v>
                </c:pt>
                <c:pt idx="710">
                  <c:v>213.30368222530717</c:v>
                </c:pt>
                <c:pt idx="711">
                  <c:v>212.78151146932677</c:v>
                </c:pt>
                <c:pt idx="712">
                  <c:v>212.07258787826635</c:v>
                </c:pt>
                <c:pt idx="713">
                  <c:v>213.11938666437288</c:v>
                </c:pt>
                <c:pt idx="714">
                  <c:v>209.84384022803474</c:v>
                </c:pt>
                <c:pt idx="715">
                  <c:v>208.4149353122578</c:v>
                </c:pt>
                <c:pt idx="716">
                  <c:v>212.5173544986543</c:v>
                </c:pt>
                <c:pt idx="717">
                  <c:v>212.02221375827759</c:v>
                </c:pt>
                <c:pt idx="718">
                  <c:v>210.39181236254589</c:v>
                </c:pt>
                <c:pt idx="719">
                  <c:v>208.09548967330508</c:v>
                </c:pt>
                <c:pt idx="720">
                  <c:v>209.01082429261189</c:v>
                </c:pt>
                <c:pt idx="721">
                  <c:v>207.75761447825894</c:v>
                </c:pt>
                <c:pt idx="722">
                  <c:v>203.96849774545063</c:v>
                </c:pt>
                <c:pt idx="723">
                  <c:v>208.49848263321462</c:v>
                </c:pt>
                <c:pt idx="724">
                  <c:v>208.54271356783883</c:v>
                </c:pt>
                <c:pt idx="725">
                  <c:v>211.42878205206924</c:v>
                </c:pt>
                <c:pt idx="726">
                  <c:v>209.96670393532418</c:v>
                </c:pt>
                <c:pt idx="727">
                  <c:v>216.25486847440095</c:v>
                </c:pt>
                <c:pt idx="728">
                  <c:v>215.59386172918343</c:v>
                </c:pt>
                <c:pt idx="729">
                  <c:v>216.13569067833015</c:v>
                </c:pt>
                <c:pt idx="730">
                  <c:v>215.16138147952438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04-4CF7-92C9-D5DCBF5B8CE9}"/>
            </c:ext>
          </c:extLst>
        </c:ser>
        <c:ser>
          <c:idx val="1"/>
          <c:order val="1"/>
          <c:tx>
            <c:strRef>
              <c:f>Index!$Q$1</c:f>
              <c:strCache>
                <c:ptCount val="1"/>
                <c:pt idx="0">
                  <c:v>Barclays Global Bond</c:v>
                </c:pt>
              </c:strCache>
            </c:strRef>
          </c:tx>
          <c:spPr>
            <a:ln w="12700"/>
          </c:spPr>
          <c:marker>
            <c:symbol val="none"/>
          </c:marker>
          <c:val>
            <c:numRef>
              <c:f>Index!$Q$2:$Q$732</c:f>
              <c:numCache>
                <c:formatCode>General</c:formatCode>
                <c:ptCount val="731"/>
                <c:pt idx="0">
                  <c:v>100</c:v>
                </c:pt>
                <c:pt idx="1">
                  <c:v>100.14457606566552</c:v>
                </c:pt>
                <c:pt idx="2">
                  <c:v>101.07266113235706</c:v>
                </c:pt>
                <c:pt idx="3">
                  <c:v>101.67428411528775</c:v>
                </c:pt>
                <c:pt idx="4">
                  <c:v>101.34782203152692</c:v>
                </c:pt>
                <c:pt idx="5">
                  <c:v>101.73957653203993</c:v>
                </c:pt>
                <c:pt idx="6">
                  <c:v>101.63697416285795</c:v>
                </c:pt>
                <c:pt idx="7">
                  <c:v>102.09402108012311</c:v>
                </c:pt>
                <c:pt idx="8">
                  <c:v>102.77492771196717</c:v>
                </c:pt>
                <c:pt idx="9">
                  <c:v>103.59574666542298</c:v>
                </c:pt>
                <c:pt idx="10">
                  <c:v>102.61169667008673</c:v>
                </c:pt>
                <c:pt idx="11">
                  <c:v>100.92342132263779</c:v>
                </c:pt>
                <c:pt idx="12">
                  <c:v>102.14998600876783</c:v>
                </c:pt>
                <c:pt idx="13">
                  <c:v>102.10334856823056</c:v>
                </c:pt>
                <c:pt idx="14">
                  <c:v>102.18263221714389</c:v>
                </c:pt>
                <c:pt idx="15">
                  <c:v>102.75627273575223</c:v>
                </c:pt>
                <c:pt idx="16">
                  <c:v>103.33457699841429</c:v>
                </c:pt>
                <c:pt idx="17">
                  <c:v>103.94086372539871</c:v>
                </c:pt>
                <c:pt idx="18">
                  <c:v>105.27469452476444</c:v>
                </c:pt>
                <c:pt idx="19">
                  <c:v>106.20744333550971</c:v>
                </c:pt>
                <c:pt idx="20">
                  <c:v>106.88834996735376</c:v>
                </c:pt>
                <c:pt idx="21">
                  <c:v>106.62718030034509</c:v>
                </c:pt>
                <c:pt idx="22">
                  <c:v>106.77642011006434</c:v>
                </c:pt>
                <c:pt idx="23">
                  <c:v>108.07760470105399</c:v>
                </c:pt>
                <c:pt idx="24">
                  <c:v>106.76709262195689</c:v>
                </c:pt>
                <c:pt idx="25">
                  <c:v>105.80169760283555</c:v>
                </c:pt>
                <c:pt idx="26">
                  <c:v>105.76438765040572</c:v>
                </c:pt>
                <c:pt idx="27">
                  <c:v>105.68976774554611</c:v>
                </c:pt>
                <c:pt idx="28">
                  <c:v>104.47719429157726</c:v>
                </c:pt>
                <c:pt idx="29">
                  <c:v>104.36992817834155</c:v>
                </c:pt>
                <c:pt idx="30">
                  <c:v>102.57438671765692</c:v>
                </c:pt>
                <c:pt idx="31">
                  <c:v>103.77296893946458</c:v>
                </c:pt>
                <c:pt idx="32">
                  <c:v>102.53707676522711</c:v>
                </c:pt>
                <c:pt idx="33">
                  <c:v>102.51375804495848</c:v>
                </c:pt>
                <c:pt idx="34">
                  <c:v>102.79824643223577</c:v>
                </c:pt>
                <c:pt idx="35">
                  <c:v>102.53707676522711</c:v>
                </c:pt>
                <c:pt idx="36">
                  <c:v>103.73565898703478</c:v>
                </c:pt>
                <c:pt idx="37">
                  <c:v>104.73836395858595</c:v>
                </c:pt>
                <c:pt idx="38">
                  <c:v>105.84833504337281</c:v>
                </c:pt>
                <c:pt idx="39">
                  <c:v>106.48726797873331</c:v>
                </c:pt>
                <c:pt idx="40">
                  <c:v>105.81568883499671</c:v>
                </c:pt>
                <c:pt idx="41">
                  <c:v>105.31200447719426</c:v>
                </c:pt>
                <c:pt idx="42">
                  <c:v>105.9042999720175</c:v>
                </c:pt>
                <c:pt idx="43">
                  <c:v>105.89030873985632</c:v>
                </c:pt>
                <c:pt idx="44">
                  <c:v>105.06948978640048</c:v>
                </c:pt>
                <c:pt idx="45">
                  <c:v>106.26340826415444</c:v>
                </c:pt>
                <c:pt idx="46">
                  <c:v>107.08889096166401</c:v>
                </c:pt>
                <c:pt idx="47">
                  <c:v>106.83704878276279</c:v>
                </c:pt>
                <c:pt idx="48">
                  <c:v>106.75776513384943</c:v>
                </c:pt>
                <c:pt idx="49">
                  <c:v>107.57392034325154</c:v>
                </c:pt>
                <c:pt idx="50">
                  <c:v>108.44604048129838</c:v>
                </c:pt>
                <c:pt idx="51">
                  <c:v>108.56263408264154</c:v>
                </c:pt>
                <c:pt idx="52">
                  <c:v>108.67456393993098</c:v>
                </c:pt>
                <c:pt idx="53">
                  <c:v>109.15026583341105</c:v>
                </c:pt>
                <c:pt idx="54">
                  <c:v>110.11099710847868</c:v>
                </c:pt>
                <c:pt idx="55">
                  <c:v>109.90579237011472</c:v>
                </c:pt>
                <c:pt idx="56">
                  <c:v>109.08030967260515</c:v>
                </c:pt>
                <c:pt idx="57">
                  <c:v>109.64462270310604</c:v>
                </c:pt>
                <c:pt idx="58">
                  <c:v>110.58203525790503</c:v>
                </c:pt>
                <c:pt idx="59">
                  <c:v>110.73127506762427</c:v>
                </c:pt>
                <c:pt idx="60">
                  <c:v>109.93377483443707</c:v>
                </c:pt>
                <c:pt idx="61">
                  <c:v>109.57466654230014</c:v>
                </c:pt>
                <c:pt idx="62">
                  <c:v>110.78723999626898</c:v>
                </c:pt>
                <c:pt idx="63">
                  <c:v>111.41218169946829</c:v>
                </c:pt>
                <c:pt idx="64">
                  <c:v>111.36088051487731</c:v>
                </c:pt>
                <c:pt idx="65">
                  <c:v>111.27693312191023</c:v>
                </c:pt>
                <c:pt idx="66">
                  <c:v>109.73323384012681</c:v>
                </c:pt>
                <c:pt idx="67">
                  <c:v>108.42272176102972</c:v>
                </c:pt>
                <c:pt idx="68">
                  <c:v>108.33877436806266</c:v>
                </c:pt>
                <c:pt idx="69">
                  <c:v>107.73248764107822</c:v>
                </c:pt>
                <c:pt idx="70">
                  <c:v>107.9423561234959</c:v>
                </c:pt>
                <c:pt idx="71">
                  <c:v>105.89030873985632</c:v>
                </c:pt>
                <c:pt idx="72">
                  <c:v>106.65049902061371</c:v>
                </c:pt>
                <c:pt idx="73">
                  <c:v>108.07760470105397</c:v>
                </c:pt>
                <c:pt idx="74">
                  <c:v>107.49463669433818</c:v>
                </c:pt>
                <c:pt idx="75">
                  <c:v>107.17283835463107</c:v>
                </c:pt>
                <c:pt idx="76">
                  <c:v>107.47598171812328</c:v>
                </c:pt>
                <c:pt idx="77">
                  <c:v>108.25482697509558</c:v>
                </c:pt>
                <c:pt idx="78">
                  <c:v>108.29213692752539</c:v>
                </c:pt>
                <c:pt idx="79">
                  <c:v>109.36946180393618</c:v>
                </c:pt>
                <c:pt idx="80">
                  <c:v>109.1782482977334</c:v>
                </c:pt>
                <c:pt idx="81">
                  <c:v>109.23887697043185</c:v>
                </c:pt>
                <c:pt idx="82">
                  <c:v>108.40873052886856</c:v>
                </c:pt>
                <c:pt idx="83">
                  <c:v>109.28551441096911</c:v>
                </c:pt>
                <c:pt idx="84">
                  <c:v>110.25090943009046</c:v>
                </c:pt>
                <c:pt idx="85">
                  <c:v>110.9318160619345</c:v>
                </c:pt>
                <c:pt idx="86">
                  <c:v>110.58669900195875</c:v>
                </c:pt>
                <c:pt idx="87">
                  <c:v>110.97378975841802</c:v>
                </c:pt>
                <c:pt idx="88">
                  <c:v>111.00177222274039</c:v>
                </c:pt>
                <c:pt idx="89">
                  <c:v>111.58474022945619</c:v>
                </c:pt>
                <c:pt idx="90">
                  <c:v>111.94384852159313</c:v>
                </c:pt>
                <c:pt idx="91">
                  <c:v>111.84590989646487</c:v>
                </c:pt>
                <c:pt idx="92">
                  <c:v>111.178994496782</c:v>
                </c:pt>
                <c:pt idx="93">
                  <c:v>112.58744520100736</c:v>
                </c:pt>
                <c:pt idx="94">
                  <c:v>113.21705064826041</c:v>
                </c:pt>
                <c:pt idx="95">
                  <c:v>113.33830799365731</c:v>
                </c:pt>
                <c:pt idx="96">
                  <c:v>113.58548642850481</c:v>
                </c:pt>
                <c:pt idx="97">
                  <c:v>113.17974069583062</c:v>
                </c:pt>
                <c:pt idx="98">
                  <c:v>114.15912694711314</c:v>
                </c:pt>
                <c:pt idx="99">
                  <c:v>114.46227031060535</c:v>
                </c:pt>
                <c:pt idx="100">
                  <c:v>113.99589590523271</c:v>
                </c:pt>
                <c:pt idx="101">
                  <c:v>114.91931722787052</c:v>
                </c:pt>
                <c:pt idx="102">
                  <c:v>115.05922954948232</c:v>
                </c:pt>
                <c:pt idx="103">
                  <c:v>114.89133476354817</c:v>
                </c:pt>
                <c:pt idx="104">
                  <c:v>114.89133476354817</c:v>
                </c:pt>
                <c:pt idx="105">
                  <c:v>114.63482884059323</c:v>
                </c:pt>
                <c:pt idx="106">
                  <c:v>115.50228523458632</c:v>
                </c:pt>
                <c:pt idx="107">
                  <c:v>115.24111556757765</c:v>
                </c:pt>
                <c:pt idx="108">
                  <c:v>115.2830892640612</c:v>
                </c:pt>
                <c:pt idx="109">
                  <c:v>115.2830892640612</c:v>
                </c:pt>
                <c:pt idx="110">
                  <c:v>115.59556011566087</c:v>
                </c:pt>
                <c:pt idx="111">
                  <c:v>115.40901035351182</c:v>
                </c:pt>
                <c:pt idx="112">
                  <c:v>115.13384945434196</c:v>
                </c:pt>
                <c:pt idx="113">
                  <c:v>115.31107172838355</c:v>
                </c:pt>
                <c:pt idx="114">
                  <c:v>114.928644715978</c:v>
                </c:pt>
                <c:pt idx="115">
                  <c:v>114.6301650965395</c:v>
                </c:pt>
                <c:pt idx="116">
                  <c:v>113.70208002984796</c:v>
                </c:pt>
                <c:pt idx="117">
                  <c:v>114.2570655722414</c:v>
                </c:pt>
                <c:pt idx="118">
                  <c:v>114.06585206603863</c:v>
                </c:pt>
                <c:pt idx="119">
                  <c:v>114.877343531387</c:v>
                </c:pt>
                <c:pt idx="120">
                  <c:v>115.54425893106986</c:v>
                </c:pt>
                <c:pt idx="121">
                  <c:v>115.70748997295028</c:v>
                </c:pt>
                <c:pt idx="122">
                  <c:v>116.03395205671114</c:v>
                </c:pt>
                <c:pt idx="123">
                  <c:v>115.41833784161925</c:v>
                </c:pt>
                <c:pt idx="124">
                  <c:v>115.23178807947021</c:v>
                </c:pt>
                <c:pt idx="125">
                  <c:v>115.66551627646673</c:v>
                </c:pt>
                <c:pt idx="126">
                  <c:v>116.02462456860367</c:v>
                </c:pt>
                <c:pt idx="127">
                  <c:v>115.59089637160713</c:v>
                </c:pt>
                <c:pt idx="128">
                  <c:v>115.28775300811492</c:v>
                </c:pt>
                <c:pt idx="129">
                  <c:v>116.15520940210801</c:v>
                </c:pt>
                <c:pt idx="130">
                  <c:v>115.34838168081336</c:v>
                </c:pt>
                <c:pt idx="131">
                  <c:v>115.01259210894507</c:v>
                </c:pt>
                <c:pt idx="132">
                  <c:v>114.93797220408544</c:v>
                </c:pt>
                <c:pt idx="133">
                  <c:v>115.14317694244941</c:v>
                </c:pt>
                <c:pt idx="134">
                  <c:v>114.93330846003174</c:v>
                </c:pt>
                <c:pt idx="135">
                  <c:v>114.61617386437834</c:v>
                </c:pt>
                <c:pt idx="136">
                  <c:v>115.73547243727266</c:v>
                </c:pt>
                <c:pt idx="137">
                  <c:v>115.46963902621027</c:v>
                </c:pt>
                <c:pt idx="138">
                  <c:v>116.02462456860371</c:v>
                </c:pt>
                <c:pt idx="139">
                  <c:v>117.15325062960548</c:v>
                </c:pt>
                <c:pt idx="140">
                  <c:v>116.71019494450148</c:v>
                </c:pt>
                <c:pt idx="141">
                  <c:v>115.67018002052052</c:v>
                </c:pt>
                <c:pt idx="142">
                  <c:v>115.53493144296245</c:v>
                </c:pt>
                <c:pt idx="143">
                  <c:v>114.97528215651529</c:v>
                </c:pt>
                <c:pt idx="144">
                  <c:v>114.95662718030039</c:v>
                </c:pt>
                <c:pt idx="145">
                  <c:v>114.18710941143553</c:v>
                </c:pt>
                <c:pt idx="146">
                  <c:v>114.52756272735756</c:v>
                </c:pt>
                <c:pt idx="147">
                  <c:v>113.81867363119117</c:v>
                </c:pt>
                <c:pt idx="148">
                  <c:v>112.67605633802822</c:v>
                </c:pt>
                <c:pt idx="149">
                  <c:v>113.07713832664871</c:v>
                </c:pt>
                <c:pt idx="150">
                  <c:v>113.1844044398844</c:v>
                </c:pt>
                <c:pt idx="151">
                  <c:v>113.73938998227784</c:v>
                </c:pt>
                <c:pt idx="152">
                  <c:v>113.27767932095892</c:v>
                </c:pt>
                <c:pt idx="153">
                  <c:v>113.49687529148407</c:v>
                </c:pt>
                <c:pt idx="154">
                  <c:v>114.77940490625882</c:v>
                </c:pt>
                <c:pt idx="155">
                  <c:v>114.84003357895726</c:v>
                </c:pt>
                <c:pt idx="156">
                  <c:v>114.70012125734547</c:v>
                </c:pt>
                <c:pt idx="157">
                  <c:v>115.82874731834724</c:v>
                </c:pt>
                <c:pt idx="158">
                  <c:v>116.00596959238884</c:v>
                </c:pt>
                <c:pt idx="159">
                  <c:v>115.88004850293822</c:v>
                </c:pt>
                <c:pt idx="160">
                  <c:v>115.15250443055692</c:v>
                </c:pt>
                <c:pt idx="161">
                  <c:v>114.73276746572154</c:v>
                </c:pt>
                <c:pt idx="162">
                  <c:v>114.57420016789483</c:v>
                </c:pt>
                <c:pt idx="163">
                  <c:v>114.88200727544078</c:v>
                </c:pt>
                <c:pt idx="164">
                  <c:v>114.92864471597804</c:v>
                </c:pt>
                <c:pt idx="165">
                  <c:v>114.6768025370768</c:v>
                </c:pt>
                <c:pt idx="166">
                  <c:v>113.92127600037314</c:v>
                </c:pt>
                <c:pt idx="167">
                  <c:v>115.01725585299883</c:v>
                </c:pt>
                <c:pt idx="168">
                  <c:v>114.7467586978827</c:v>
                </c:pt>
                <c:pt idx="169">
                  <c:v>114.01921462550139</c:v>
                </c:pt>
                <c:pt idx="170">
                  <c:v>113.56216770823622</c:v>
                </c:pt>
                <c:pt idx="171">
                  <c:v>113.20305941609929</c:v>
                </c:pt>
                <c:pt idx="172">
                  <c:v>114.05652457793123</c:v>
                </c:pt>
                <c:pt idx="173">
                  <c:v>114.41563287006815</c:v>
                </c:pt>
                <c:pt idx="174">
                  <c:v>114.97061841246158</c:v>
                </c:pt>
                <c:pt idx="175">
                  <c:v>114.91465348381686</c:v>
                </c:pt>
                <c:pt idx="176">
                  <c:v>115.45564779404913</c:v>
                </c:pt>
                <c:pt idx="177">
                  <c:v>115.42766532972676</c:v>
                </c:pt>
                <c:pt idx="178">
                  <c:v>116.06193452103354</c:v>
                </c:pt>
                <c:pt idx="179">
                  <c:v>115.56757765133854</c:v>
                </c:pt>
                <c:pt idx="180">
                  <c:v>114.84936106706468</c:v>
                </c:pt>
                <c:pt idx="181">
                  <c:v>114.19177315548926</c:v>
                </c:pt>
                <c:pt idx="182">
                  <c:v>115.04523831732119</c:v>
                </c:pt>
                <c:pt idx="183">
                  <c:v>115.23178807947025</c:v>
                </c:pt>
                <c:pt idx="184">
                  <c:v>115.2597705437926</c:v>
                </c:pt>
                <c:pt idx="185">
                  <c:v>115.63753381214444</c:v>
                </c:pt>
                <c:pt idx="186">
                  <c:v>116.30911295588102</c:v>
                </c:pt>
                <c:pt idx="187">
                  <c:v>117.08795821285331</c:v>
                </c:pt>
                <c:pt idx="188">
                  <c:v>116.49099897397635</c:v>
                </c:pt>
                <c:pt idx="189">
                  <c:v>117.32114541553965</c:v>
                </c:pt>
                <c:pt idx="190">
                  <c:v>117.5403413860648</c:v>
                </c:pt>
                <c:pt idx="191">
                  <c:v>118.08133569629706</c:v>
                </c:pt>
                <c:pt idx="192">
                  <c:v>117.82949351739585</c:v>
                </c:pt>
                <c:pt idx="193">
                  <c:v>117.74554612442877</c:v>
                </c:pt>
                <c:pt idx="194">
                  <c:v>119.09336815595569</c:v>
                </c:pt>
                <c:pt idx="195">
                  <c:v>118.6363212386905</c:v>
                </c:pt>
                <c:pt idx="196">
                  <c:v>118.23523925007004</c:v>
                </c:pt>
                <c:pt idx="197">
                  <c:v>117.55433261822598</c:v>
                </c:pt>
                <c:pt idx="198">
                  <c:v>118.04402574386725</c:v>
                </c:pt>
                <c:pt idx="199">
                  <c:v>118.98143829866623</c:v>
                </c:pt>
                <c:pt idx="200">
                  <c:v>118.98143829866623</c:v>
                </c:pt>
                <c:pt idx="201">
                  <c:v>119.93750582968013</c:v>
                </c:pt>
                <c:pt idx="202">
                  <c:v>119.9001958772503</c:v>
                </c:pt>
                <c:pt idx="203">
                  <c:v>120.8189534558344</c:v>
                </c:pt>
                <c:pt idx="204">
                  <c:v>121.95690700494362</c:v>
                </c:pt>
                <c:pt idx="205">
                  <c:v>121.35994776606665</c:v>
                </c:pt>
                <c:pt idx="206">
                  <c:v>120.81428971178066</c:v>
                </c:pt>
                <c:pt idx="207">
                  <c:v>120.59975748530924</c:v>
                </c:pt>
                <c:pt idx="208">
                  <c:v>120.2732954015484</c:v>
                </c:pt>
                <c:pt idx="209">
                  <c:v>120.46917265180491</c:v>
                </c:pt>
                <c:pt idx="210">
                  <c:v>119.75095606753105</c:v>
                </c:pt>
                <c:pt idx="211">
                  <c:v>119.84423094860558</c:v>
                </c:pt>
                <c:pt idx="212">
                  <c:v>119.36386531107175</c:v>
                </c:pt>
                <c:pt idx="213">
                  <c:v>119.86288592482046</c:v>
                </c:pt>
                <c:pt idx="214">
                  <c:v>120.10540061561422</c:v>
                </c:pt>
                <c:pt idx="215">
                  <c:v>120.99617572987594</c:v>
                </c:pt>
                <c:pt idx="216">
                  <c:v>121.07545937878929</c:v>
                </c:pt>
                <c:pt idx="217">
                  <c:v>122.23673164816714</c:v>
                </c:pt>
                <c:pt idx="218">
                  <c:v>121.85896837981529</c:v>
                </c:pt>
                <c:pt idx="219">
                  <c:v>122.40462643410125</c:v>
                </c:pt>
                <c:pt idx="220">
                  <c:v>122.16677548736121</c:v>
                </c:pt>
                <c:pt idx="221">
                  <c:v>122.00820818953451</c:v>
                </c:pt>
                <c:pt idx="222">
                  <c:v>122.05018188601804</c:v>
                </c:pt>
                <c:pt idx="223">
                  <c:v>121.73304729036464</c:v>
                </c:pt>
                <c:pt idx="224">
                  <c:v>122.46525510679967</c:v>
                </c:pt>
                <c:pt idx="225">
                  <c:v>122.35798899356398</c:v>
                </c:pt>
                <c:pt idx="226">
                  <c:v>122.58651245219659</c:v>
                </c:pt>
                <c:pt idx="227">
                  <c:v>122.42328141031615</c:v>
                </c:pt>
                <c:pt idx="228">
                  <c:v>121.77968473090192</c:v>
                </c:pt>
                <c:pt idx="229">
                  <c:v>121.44855890308736</c:v>
                </c:pt>
                <c:pt idx="230">
                  <c:v>121.04747691446688</c:v>
                </c:pt>
                <c:pt idx="231">
                  <c:v>120.18934800858122</c:v>
                </c:pt>
                <c:pt idx="232">
                  <c:v>119.86288592482038</c:v>
                </c:pt>
                <c:pt idx="233">
                  <c:v>120.10073687156041</c:v>
                </c:pt>
                <c:pt idx="234">
                  <c:v>120.85626340826408</c:v>
                </c:pt>
                <c:pt idx="235">
                  <c:v>120.32459658613929</c:v>
                </c:pt>
                <c:pt idx="236">
                  <c:v>121.07545937878925</c:v>
                </c:pt>
                <c:pt idx="237">
                  <c:v>122.05484563007177</c:v>
                </c:pt>
                <c:pt idx="238">
                  <c:v>122.63314989273383</c:v>
                </c:pt>
                <c:pt idx="239">
                  <c:v>123.23943661971826</c:v>
                </c:pt>
                <c:pt idx="240">
                  <c:v>122.90364704784996</c:v>
                </c:pt>
                <c:pt idx="241">
                  <c:v>123.65917358455363</c:v>
                </c:pt>
                <c:pt idx="242">
                  <c:v>123.78975841805799</c:v>
                </c:pt>
                <c:pt idx="243">
                  <c:v>124.2561328234306</c:v>
                </c:pt>
                <c:pt idx="244">
                  <c:v>125.77651338494539</c:v>
                </c:pt>
                <c:pt idx="245">
                  <c:v>125.18888163417589</c:v>
                </c:pt>
                <c:pt idx="246">
                  <c:v>125.10959798526252</c:v>
                </c:pt>
                <c:pt idx="247">
                  <c:v>125.80915959332147</c:v>
                </c:pt>
                <c:pt idx="248">
                  <c:v>125.45471504523827</c:v>
                </c:pt>
                <c:pt idx="249">
                  <c:v>125.31480272362649</c:v>
                </c:pt>
                <c:pt idx="250">
                  <c:v>127.180300345117</c:v>
                </c:pt>
                <c:pt idx="251">
                  <c:v>127.57205484563003</c:v>
                </c:pt>
                <c:pt idx="252">
                  <c:v>128.08040294748619</c:v>
                </c:pt>
                <c:pt idx="253">
                  <c:v>128.87323943661966</c:v>
                </c:pt>
                <c:pt idx="254">
                  <c:v>129.04579796660755</c:v>
                </c:pt>
                <c:pt idx="255">
                  <c:v>130.14177781923323</c:v>
                </c:pt>
                <c:pt idx="256">
                  <c:v>129.73136834250531</c:v>
                </c:pt>
                <c:pt idx="257">
                  <c:v>128.6820259304169</c:v>
                </c:pt>
                <c:pt idx="258">
                  <c:v>127.97313683425048</c:v>
                </c:pt>
                <c:pt idx="259">
                  <c:v>129.13907284768209</c:v>
                </c:pt>
                <c:pt idx="260">
                  <c:v>128.99916052607031</c:v>
                </c:pt>
                <c:pt idx="261">
                  <c:v>131.39632496968562</c:v>
                </c:pt>
                <c:pt idx="262">
                  <c:v>131.52690980318994</c:v>
                </c:pt>
                <c:pt idx="263">
                  <c:v>132.30575506016226</c:v>
                </c:pt>
                <c:pt idx="264">
                  <c:v>132.5062960544725</c:v>
                </c:pt>
                <c:pt idx="265">
                  <c:v>133.03329913254359</c:v>
                </c:pt>
                <c:pt idx="266">
                  <c:v>132.46898610204272</c:v>
                </c:pt>
                <c:pt idx="267">
                  <c:v>131.57354724372726</c:v>
                </c:pt>
                <c:pt idx="268">
                  <c:v>131.80207070235986</c:v>
                </c:pt>
                <c:pt idx="269">
                  <c:v>134.01268538382615</c:v>
                </c:pt>
                <c:pt idx="270">
                  <c:v>133.4763548176476</c:v>
                </c:pt>
                <c:pt idx="271">
                  <c:v>134.87547803376552</c:v>
                </c:pt>
                <c:pt idx="272">
                  <c:v>135.47243727264251</c:v>
                </c:pt>
                <c:pt idx="273">
                  <c:v>135.00606286726989</c:v>
                </c:pt>
                <c:pt idx="274">
                  <c:v>134.12461524111558</c:v>
                </c:pt>
                <c:pt idx="275">
                  <c:v>135.38382613562172</c:v>
                </c:pt>
                <c:pt idx="276">
                  <c:v>133.4670273295402</c:v>
                </c:pt>
                <c:pt idx="277">
                  <c:v>133.02863538848993</c:v>
                </c:pt>
                <c:pt idx="278">
                  <c:v>133.34576998414335</c:v>
                </c:pt>
                <c:pt idx="279">
                  <c:v>134.2738550508349</c:v>
                </c:pt>
                <c:pt idx="280">
                  <c:v>133.7655069489787</c:v>
                </c:pt>
                <c:pt idx="281">
                  <c:v>133.98936666355758</c:v>
                </c:pt>
                <c:pt idx="282">
                  <c:v>132.47831359015024</c:v>
                </c:pt>
                <c:pt idx="283">
                  <c:v>133.04729036470485</c:v>
                </c:pt>
                <c:pt idx="284">
                  <c:v>130.66878089730443</c:v>
                </c:pt>
                <c:pt idx="285">
                  <c:v>131.59686596399598</c:v>
                </c:pt>
                <c:pt idx="286">
                  <c:v>132.30109131610865</c:v>
                </c:pt>
                <c:pt idx="287">
                  <c:v>132.40835742934436</c:v>
                </c:pt>
                <c:pt idx="288">
                  <c:v>133.51366477007747</c:v>
                </c:pt>
                <c:pt idx="289">
                  <c:v>131.69014084507049</c:v>
                </c:pt>
                <c:pt idx="290">
                  <c:v>131.48959985076027</c:v>
                </c:pt>
                <c:pt idx="291">
                  <c:v>132.40369368529065</c:v>
                </c:pt>
                <c:pt idx="292">
                  <c:v>132.22180766719532</c:v>
                </c:pt>
                <c:pt idx="293">
                  <c:v>131.78341572614505</c:v>
                </c:pt>
                <c:pt idx="294">
                  <c:v>132.03525790504628</c:v>
                </c:pt>
                <c:pt idx="295">
                  <c:v>132.57625221527852</c:v>
                </c:pt>
                <c:pt idx="296">
                  <c:v>133.02863538848999</c:v>
                </c:pt>
                <c:pt idx="297">
                  <c:v>132.65553586419188</c:v>
                </c:pt>
                <c:pt idx="298">
                  <c:v>131.28439511239634</c:v>
                </c:pt>
                <c:pt idx="299">
                  <c:v>130.9952429810653</c:v>
                </c:pt>
                <c:pt idx="300">
                  <c:v>130.55685104001503</c:v>
                </c:pt>
                <c:pt idx="301">
                  <c:v>128.82193825202884</c:v>
                </c:pt>
                <c:pt idx="302">
                  <c:v>127.50209868482426</c:v>
                </c:pt>
                <c:pt idx="303">
                  <c:v>128.91054938904963</c:v>
                </c:pt>
                <c:pt idx="304">
                  <c:v>126.95177688648455</c:v>
                </c:pt>
                <c:pt idx="305">
                  <c:v>128.97584180580179</c:v>
                </c:pt>
                <c:pt idx="306">
                  <c:v>129.53082734819523</c:v>
                </c:pt>
                <c:pt idx="307">
                  <c:v>130.66411715325074</c:v>
                </c:pt>
                <c:pt idx="308">
                  <c:v>132.3197462923236</c:v>
                </c:pt>
                <c:pt idx="309">
                  <c:v>133.56962969872225</c:v>
                </c:pt>
                <c:pt idx="310">
                  <c:v>135.15530267698921</c:v>
                </c:pt>
                <c:pt idx="311">
                  <c:v>138.55517209215569</c:v>
                </c:pt>
                <c:pt idx="312">
                  <c:v>138.74172185430476</c:v>
                </c:pt>
                <c:pt idx="313">
                  <c:v>138.10745266299799</c:v>
                </c:pt>
                <c:pt idx="314">
                  <c:v>138.81167801511066</c:v>
                </c:pt>
                <c:pt idx="315">
                  <c:v>138.55983583620946</c:v>
                </c:pt>
                <c:pt idx="316">
                  <c:v>136.6383732860742</c:v>
                </c:pt>
                <c:pt idx="317">
                  <c:v>136.58240835742947</c:v>
                </c:pt>
                <c:pt idx="318">
                  <c:v>136.130025184218</c:v>
                </c:pt>
                <c:pt idx="319">
                  <c:v>136.93218916145895</c:v>
                </c:pt>
                <c:pt idx="320">
                  <c:v>136.19531760097018</c:v>
                </c:pt>
                <c:pt idx="321">
                  <c:v>134.6003171345958</c:v>
                </c:pt>
                <c:pt idx="322">
                  <c:v>134.67493703945541</c:v>
                </c:pt>
                <c:pt idx="323">
                  <c:v>134.68892827161662</c:v>
                </c:pt>
                <c:pt idx="324">
                  <c:v>137.58511332898067</c:v>
                </c:pt>
                <c:pt idx="325">
                  <c:v>136.31657494636713</c:v>
                </c:pt>
                <c:pt idx="326">
                  <c:v>135.86419177315565</c:v>
                </c:pt>
                <c:pt idx="327">
                  <c:v>135.72894319559759</c:v>
                </c:pt>
                <c:pt idx="328">
                  <c:v>136.6663557503966</c:v>
                </c:pt>
                <c:pt idx="329">
                  <c:v>136.78761309579349</c:v>
                </c:pt>
                <c:pt idx="330">
                  <c:v>137.09542020333942</c:v>
                </c:pt>
                <c:pt idx="331">
                  <c:v>137.51982091222854</c:v>
                </c:pt>
                <c:pt idx="332">
                  <c:v>139.18477753940886</c:v>
                </c:pt>
                <c:pt idx="333">
                  <c:v>139.21276000373123</c:v>
                </c:pt>
                <c:pt idx="334">
                  <c:v>139.49724839100855</c:v>
                </c:pt>
                <c:pt idx="335">
                  <c:v>138.6950844137676</c:v>
                </c:pt>
                <c:pt idx="336">
                  <c:v>138.57849081242443</c:v>
                </c:pt>
                <c:pt idx="337">
                  <c:v>139.1754500513014</c:v>
                </c:pt>
                <c:pt idx="338">
                  <c:v>140.76578677362207</c:v>
                </c:pt>
                <c:pt idx="339">
                  <c:v>141.43736591735865</c:v>
                </c:pt>
                <c:pt idx="340">
                  <c:v>142.8831265740138</c:v>
                </c:pt>
                <c:pt idx="341">
                  <c:v>141.97836022759088</c:v>
                </c:pt>
                <c:pt idx="342">
                  <c:v>142.03432515623561</c:v>
                </c:pt>
                <c:pt idx="343">
                  <c:v>143.31685477101036</c:v>
                </c:pt>
                <c:pt idx="344">
                  <c:v>142.70590429997219</c:v>
                </c:pt>
                <c:pt idx="345">
                  <c:v>144.03040761123043</c:v>
                </c:pt>
                <c:pt idx="346">
                  <c:v>144.19830239716458</c:v>
                </c:pt>
                <c:pt idx="347">
                  <c:v>145.31760097005889</c:v>
                </c:pt>
                <c:pt idx="348">
                  <c:v>145.47616826788558</c:v>
                </c:pt>
                <c:pt idx="349">
                  <c:v>146.87995522805718</c:v>
                </c:pt>
                <c:pt idx="350">
                  <c:v>146.96856636507798</c:v>
                </c:pt>
                <c:pt idx="351">
                  <c:v>147.55153437179379</c:v>
                </c:pt>
                <c:pt idx="352">
                  <c:v>148.25109597985275</c:v>
                </c:pt>
                <c:pt idx="353">
                  <c:v>148.33037962876611</c:v>
                </c:pt>
                <c:pt idx="354">
                  <c:v>147.82203152690991</c:v>
                </c:pt>
                <c:pt idx="355">
                  <c:v>147.91064266393073</c:v>
                </c:pt>
                <c:pt idx="356">
                  <c:v>148.31172465255122</c:v>
                </c:pt>
                <c:pt idx="357">
                  <c:v>148.28840593228259</c:v>
                </c:pt>
                <c:pt idx="358">
                  <c:v>148.843391474676</c:v>
                </c:pt>
                <c:pt idx="359">
                  <c:v>149.83676895811971</c:v>
                </c:pt>
                <c:pt idx="360">
                  <c:v>151.17059975748543</c:v>
                </c:pt>
                <c:pt idx="361">
                  <c:v>150.09327488107465</c:v>
                </c:pt>
                <c:pt idx="362">
                  <c:v>149.73416658893774</c:v>
                </c:pt>
                <c:pt idx="363">
                  <c:v>149.26312843951141</c:v>
                </c:pt>
                <c:pt idx="364">
                  <c:v>147.69611043745934</c:v>
                </c:pt>
                <c:pt idx="365">
                  <c:v>147.61682678854598</c:v>
                </c:pt>
                <c:pt idx="366">
                  <c:v>147.95261636041428</c:v>
                </c:pt>
                <c:pt idx="367">
                  <c:v>149.39371327301569</c:v>
                </c:pt>
                <c:pt idx="368">
                  <c:v>149.15119858222192</c:v>
                </c:pt>
                <c:pt idx="369">
                  <c:v>149.34707583247842</c:v>
                </c:pt>
                <c:pt idx="370">
                  <c:v>149.24913720735015</c:v>
                </c:pt>
                <c:pt idx="371">
                  <c:v>148.50293815875395</c:v>
                </c:pt>
                <c:pt idx="372">
                  <c:v>147.93396138419934</c:v>
                </c:pt>
                <c:pt idx="373">
                  <c:v>149.3610670646396</c:v>
                </c:pt>
                <c:pt idx="374">
                  <c:v>149.34707583247842</c:v>
                </c:pt>
                <c:pt idx="375">
                  <c:v>149.18384479059799</c:v>
                </c:pt>
                <c:pt idx="376">
                  <c:v>149.51963436246629</c:v>
                </c:pt>
                <c:pt idx="377">
                  <c:v>147.91530640798445</c:v>
                </c:pt>
                <c:pt idx="378">
                  <c:v>148.40499953362567</c:v>
                </c:pt>
                <c:pt idx="379">
                  <c:v>148.35369834903472</c:v>
                </c:pt>
                <c:pt idx="380">
                  <c:v>149.11388862979211</c:v>
                </c:pt>
                <c:pt idx="381">
                  <c:v>148.99263128439523</c:v>
                </c:pt>
                <c:pt idx="382">
                  <c:v>149.68752914840042</c:v>
                </c:pt>
                <c:pt idx="383">
                  <c:v>150.018654976215</c:v>
                </c:pt>
                <c:pt idx="384">
                  <c:v>149.28644715977998</c:v>
                </c:pt>
                <c:pt idx="385">
                  <c:v>150.84413767372456</c:v>
                </c:pt>
                <c:pt idx="386">
                  <c:v>149.91138886297929</c:v>
                </c:pt>
                <c:pt idx="387">
                  <c:v>150.08861113702088</c:v>
                </c:pt>
                <c:pt idx="388">
                  <c:v>150.1865497621491</c:v>
                </c:pt>
                <c:pt idx="389">
                  <c:v>150.82081895345587</c:v>
                </c:pt>
                <c:pt idx="390">
                  <c:v>151.77222274041605</c:v>
                </c:pt>
                <c:pt idx="391">
                  <c:v>153.13403600410416</c:v>
                </c:pt>
                <c:pt idx="392">
                  <c:v>153.05008861113708</c:v>
                </c:pt>
                <c:pt idx="393">
                  <c:v>154.42589310698634</c:v>
                </c:pt>
                <c:pt idx="394">
                  <c:v>154.57046917265185</c:v>
                </c:pt>
                <c:pt idx="395">
                  <c:v>155.53120044771947</c:v>
                </c:pt>
                <c:pt idx="396">
                  <c:v>156.59919783602277</c:v>
                </c:pt>
                <c:pt idx="397">
                  <c:v>156.6225165562914</c:v>
                </c:pt>
                <c:pt idx="398">
                  <c:v>157.42934427758607</c:v>
                </c:pt>
                <c:pt idx="399">
                  <c:v>157.32674190840407</c:v>
                </c:pt>
                <c:pt idx="400">
                  <c:v>157.07023598544916</c:v>
                </c:pt>
                <c:pt idx="401">
                  <c:v>156.69247271709733</c:v>
                </c:pt>
                <c:pt idx="402">
                  <c:v>156.91166868762244</c:v>
                </c:pt>
                <c:pt idx="403">
                  <c:v>158.46003171345959</c:v>
                </c:pt>
                <c:pt idx="404">
                  <c:v>159.40210801231234</c:v>
                </c:pt>
                <c:pt idx="405">
                  <c:v>160.98311724652555</c:v>
                </c:pt>
                <c:pt idx="406">
                  <c:v>160.55871653763646</c:v>
                </c:pt>
                <c:pt idx="407">
                  <c:v>160.67997388303334</c:v>
                </c:pt>
                <c:pt idx="408">
                  <c:v>160.51674284115293</c:v>
                </c:pt>
                <c:pt idx="409">
                  <c:v>161.86456487267984</c:v>
                </c:pt>
                <c:pt idx="410">
                  <c:v>159.19690327394841</c:v>
                </c:pt>
                <c:pt idx="411">
                  <c:v>158.21751702266587</c:v>
                </c:pt>
                <c:pt idx="412">
                  <c:v>157.87239996269011</c:v>
                </c:pt>
                <c:pt idx="413">
                  <c:v>156.83238503870913</c:v>
                </c:pt>
                <c:pt idx="414">
                  <c:v>155.65245779311638</c:v>
                </c:pt>
                <c:pt idx="415">
                  <c:v>155.57783788825677</c:v>
                </c:pt>
                <c:pt idx="416">
                  <c:v>155.70375897770739</c:v>
                </c:pt>
                <c:pt idx="417">
                  <c:v>157.09355470571782</c:v>
                </c:pt>
                <c:pt idx="418">
                  <c:v>156.35201940117534</c:v>
                </c:pt>
                <c:pt idx="419">
                  <c:v>156.96763361626722</c:v>
                </c:pt>
                <c:pt idx="420">
                  <c:v>156.6271803003452</c:v>
                </c:pt>
                <c:pt idx="421">
                  <c:v>157.49463669433831</c:v>
                </c:pt>
                <c:pt idx="422">
                  <c:v>156.31004570469185</c:v>
                </c:pt>
                <c:pt idx="423">
                  <c:v>155.76905139445958</c:v>
                </c:pt>
                <c:pt idx="424">
                  <c:v>156.375338121444</c:v>
                </c:pt>
                <c:pt idx="425">
                  <c:v>157.92370114728115</c:v>
                </c:pt>
                <c:pt idx="426">
                  <c:v>157.78845256972309</c:v>
                </c:pt>
                <c:pt idx="427">
                  <c:v>158.00764854024825</c:v>
                </c:pt>
                <c:pt idx="428">
                  <c:v>159.98973976308193</c:v>
                </c:pt>
                <c:pt idx="429">
                  <c:v>158.94506109504721</c:v>
                </c:pt>
                <c:pt idx="430">
                  <c:v>158.34810185617022</c:v>
                </c:pt>
                <c:pt idx="431">
                  <c:v>157.64854024811126</c:v>
                </c:pt>
                <c:pt idx="432">
                  <c:v>159.31349687529158</c:v>
                </c:pt>
                <c:pt idx="433">
                  <c:v>160.14830706090856</c:v>
                </c:pt>
                <c:pt idx="434">
                  <c:v>161.34688928271621</c:v>
                </c:pt>
                <c:pt idx="435">
                  <c:v>162.19102695644068</c:v>
                </c:pt>
                <c:pt idx="436">
                  <c:v>161.77128999160533</c:v>
                </c:pt>
                <c:pt idx="437">
                  <c:v>161.7479712713367</c:v>
                </c:pt>
                <c:pt idx="438">
                  <c:v>161.6593601343159</c:v>
                </c:pt>
                <c:pt idx="439">
                  <c:v>163.22637813636794</c:v>
                </c:pt>
                <c:pt idx="440">
                  <c:v>163.37561794608717</c:v>
                </c:pt>
                <c:pt idx="441">
                  <c:v>163.31965301744248</c:v>
                </c:pt>
                <c:pt idx="442">
                  <c:v>163.45956533905428</c:v>
                </c:pt>
                <c:pt idx="443">
                  <c:v>162.3495942542674</c:v>
                </c:pt>
                <c:pt idx="444">
                  <c:v>163.21705064826048</c:v>
                </c:pt>
                <c:pt idx="445">
                  <c:v>163.9119485122657</c:v>
                </c:pt>
                <c:pt idx="446">
                  <c:v>164.41563287006815</c:v>
                </c:pt>
                <c:pt idx="447">
                  <c:v>165.6981624848429</c:v>
                </c:pt>
                <c:pt idx="448">
                  <c:v>166.26713925939748</c:v>
                </c:pt>
                <c:pt idx="449">
                  <c:v>167.9880608152225</c:v>
                </c:pt>
                <c:pt idx="450">
                  <c:v>169.14933308460039</c:v>
                </c:pt>
                <c:pt idx="451">
                  <c:v>167.84814849361072</c:v>
                </c:pt>
                <c:pt idx="452">
                  <c:v>168.86950844137678</c:v>
                </c:pt>
                <c:pt idx="453">
                  <c:v>168.43111650032651</c:v>
                </c:pt>
                <c:pt idx="454">
                  <c:v>167.92276839847037</c:v>
                </c:pt>
                <c:pt idx="455">
                  <c:v>168.62699375058304</c:v>
                </c:pt>
                <c:pt idx="456">
                  <c:v>167.68491745173034</c:v>
                </c:pt>
                <c:pt idx="457">
                  <c:v>167.0366570282624</c:v>
                </c:pt>
                <c:pt idx="458">
                  <c:v>166.95737337934904</c:v>
                </c:pt>
                <c:pt idx="459">
                  <c:v>167.88545844604056</c:v>
                </c:pt>
                <c:pt idx="460">
                  <c:v>168.61766626247561</c:v>
                </c:pt>
                <c:pt idx="461">
                  <c:v>168.70161365544269</c:v>
                </c:pt>
                <c:pt idx="462">
                  <c:v>168.46842645275638</c:v>
                </c:pt>
                <c:pt idx="463">
                  <c:v>168.0160432795449</c:v>
                </c:pt>
                <c:pt idx="464">
                  <c:v>166.7941423374686</c:v>
                </c:pt>
                <c:pt idx="465">
                  <c:v>167.60097005876324</c:v>
                </c:pt>
                <c:pt idx="466">
                  <c:v>167.95075086279269</c:v>
                </c:pt>
                <c:pt idx="467">
                  <c:v>168.68295867922774</c:v>
                </c:pt>
                <c:pt idx="468">
                  <c:v>167.8061747971272</c:v>
                </c:pt>
                <c:pt idx="469">
                  <c:v>169.14466934054667</c:v>
                </c:pt>
                <c:pt idx="470">
                  <c:v>168.37515157168181</c:v>
                </c:pt>
                <c:pt idx="471">
                  <c:v>169.36852905512555</c:v>
                </c:pt>
                <c:pt idx="472">
                  <c:v>169.01408450704233</c:v>
                </c:pt>
                <c:pt idx="473">
                  <c:v>170.501818860181</c:v>
                </c:pt>
                <c:pt idx="474">
                  <c:v>170.59975748530928</c:v>
                </c:pt>
                <c:pt idx="475">
                  <c:v>170.60908497341671</c:v>
                </c:pt>
                <c:pt idx="476">
                  <c:v>169.96082454994877</c:v>
                </c:pt>
                <c:pt idx="477">
                  <c:v>170.41320772316021</c:v>
                </c:pt>
                <c:pt idx="478">
                  <c:v>170.70702359854496</c:v>
                </c:pt>
                <c:pt idx="479">
                  <c:v>169.69032739483265</c:v>
                </c:pt>
                <c:pt idx="480">
                  <c:v>168.35183285141321</c:v>
                </c:pt>
                <c:pt idx="481">
                  <c:v>169.07937692379454</c:v>
                </c:pt>
                <c:pt idx="482">
                  <c:v>169.44314895998517</c:v>
                </c:pt>
                <c:pt idx="483">
                  <c:v>169.71830985915506</c:v>
                </c:pt>
                <c:pt idx="484">
                  <c:v>170.52513758044969</c:v>
                </c:pt>
                <c:pt idx="485">
                  <c:v>170.58576625314811</c:v>
                </c:pt>
                <c:pt idx="486">
                  <c:v>171.30398283742198</c:v>
                </c:pt>
                <c:pt idx="487">
                  <c:v>171.87762335603034</c:v>
                </c:pt>
                <c:pt idx="488">
                  <c:v>171.83098591549307</c:v>
                </c:pt>
                <c:pt idx="489">
                  <c:v>171.87762335603034</c:v>
                </c:pt>
                <c:pt idx="490">
                  <c:v>171.28532786120707</c:v>
                </c:pt>
                <c:pt idx="491">
                  <c:v>172.86167335136656</c:v>
                </c:pt>
                <c:pt idx="492">
                  <c:v>171.69107359388127</c:v>
                </c:pt>
                <c:pt idx="493">
                  <c:v>171.84964089170799</c:v>
                </c:pt>
                <c:pt idx="494">
                  <c:v>171.77968473090206</c:v>
                </c:pt>
                <c:pt idx="495">
                  <c:v>172.3346702732955</c:v>
                </c:pt>
                <c:pt idx="496">
                  <c:v>172.80570842272186</c:v>
                </c:pt>
                <c:pt idx="497">
                  <c:v>173.57522619158672</c:v>
                </c:pt>
                <c:pt idx="498">
                  <c:v>174.43801884152609</c:v>
                </c:pt>
                <c:pt idx="499">
                  <c:v>174.18151291857114</c:v>
                </c:pt>
                <c:pt idx="500">
                  <c:v>174.33075272829038</c:v>
                </c:pt>
                <c:pt idx="501">
                  <c:v>174.34940770450527</c:v>
                </c:pt>
                <c:pt idx="502">
                  <c:v>172.96893946460227</c:v>
                </c:pt>
                <c:pt idx="503">
                  <c:v>174.44268258557983</c:v>
                </c:pt>
                <c:pt idx="504">
                  <c:v>175.33812144389526</c:v>
                </c:pt>
                <c:pt idx="505">
                  <c:v>175.47337002145332</c:v>
                </c:pt>
                <c:pt idx="506">
                  <c:v>175.2355190747133</c:v>
                </c:pt>
                <c:pt idx="507">
                  <c:v>175.83247831359026</c:v>
                </c:pt>
                <c:pt idx="508">
                  <c:v>176.3874638559837</c:v>
                </c:pt>
                <c:pt idx="509">
                  <c:v>176.11696670086758</c:v>
                </c:pt>
                <c:pt idx="510">
                  <c:v>176.76989086838924</c:v>
                </c:pt>
                <c:pt idx="511">
                  <c:v>176.29885271896288</c:v>
                </c:pt>
                <c:pt idx="512">
                  <c:v>176.06566551627657</c:v>
                </c:pt>
                <c:pt idx="513">
                  <c:v>175.84646954575143</c:v>
                </c:pt>
                <c:pt idx="514">
                  <c:v>176.44809252868214</c:v>
                </c:pt>
                <c:pt idx="515">
                  <c:v>175.92108945061108</c:v>
                </c:pt>
                <c:pt idx="516">
                  <c:v>175.56198115847417</c:v>
                </c:pt>
                <c:pt idx="517">
                  <c:v>176.16826788545859</c:v>
                </c:pt>
                <c:pt idx="518">
                  <c:v>176.13095793302878</c:v>
                </c:pt>
                <c:pt idx="519">
                  <c:v>175.84646954575146</c:v>
                </c:pt>
                <c:pt idx="520">
                  <c:v>175.7811771289993</c:v>
                </c:pt>
                <c:pt idx="521">
                  <c:v>175.63193731928004</c:v>
                </c:pt>
                <c:pt idx="522">
                  <c:v>174.00429064452956</c:v>
                </c:pt>
                <c:pt idx="523">
                  <c:v>174.52662997854691</c:v>
                </c:pt>
                <c:pt idx="524">
                  <c:v>174.48465628206336</c:v>
                </c:pt>
                <c:pt idx="525">
                  <c:v>173.81307713832678</c:v>
                </c:pt>
                <c:pt idx="526">
                  <c:v>173.48195131051222</c:v>
                </c:pt>
                <c:pt idx="527">
                  <c:v>172.96893946460233</c:v>
                </c:pt>
                <c:pt idx="528">
                  <c:v>172.86633709542036</c:v>
                </c:pt>
                <c:pt idx="529">
                  <c:v>172.87566458352782</c:v>
                </c:pt>
                <c:pt idx="530">
                  <c:v>173.56123495942558</c:v>
                </c:pt>
                <c:pt idx="531">
                  <c:v>172.19475795168378</c:v>
                </c:pt>
                <c:pt idx="532">
                  <c:v>172.20874918384496</c:v>
                </c:pt>
                <c:pt idx="533">
                  <c:v>172.94562074433372</c:v>
                </c:pt>
                <c:pt idx="534">
                  <c:v>173.3653577091691</c:v>
                </c:pt>
                <c:pt idx="535">
                  <c:v>174.3540714485591</c:v>
                </c:pt>
                <c:pt idx="536">
                  <c:v>174.00429064452962</c:v>
                </c:pt>
                <c:pt idx="537">
                  <c:v>174.05092808506686</c:v>
                </c:pt>
                <c:pt idx="538">
                  <c:v>174.72717097285718</c:v>
                </c:pt>
                <c:pt idx="539">
                  <c:v>174.36806268072024</c:v>
                </c:pt>
                <c:pt idx="540">
                  <c:v>172.67978733327129</c:v>
                </c:pt>
                <c:pt idx="541">
                  <c:v>171.83564965954682</c:v>
                </c:pt>
                <c:pt idx="542">
                  <c:v>171.79367596306329</c:v>
                </c:pt>
                <c:pt idx="543">
                  <c:v>170.8749183844792</c:v>
                </c:pt>
                <c:pt idx="544">
                  <c:v>171.57914373659187</c:v>
                </c:pt>
                <c:pt idx="545">
                  <c:v>172.63781363678777</c:v>
                </c:pt>
                <c:pt idx="546">
                  <c:v>168.7529148400337</c:v>
                </c:pt>
                <c:pt idx="547">
                  <c:v>168.70627739949646</c:v>
                </c:pt>
                <c:pt idx="548">
                  <c:v>166.75216864098513</c:v>
                </c:pt>
                <c:pt idx="549">
                  <c:v>168.64564872679804</c:v>
                </c:pt>
                <c:pt idx="550">
                  <c:v>169.61104374591937</c:v>
                </c:pt>
                <c:pt idx="551">
                  <c:v>169.96548829400257</c:v>
                </c:pt>
                <c:pt idx="552">
                  <c:v>169.75095606753118</c:v>
                </c:pt>
                <c:pt idx="553">
                  <c:v>170.6790411342227</c:v>
                </c:pt>
                <c:pt idx="554">
                  <c:v>168.65497621490547</c:v>
                </c:pt>
                <c:pt idx="555">
                  <c:v>168.60367503031446</c:v>
                </c:pt>
                <c:pt idx="556">
                  <c:v>169.07004943568708</c:v>
                </c:pt>
                <c:pt idx="557">
                  <c:v>167.59630631470958</c:v>
                </c:pt>
                <c:pt idx="558">
                  <c:v>168.23990299412381</c:v>
                </c:pt>
                <c:pt idx="559">
                  <c:v>169.97481578211</c:v>
                </c:pt>
                <c:pt idx="560">
                  <c:v>171.2293629325624</c:v>
                </c:pt>
                <c:pt idx="561">
                  <c:v>171.52317880794715</c:v>
                </c:pt>
                <c:pt idx="562">
                  <c:v>171.23869042066985</c:v>
                </c:pt>
                <c:pt idx="563">
                  <c:v>172.46525510679987</c:v>
                </c:pt>
                <c:pt idx="564">
                  <c:v>173.28141031620197</c:v>
                </c:pt>
                <c:pt idx="565">
                  <c:v>172.10614681466291</c:v>
                </c:pt>
                <c:pt idx="566">
                  <c:v>171.10344184311174</c:v>
                </c:pt>
                <c:pt idx="567">
                  <c:v>171.69107359388124</c:v>
                </c:pt>
                <c:pt idx="568">
                  <c:v>171.51385131983966</c:v>
                </c:pt>
                <c:pt idx="569">
                  <c:v>171.67241861766638</c:v>
                </c:pt>
                <c:pt idx="570">
                  <c:v>170.80962596772702</c:v>
                </c:pt>
                <c:pt idx="571">
                  <c:v>171.014830706091</c:v>
                </c:pt>
                <c:pt idx="572">
                  <c:v>170.99617572987609</c:v>
                </c:pt>
                <c:pt idx="573">
                  <c:v>170.32459658613951</c:v>
                </c:pt>
                <c:pt idx="574">
                  <c:v>170.52980132450344</c:v>
                </c:pt>
                <c:pt idx="575">
                  <c:v>171.73304729036482</c:v>
                </c:pt>
                <c:pt idx="576">
                  <c:v>171.86829586792288</c:v>
                </c:pt>
                <c:pt idx="577">
                  <c:v>172.92230202406503</c:v>
                </c:pt>
                <c:pt idx="578">
                  <c:v>173.25809159593334</c:v>
                </c:pt>
                <c:pt idx="579">
                  <c:v>173.5892174237479</c:v>
                </c:pt>
                <c:pt idx="580">
                  <c:v>173.64051860833888</c:v>
                </c:pt>
                <c:pt idx="581">
                  <c:v>173.65450984050008</c:v>
                </c:pt>
                <c:pt idx="582">
                  <c:v>174.69452476448103</c:v>
                </c:pt>
                <c:pt idx="583">
                  <c:v>173.69181979292989</c:v>
                </c:pt>
                <c:pt idx="584">
                  <c:v>174.96035817554346</c:v>
                </c:pt>
                <c:pt idx="585">
                  <c:v>174.03693685290565</c:v>
                </c:pt>
                <c:pt idx="586">
                  <c:v>174.40070888909631</c:v>
                </c:pt>
                <c:pt idx="587">
                  <c:v>174.41936386531123</c:v>
                </c:pt>
                <c:pt idx="588">
                  <c:v>176.03301930790053</c:v>
                </c:pt>
                <c:pt idx="589">
                  <c:v>175.34744893200278</c:v>
                </c:pt>
                <c:pt idx="590">
                  <c:v>175.92108945061108</c:v>
                </c:pt>
                <c:pt idx="591">
                  <c:v>176.56934987407905</c:v>
                </c:pt>
                <c:pt idx="592">
                  <c:v>176.56002238597159</c:v>
                </c:pt>
                <c:pt idx="593">
                  <c:v>177.28290271429918</c:v>
                </c:pt>
                <c:pt idx="594">
                  <c:v>177.04038802350541</c:v>
                </c:pt>
                <c:pt idx="595">
                  <c:v>177.73062214345691</c:v>
                </c:pt>
                <c:pt idx="596">
                  <c:v>176.91913067810856</c:v>
                </c:pt>
                <c:pt idx="597">
                  <c:v>176.89581195783992</c:v>
                </c:pt>
                <c:pt idx="598">
                  <c:v>177.05437925566662</c:v>
                </c:pt>
                <c:pt idx="599">
                  <c:v>178.09439417964759</c:v>
                </c:pt>
                <c:pt idx="600">
                  <c:v>177.13832664863369</c:v>
                </c:pt>
                <c:pt idx="601">
                  <c:v>178.1783415726147</c:v>
                </c:pt>
                <c:pt idx="602">
                  <c:v>178.25296147747432</c:v>
                </c:pt>
                <c:pt idx="603">
                  <c:v>178.22031526909822</c:v>
                </c:pt>
                <c:pt idx="604">
                  <c:v>177.88918944128366</c:v>
                </c:pt>
                <c:pt idx="605">
                  <c:v>178.50946740042929</c:v>
                </c:pt>
                <c:pt idx="606">
                  <c:v>179.162391567951</c:v>
                </c:pt>
                <c:pt idx="607">
                  <c:v>178.27161645368926</c:v>
                </c:pt>
                <c:pt idx="608">
                  <c:v>178.98983303796314</c:v>
                </c:pt>
                <c:pt idx="609">
                  <c:v>177.66066598265112</c:v>
                </c:pt>
                <c:pt idx="610">
                  <c:v>175.96772689114846</c:v>
                </c:pt>
                <c:pt idx="611">
                  <c:v>175.94907191493354</c:v>
                </c:pt>
                <c:pt idx="612">
                  <c:v>176.12163044492141</c:v>
                </c:pt>
                <c:pt idx="613">
                  <c:v>176.33616267139286</c:v>
                </c:pt>
                <c:pt idx="614">
                  <c:v>177.78192332804801</c:v>
                </c:pt>
                <c:pt idx="615">
                  <c:v>178.80794701986781</c:v>
                </c:pt>
                <c:pt idx="616">
                  <c:v>178.01511053073435</c:v>
                </c:pt>
                <c:pt idx="617">
                  <c:v>176.94244939837728</c:v>
                </c:pt>
                <c:pt idx="618">
                  <c:v>176.36880887976895</c:v>
                </c:pt>
                <c:pt idx="619">
                  <c:v>176.26154276653324</c:v>
                </c:pt>
                <c:pt idx="620">
                  <c:v>176.25221527842578</c:v>
                </c:pt>
                <c:pt idx="621">
                  <c:v>177.17097285700984</c:v>
                </c:pt>
                <c:pt idx="622">
                  <c:v>175.73920343251586</c:v>
                </c:pt>
                <c:pt idx="623">
                  <c:v>177.65133849454367</c:v>
                </c:pt>
                <c:pt idx="624">
                  <c:v>176.91913067810862</c:v>
                </c:pt>
                <c:pt idx="625">
                  <c:v>176.39212760003753</c:v>
                </c:pt>
                <c:pt idx="626">
                  <c:v>177.24092901781572</c:v>
                </c:pt>
                <c:pt idx="627">
                  <c:v>178.04309299505664</c:v>
                </c:pt>
                <c:pt idx="628">
                  <c:v>178.5700960731277</c:v>
                </c:pt>
                <c:pt idx="629">
                  <c:v>178.37888256692494</c:v>
                </c:pt>
                <c:pt idx="630">
                  <c:v>179.37692379442237</c:v>
                </c:pt>
                <c:pt idx="631">
                  <c:v>177.7539408637256</c:v>
                </c:pt>
                <c:pt idx="632">
                  <c:v>177.46945247644831</c:v>
                </c:pt>
                <c:pt idx="633">
                  <c:v>176.89581195783998</c:v>
                </c:pt>
                <c:pt idx="634">
                  <c:v>177.68864844697345</c:v>
                </c:pt>
                <c:pt idx="635">
                  <c:v>175.1982091222836</c:v>
                </c:pt>
                <c:pt idx="636">
                  <c:v>175.54332618225934</c:v>
                </c:pt>
                <c:pt idx="637">
                  <c:v>177.56272735752287</c:v>
                </c:pt>
                <c:pt idx="638">
                  <c:v>177.71196716724211</c:v>
                </c:pt>
                <c:pt idx="639">
                  <c:v>178.38821005503243</c:v>
                </c:pt>
                <c:pt idx="640">
                  <c:v>177.32021266672908</c:v>
                </c:pt>
                <c:pt idx="641">
                  <c:v>178.5607685850203</c:v>
                </c:pt>
                <c:pt idx="642">
                  <c:v>178.39287379908615</c:v>
                </c:pt>
                <c:pt idx="643">
                  <c:v>177.13366290458004</c:v>
                </c:pt>
                <c:pt idx="644">
                  <c:v>176.83051954108785</c:v>
                </c:pt>
                <c:pt idx="645">
                  <c:v>177.34353138699774</c:v>
                </c:pt>
                <c:pt idx="646">
                  <c:v>175.46870627739975</c:v>
                </c:pt>
                <c:pt idx="647">
                  <c:v>175.87911575412764</c:v>
                </c:pt>
                <c:pt idx="648">
                  <c:v>173.40266766159894</c:v>
                </c:pt>
                <c:pt idx="649">
                  <c:v>174.19550415073243</c:v>
                </c:pt>
                <c:pt idx="650">
                  <c:v>175.2541740509283</c:v>
                </c:pt>
                <c:pt idx="651">
                  <c:v>173.21145415539618</c:v>
                </c:pt>
                <c:pt idx="652">
                  <c:v>173.94832571588495</c:v>
                </c:pt>
                <c:pt idx="653">
                  <c:v>173.89702453129397</c:v>
                </c:pt>
                <c:pt idx="654">
                  <c:v>174.02294562074457</c:v>
                </c:pt>
                <c:pt idx="655">
                  <c:v>174.79712713366314</c:v>
                </c:pt>
                <c:pt idx="656">
                  <c:v>175.4966887417221</c:v>
                </c:pt>
                <c:pt idx="657">
                  <c:v>175.24484656282087</c:v>
                </c:pt>
                <c:pt idx="658">
                  <c:v>175.41274134875505</c:v>
                </c:pt>
                <c:pt idx="659">
                  <c:v>176.97975935080711</c:v>
                </c:pt>
                <c:pt idx="660">
                  <c:v>175.84180580169789</c:v>
                </c:pt>
                <c:pt idx="661">
                  <c:v>176.45275627273602</c:v>
                </c:pt>
                <c:pt idx="662">
                  <c:v>176.45742001678974</c:v>
                </c:pt>
                <c:pt idx="663">
                  <c:v>177.36218636321266</c:v>
                </c:pt>
                <c:pt idx="664">
                  <c:v>176.40145508814501</c:v>
                </c:pt>
                <c:pt idx="665">
                  <c:v>177.96847309019705</c:v>
                </c:pt>
                <c:pt idx="666">
                  <c:v>177.5020986848244</c:v>
                </c:pt>
                <c:pt idx="667">
                  <c:v>178.36489133476377</c:v>
                </c:pt>
                <c:pt idx="668">
                  <c:v>177.45546124428714</c:v>
                </c:pt>
                <c:pt idx="669">
                  <c:v>177.13832664863375</c:v>
                </c:pt>
                <c:pt idx="670">
                  <c:v>174.71784348474978</c:v>
                </c:pt>
                <c:pt idx="671">
                  <c:v>175.24484656282084</c:v>
                </c:pt>
                <c:pt idx="672">
                  <c:v>175.53399869415188</c:v>
                </c:pt>
                <c:pt idx="673">
                  <c:v>175.65991978360248</c:v>
                </c:pt>
                <c:pt idx="674">
                  <c:v>175.68323850387111</c:v>
                </c:pt>
                <c:pt idx="675">
                  <c:v>177.0963529521502</c:v>
                </c:pt>
                <c:pt idx="676">
                  <c:v>176.15894039735119</c:v>
                </c:pt>
                <c:pt idx="677">
                  <c:v>176.09831172465272</c:v>
                </c:pt>
                <c:pt idx="678">
                  <c:v>175.86978826602015</c:v>
                </c:pt>
                <c:pt idx="679">
                  <c:v>177.32021266672902</c:v>
                </c:pt>
                <c:pt idx="680">
                  <c:v>177.87519820912243</c:v>
                </c:pt>
                <c:pt idx="681">
                  <c:v>177.25958399403055</c:v>
                </c:pt>
                <c:pt idx="682">
                  <c:v>177.90784441749852</c:v>
                </c:pt>
                <c:pt idx="683">
                  <c:v>179.5914560208937</c:v>
                </c:pt>
                <c:pt idx="684">
                  <c:v>180.58949724839115</c:v>
                </c:pt>
                <c:pt idx="685">
                  <c:v>180.76205577837902</c:v>
                </c:pt>
                <c:pt idx="686">
                  <c:v>180.47290364704801</c:v>
                </c:pt>
                <c:pt idx="687">
                  <c:v>180.57550601622998</c:v>
                </c:pt>
                <c:pt idx="688">
                  <c:v>180.86465814756102</c:v>
                </c:pt>
                <c:pt idx="689">
                  <c:v>183.09859154929595</c:v>
                </c:pt>
                <c:pt idx="690">
                  <c:v>182.44100363772051</c:v>
                </c:pt>
                <c:pt idx="691">
                  <c:v>183.76550694897875</c:v>
                </c:pt>
                <c:pt idx="692">
                  <c:v>185.17862139725784</c:v>
                </c:pt>
                <c:pt idx="693">
                  <c:v>185.10866523645194</c:v>
                </c:pt>
                <c:pt idx="694">
                  <c:v>183.8960917824831</c:v>
                </c:pt>
                <c:pt idx="695">
                  <c:v>185.69163324316776</c:v>
                </c:pt>
                <c:pt idx="696">
                  <c:v>186.08338774368073</c:v>
                </c:pt>
                <c:pt idx="697">
                  <c:v>185.71961570749008</c:v>
                </c:pt>
                <c:pt idx="698">
                  <c:v>184.43708609271533</c:v>
                </c:pt>
                <c:pt idx="699">
                  <c:v>184.84283182538948</c:v>
                </c:pt>
                <c:pt idx="700">
                  <c:v>186.84357802443807</c:v>
                </c:pt>
                <c:pt idx="701">
                  <c:v>187.48251095979859</c:v>
                </c:pt>
                <c:pt idx="702">
                  <c:v>187.96754034138615</c:v>
                </c:pt>
                <c:pt idx="703">
                  <c:v>188.50387090756468</c:v>
                </c:pt>
                <c:pt idx="704">
                  <c:v>189.87501165936018</c:v>
                </c:pt>
                <c:pt idx="705">
                  <c:v>191.09691260143649</c:v>
                </c:pt>
                <c:pt idx="706">
                  <c:v>188.68575692565997</c:v>
                </c:pt>
                <c:pt idx="707">
                  <c:v>188.54118085999445</c:v>
                </c:pt>
                <c:pt idx="708">
                  <c:v>190.60255573174149</c:v>
                </c:pt>
                <c:pt idx="709">
                  <c:v>189.51590336722327</c:v>
                </c:pt>
                <c:pt idx="710">
                  <c:v>190.71914933308466</c:v>
                </c:pt>
                <c:pt idx="711">
                  <c:v>190.77977800578307</c:v>
                </c:pt>
                <c:pt idx="712">
                  <c:v>190.58390075552657</c:v>
                </c:pt>
                <c:pt idx="713">
                  <c:v>189.51123962316953</c:v>
                </c:pt>
                <c:pt idx="714">
                  <c:v>189.15213133103259</c:v>
                </c:pt>
                <c:pt idx="715">
                  <c:v>188.88163417591647</c:v>
                </c:pt>
                <c:pt idx="716">
                  <c:v>190.29474862419553</c:v>
                </c:pt>
                <c:pt idx="717">
                  <c:v>190.45797966607597</c:v>
                </c:pt>
                <c:pt idx="718">
                  <c:v>188.68109318160623</c:v>
                </c:pt>
                <c:pt idx="719">
                  <c:v>187.76233560302217</c:v>
                </c:pt>
                <c:pt idx="720">
                  <c:v>188.19140005596498</c:v>
                </c:pt>
                <c:pt idx="721">
                  <c:v>186.88088797686788</c:v>
                </c:pt>
                <c:pt idx="722">
                  <c:v>188.3033299132544</c:v>
                </c:pt>
                <c:pt idx="723">
                  <c:v>184.56767092621962</c:v>
                </c:pt>
                <c:pt idx="724">
                  <c:v>181.54090103535123</c:v>
                </c:pt>
                <c:pt idx="725">
                  <c:v>180.92062307620563</c:v>
                </c:pt>
                <c:pt idx="726">
                  <c:v>181.18645648726803</c:v>
                </c:pt>
                <c:pt idx="727">
                  <c:v>180.12312284301845</c:v>
                </c:pt>
                <c:pt idx="728">
                  <c:v>178.44417498367696</c:v>
                </c:pt>
                <c:pt idx="729">
                  <c:v>179.51217237198031</c:v>
                </c:pt>
                <c:pt idx="730">
                  <c:v>180.3936199981346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04-4CF7-92C9-D5DCBF5B8CE9}"/>
            </c:ext>
          </c:extLst>
        </c:ser>
        <c:ser>
          <c:idx val="2"/>
          <c:order val="2"/>
          <c:tx>
            <c:strRef>
              <c:f>Index!$R$1</c:f>
              <c:strCache>
                <c:ptCount val="1"/>
                <c:pt idx="0">
                  <c:v>MSCI Word Real Estate</c:v>
                </c:pt>
              </c:strCache>
            </c:strRef>
          </c:tx>
          <c:spPr>
            <a:ln w="12700"/>
          </c:spPr>
          <c:marker>
            <c:symbol val="none"/>
          </c:marker>
          <c:val>
            <c:numRef>
              <c:f>Index!$R$2:$R$732</c:f>
              <c:numCache>
                <c:formatCode>General</c:formatCode>
                <c:ptCount val="731"/>
                <c:pt idx="0">
                  <c:v>100</c:v>
                </c:pt>
                <c:pt idx="1">
                  <c:v>99.642362713428696</c:v>
                </c:pt>
                <c:pt idx="2">
                  <c:v>99.68850946008304</c:v>
                </c:pt>
                <c:pt idx="3">
                  <c:v>98.41947392708812</c:v>
                </c:pt>
                <c:pt idx="4">
                  <c:v>96.446700507614182</c:v>
                </c:pt>
                <c:pt idx="5">
                  <c:v>96.077526534379302</c:v>
                </c:pt>
                <c:pt idx="6">
                  <c:v>95.189201661282851</c:v>
                </c:pt>
                <c:pt idx="7">
                  <c:v>96.83894785417624</c:v>
                </c:pt>
                <c:pt idx="8">
                  <c:v>95.627595754499268</c:v>
                </c:pt>
                <c:pt idx="9">
                  <c:v>94.266266728195617</c:v>
                </c:pt>
                <c:pt idx="10">
                  <c:v>90.655283802491894</c:v>
                </c:pt>
                <c:pt idx="11">
                  <c:v>94.531610521458219</c:v>
                </c:pt>
                <c:pt idx="12">
                  <c:v>93.677895708352551</c:v>
                </c:pt>
                <c:pt idx="13">
                  <c:v>92.443470235348386</c:v>
                </c:pt>
                <c:pt idx="14">
                  <c:v>91.243654822335017</c:v>
                </c:pt>
                <c:pt idx="15">
                  <c:v>92.593447161975078</c:v>
                </c:pt>
                <c:pt idx="16">
                  <c:v>92.985694508537136</c:v>
                </c:pt>
                <c:pt idx="17">
                  <c:v>95.696815874480833</c:v>
                </c:pt>
                <c:pt idx="18">
                  <c:v>98.615597600369156</c:v>
                </c:pt>
                <c:pt idx="19">
                  <c:v>100.32302722658049</c:v>
                </c:pt>
                <c:pt idx="20">
                  <c:v>102.16889709275493</c:v>
                </c:pt>
                <c:pt idx="21">
                  <c:v>102.11121365943698</c:v>
                </c:pt>
                <c:pt idx="22">
                  <c:v>105.32994923857865</c:v>
                </c:pt>
                <c:pt idx="23">
                  <c:v>106.21827411167509</c:v>
                </c:pt>
                <c:pt idx="24">
                  <c:v>106.18366405168433</c:v>
                </c:pt>
                <c:pt idx="25">
                  <c:v>103.73788647900319</c:v>
                </c:pt>
                <c:pt idx="26">
                  <c:v>105.79141670512224</c:v>
                </c:pt>
                <c:pt idx="27">
                  <c:v>105.89524688509456</c:v>
                </c:pt>
                <c:pt idx="28">
                  <c:v>105.68758652514994</c:v>
                </c:pt>
                <c:pt idx="29">
                  <c:v>107.46423627134284</c:v>
                </c:pt>
                <c:pt idx="30">
                  <c:v>108.30641439778492</c:v>
                </c:pt>
                <c:pt idx="31">
                  <c:v>106.99123211813563</c:v>
                </c:pt>
                <c:pt idx="32">
                  <c:v>109.18320258421777</c:v>
                </c:pt>
                <c:pt idx="33">
                  <c:v>112.04430087678814</c:v>
                </c:pt>
                <c:pt idx="34">
                  <c:v>112.65574526995843</c:v>
                </c:pt>
                <c:pt idx="35">
                  <c:v>114.35163820950621</c:v>
                </c:pt>
                <c:pt idx="36">
                  <c:v>114.4670050761421</c:v>
                </c:pt>
                <c:pt idx="37">
                  <c:v>116.03599446239038</c:v>
                </c:pt>
                <c:pt idx="38">
                  <c:v>116.67051222888784</c:v>
                </c:pt>
                <c:pt idx="39">
                  <c:v>122.21965851407474</c:v>
                </c:pt>
                <c:pt idx="40">
                  <c:v>124.23857868020303</c:v>
                </c:pt>
                <c:pt idx="41">
                  <c:v>123.93862482694971</c:v>
                </c:pt>
                <c:pt idx="42">
                  <c:v>121.27365020766035</c:v>
                </c:pt>
                <c:pt idx="43">
                  <c:v>122.04660821412091</c:v>
                </c:pt>
                <c:pt idx="44">
                  <c:v>122.88878634056297</c:v>
                </c:pt>
                <c:pt idx="45">
                  <c:v>122.7503461005999</c:v>
                </c:pt>
                <c:pt idx="46">
                  <c:v>120.50069220119981</c:v>
                </c:pt>
                <c:pt idx="47">
                  <c:v>123.68481772035071</c:v>
                </c:pt>
                <c:pt idx="48">
                  <c:v>125.58837101984309</c:v>
                </c:pt>
                <c:pt idx="49">
                  <c:v>126.84586986617443</c:v>
                </c:pt>
                <c:pt idx="50">
                  <c:v>126.93816335948314</c:v>
                </c:pt>
                <c:pt idx="51">
                  <c:v>127.99953853253344</c:v>
                </c:pt>
                <c:pt idx="52">
                  <c:v>130.42224273188737</c:v>
                </c:pt>
                <c:pt idx="53">
                  <c:v>135.26765113059525</c:v>
                </c:pt>
                <c:pt idx="54">
                  <c:v>135.07152745731423</c:v>
                </c:pt>
                <c:pt idx="55">
                  <c:v>139.25934471619746</c:v>
                </c:pt>
                <c:pt idx="56">
                  <c:v>136.89432395016146</c:v>
                </c:pt>
                <c:pt idx="57">
                  <c:v>139.582371942778</c:v>
                </c:pt>
                <c:pt idx="58">
                  <c:v>141.53207198892477</c:v>
                </c:pt>
                <c:pt idx="59">
                  <c:v>140.64374711582832</c:v>
                </c:pt>
                <c:pt idx="60">
                  <c:v>141.37055837563452</c:v>
                </c:pt>
                <c:pt idx="61">
                  <c:v>144.20858329487771</c:v>
                </c:pt>
                <c:pt idx="62">
                  <c:v>139.20166128287954</c:v>
                </c:pt>
                <c:pt idx="63">
                  <c:v>142.95108444854637</c:v>
                </c:pt>
                <c:pt idx="64">
                  <c:v>142.39732348869404</c:v>
                </c:pt>
                <c:pt idx="65">
                  <c:v>145.91601292108905</c:v>
                </c:pt>
                <c:pt idx="66">
                  <c:v>142.46654360867558</c:v>
                </c:pt>
                <c:pt idx="67">
                  <c:v>137.2519612367328</c:v>
                </c:pt>
                <c:pt idx="68">
                  <c:v>134.06783571758189</c:v>
                </c:pt>
                <c:pt idx="69">
                  <c:v>131.5759113982464</c:v>
                </c:pt>
                <c:pt idx="70">
                  <c:v>128.73788647900321</c:v>
                </c:pt>
                <c:pt idx="71">
                  <c:v>124.91924319335484</c:v>
                </c:pt>
                <c:pt idx="72">
                  <c:v>129.25703737886477</c:v>
                </c:pt>
                <c:pt idx="73">
                  <c:v>136.10982925703735</c:v>
                </c:pt>
                <c:pt idx="74">
                  <c:v>134.25242270419932</c:v>
                </c:pt>
                <c:pt idx="75">
                  <c:v>135.7983387171204</c:v>
                </c:pt>
                <c:pt idx="76">
                  <c:v>135.5791416705122</c:v>
                </c:pt>
                <c:pt idx="77">
                  <c:v>136.55976003691737</c:v>
                </c:pt>
                <c:pt idx="78">
                  <c:v>138.80941393631747</c:v>
                </c:pt>
                <c:pt idx="79">
                  <c:v>139.73234886940472</c:v>
                </c:pt>
                <c:pt idx="80">
                  <c:v>141.19750807568067</c:v>
                </c:pt>
                <c:pt idx="81">
                  <c:v>137.69035532994923</c:v>
                </c:pt>
                <c:pt idx="82">
                  <c:v>137.64420858329487</c:v>
                </c:pt>
                <c:pt idx="83">
                  <c:v>139.57083525611444</c:v>
                </c:pt>
                <c:pt idx="84">
                  <c:v>138.71712044300875</c:v>
                </c:pt>
                <c:pt idx="85">
                  <c:v>142.36271342870327</c:v>
                </c:pt>
                <c:pt idx="86">
                  <c:v>144.53161052145822</c:v>
                </c:pt>
                <c:pt idx="87">
                  <c:v>146.30826026765112</c:v>
                </c:pt>
                <c:pt idx="88">
                  <c:v>147.80802953391787</c:v>
                </c:pt>
                <c:pt idx="89">
                  <c:v>147.38117212736503</c:v>
                </c:pt>
                <c:pt idx="90">
                  <c:v>145.66220581449008</c:v>
                </c:pt>
                <c:pt idx="91">
                  <c:v>147.39270881402862</c:v>
                </c:pt>
                <c:pt idx="92">
                  <c:v>148.98477157360406</c:v>
                </c:pt>
                <c:pt idx="93">
                  <c:v>149.42316566682052</c:v>
                </c:pt>
                <c:pt idx="94">
                  <c:v>149.33087217351178</c:v>
                </c:pt>
                <c:pt idx="95">
                  <c:v>151.25749884633134</c:v>
                </c:pt>
                <c:pt idx="96">
                  <c:v>154.96077526534376</c:v>
                </c:pt>
                <c:pt idx="97">
                  <c:v>158.98707891093673</c:v>
                </c:pt>
                <c:pt idx="98">
                  <c:v>158.74480849100132</c:v>
                </c:pt>
                <c:pt idx="99">
                  <c:v>162.54037840332248</c:v>
                </c:pt>
                <c:pt idx="100">
                  <c:v>165.47069681587442</c:v>
                </c:pt>
                <c:pt idx="101">
                  <c:v>163.2671896631287</c:v>
                </c:pt>
                <c:pt idx="102">
                  <c:v>165.06691278264879</c:v>
                </c:pt>
                <c:pt idx="103">
                  <c:v>168.1818181818181</c:v>
                </c:pt>
                <c:pt idx="104">
                  <c:v>170.59298569450846</c:v>
                </c:pt>
                <c:pt idx="105">
                  <c:v>163.02491924319327</c:v>
                </c:pt>
                <c:pt idx="106">
                  <c:v>163.87863405629895</c:v>
                </c:pt>
                <c:pt idx="107">
                  <c:v>163.99400092293484</c:v>
                </c:pt>
                <c:pt idx="108">
                  <c:v>163.05952930318404</c:v>
                </c:pt>
                <c:pt idx="109">
                  <c:v>164.70927549607742</c:v>
                </c:pt>
                <c:pt idx="110">
                  <c:v>166.97046608214106</c:v>
                </c:pt>
                <c:pt idx="111">
                  <c:v>167.91647438855549</c:v>
                </c:pt>
                <c:pt idx="112">
                  <c:v>165.27457314259328</c:v>
                </c:pt>
                <c:pt idx="113">
                  <c:v>167.01661282879542</c:v>
                </c:pt>
                <c:pt idx="114">
                  <c:v>165.78218735579125</c:v>
                </c:pt>
                <c:pt idx="115">
                  <c:v>165.67835717581897</c:v>
                </c:pt>
                <c:pt idx="116">
                  <c:v>160.70604522381157</c:v>
                </c:pt>
                <c:pt idx="117">
                  <c:v>160.50992155053052</c:v>
                </c:pt>
                <c:pt idx="118">
                  <c:v>160.9252422704198</c:v>
                </c:pt>
                <c:pt idx="119">
                  <c:v>161.05214582371926</c:v>
                </c:pt>
                <c:pt idx="120">
                  <c:v>162.85186894323934</c:v>
                </c:pt>
                <c:pt idx="121">
                  <c:v>165.30918320258405</c:v>
                </c:pt>
                <c:pt idx="122">
                  <c:v>165.70143054914612</c:v>
                </c:pt>
                <c:pt idx="123">
                  <c:v>164.29395477618812</c:v>
                </c:pt>
                <c:pt idx="124">
                  <c:v>166.28980156898922</c:v>
                </c:pt>
                <c:pt idx="125">
                  <c:v>165.56299030918305</c:v>
                </c:pt>
                <c:pt idx="126">
                  <c:v>167.84725426857392</c:v>
                </c:pt>
                <c:pt idx="127">
                  <c:v>169.40470696815859</c:v>
                </c:pt>
                <c:pt idx="128">
                  <c:v>173.02722658052591</c:v>
                </c:pt>
                <c:pt idx="129">
                  <c:v>171.52745731425921</c:v>
                </c:pt>
                <c:pt idx="130">
                  <c:v>171.55053068758636</c:v>
                </c:pt>
                <c:pt idx="131">
                  <c:v>172.50807568066435</c:v>
                </c:pt>
                <c:pt idx="132">
                  <c:v>174.53853253345622</c:v>
                </c:pt>
                <c:pt idx="133">
                  <c:v>177.38809413936301</c:v>
                </c:pt>
                <c:pt idx="134">
                  <c:v>179.63774803876311</c:v>
                </c:pt>
                <c:pt idx="135">
                  <c:v>178.06875865251482</c:v>
                </c:pt>
                <c:pt idx="136">
                  <c:v>179.32625749884616</c:v>
                </c:pt>
                <c:pt idx="137">
                  <c:v>176.37286571296707</c:v>
                </c:pt>
                <c:pt idx="138">
                  <c:v>176.49976926626658</c:v>
                </c:pt>
                <c:pt idx="139">
                  <c:v>181.7835717581909</c:v>
                </c:pt>
                <c:pt idx="140">
                  <c:v>183.8947854176279</c:v>
                </c:pt>
                <c:pt idx="141">
                  <c:v>182.24503922473448</c:v>
                </c:pt>
                <c:pt idx="142">
                  <c:v>179.19935394554668</c:v>
                </c:pt>
                <c:pt idx="143">
                  <c:v>182.16428241808936</c:v>
                </c:pt>
                <c:pt idx="144">
                  <c:v>175.77295800646041</c:v>
                </c:pt>
                <c:pt idx="145">
                  <c:v>174.4808491001383</c:v>
                </c:pt>
                <c:pt idx="146">
                  <c:v>172.95800646054437</c:v>
                </c:pt>
                <c:pt idx="147">
                  <c:v>175.03461005999063</c:v>
                </c:pt>
                <c:pt idx="148">
                  <c:v>176.36132902630351</c:v>
                </c:pt>
                <c:pt idx="149">
                  <c:v>180.12228887863392</c:v>
                </c:pt>
                <c:pt idx="150">
                  <c:v>181.77203507152734</c:v>
                </c:pt>
                <c:pt idx="151">
                  <c:v>183.62944162436534</c:v>
                </c:pt>
                <c:pt idx="152">
                  <c:v>183.79095523765562</c:v>
                </c:pt>
                <c:pt idx="153">
                  <c:v>184.07937240424536</c:v>
                </c:pt>
                <c:pt idx="154">
                  <c:v>187.45962159667729</c:v>
                </c:pt>
                <c:pt idx="155">
                  <c:v>190.29764651592046</c:v>
                </c:pt>
                <c:pt idx="156">
                  <c:v>190.06691278264867</c:v>
                </c:pt>
                <c:pt idx="157">
                  <c:v>196.38901707429611</c:v>
                </c:pt>
                <c:pt idx="158">
                  <c:v>196.86202122750333</c:v>
                </c:pt>
                <c:pt idx="159">
                  <c:v>195.66220581448997</c:v>
                </c:pt>
                <c:pt idx="160">
                  <c:v>201.02676511305941</c:v>
                </c:pt>
                <c:pt idx="161">
                  <c:v>200.05768343331783</c:v>
                </c:pt>
                <c:pt idx="162">
                  <c:v>198.71942778034136</c:v>
                </c:pt>
                <c:pt idx="163">
                  <c:v>199.13474850023061</c:v>
                </c:pt>
                <c:pt idx="164">
                  <c:v>204.70696815874467</c:v>
                </c:pt>
                <c:pt idx="165">
                  <c:v>204.74157821873547</c:v>
                </c:pt>
                <c:pt idx="166">
                  <c:v>205.92985694508528</c:v>
                </c:pt>
                <c:pt idx="167">
                  <c:v>212.36732810336861</c:v>
                </c:pt>
                <c:pt idx="168">
                  <c:v>210.20996769727722</c:v>
                </c:pt>
                <c:pt idx="169">
                  <c:v>212.93262574988449</c:v>
                </c:pt>
                <c:pt idx="170">
                  <c:v>211.82510383017987</c:v>
                </c:pt>
                <c:pt idx="171">
                  <c:v>206.64513151822786</c:v>
                </c:pt>
                <c:pt idx="172">
                  <c:v>212.07891093677884</c:v>
                </c:pt>
                <c:pt idx="173">
                  <c:v>212.88647900323014</c:v>
                </c:pt>
                <c:pt idx="174">
                  <c:v>217.30502999538521</c:v>
                </c:pt>
                <c:pt idx="175">
                  <c:v>214.92847254268563</c:v>
                </c:pt>
                <c:pt idx="176">
                  <c:v>204.53391785879083</c:v>
                </c:pt>
                <c:pt idx="177">
                  <c:v>205.81449007844935</c:v>
                </c:pt>
                <c:pt idx="178">
                  <c:v>208.44485463774791</c:v>
                </c:pt>
                <c:pt idx="179">
                  <c:v>204.32625749884622</c:v>
                </c:pt>
                <c:pt idx="180">
                  <c:v>203.42639593908618</c:v>
                </c:pt>
                <c:pt idx="181">
                  <c:v>201.54591601292094</c:v>
                </c:pt>
                <c:pt idx="182">
                  <c:v>209.91001384402384</c:v>
                </c:pt>
                <c:pt idx="183">
                  <c:v>211.94047069681574</c:v>
                </c:pt>
                <c:pt idx="184">
                  <c:v>206.58744808490985</c:v>
                </c:pt>
                <c:pt idx="185">
                  <c:v>208.34102445777557</c:v>
                </c:pt>
                <c:pt idx="186">
                  <c:v>217.18966312874926</c:v>
                </c:pt>
                <c:pt idx="187">
                  <c:v>220.23534840793707</c:v>
                </c:pt>
                <c:pt idx="188">
                  <c:v>216.69358560221488</c:v>
                </c:pt>
                <c:pt idx="189">
                  <c:v>220.74296262113504</c:v>
                </c:pt>
                <c:pt idx="190">
                  <c:v>219.20858329487751</c:v>
                </c:pt>
                <c:pt idx="191">
                  <c:v>223.85786802030435</c:v>
                </c:pt>
                <c:pt idx="192">
                  <c:v>223.35025380710638</c:v>
                </c:pt>
                <c:pt idx="193">
                  <c:v>226.66128287955675</c:v>
                </c:pt>
                <c:pt idx="194">
                  <c:v>225.62298107983364</c:v>
                </c:pt>
                <c:pt idx="195">
                  <c:v>227.66497461928913</c:v>
                </c:pt>
                <c:pt idx="196">
                  <c:v>232.53345639132419</c:v>
                </c:pt>
                <c:pt idx="197">
                  <c:v>234.29856945085348</c:v>
                </c:pt>
                <c:pt idx="198">
                  <c:v>237.22888786340536</c:v>
                </c:pt>
                <c:pt idx="199">
                  <c:v>239.70927549607728</c:v>
                </c:pt>
                <c:pt idx="200">
                  <c:v>237.19427780341462</c:v>
                </c:pt>
                <c:pt idx="201">
                  <c:v>239.08629441624342</c:v>
                </c:pt>
                <c:pt idx="202">
                  <c:v>241.55514536225172</c:v>
                </c:pt>
                <c:pt idx="203">
                  <c:v>251.4190124596214</c:v>
                </c:pt>
                <c:pt idx="204">
                  <c:v>252.81495154591579</c:v>
                </c:pt>
                <c:pt idx="205">
                  <c:v>253.55329949238561</c:v>
                </c:pt>
                <c:pt idx="206">
                  <c:v>254.86848177203487</c:v>
                </c:pt>
                <c:pt idx="207">
                  <c:v>253.04568527918764</c:v>
                </c:pt>
                <c:pt idx="208">
                  <c:v>259.32164282418074</c:v>
                </c:pt>
                <c:pt idx="209">
                  <c:v>256.51822796492831</c:v>
                </c:pt>
                <c:pt idx="210">
                  <c:v>260.44070143054898</c:v>
                </c:pt>
                <c:pt idx="211">
                  <c:v>267.27041993539439</c:v>
                </c:pt>
                <c:pt idx="212">
                  <c:v>269.90078449469291</c:v>
                </c:pt>
                <c:pt idx="213">
                  <c:v>278.72634979233942</c:v>
                </c:pt>
                <c:pt idx="214">
                  <c:v>281.88740193816318</c:v>
                </c:pt>
                <c:pt idx="215">
                  <c:v>283.83710198430992</c:v>
                </c:pt>
                <c:pt idx="216">
                  <c:v>286.64051684356235</c:v>
                </c:pt>
                <c:pt idx="217">
                  <c:v>268.49330872173493</c:v>
                </c:pt>
                <c:pt idx="218">
                  <c:v>272.08121827411151</c:v>
                </c:pt>
                <c:pt idx="219">
                  <c:v>266.82048915551434</c:v>
                </c:pt>
                <c:pt idx="220">
                  <c:v>277.15736040609113</c:v>
                </c:pt>
                <c:pt idx="221">
                  <c:v>274.907706506691</c:v>
                </c:pt>
                <c:pt idx="222">
                  <c:v>277.48038763267164</c:v>
                </c:pt>
                <c:pt idx="223">
                  <c:v>275.49607752653412</c:v>
                </c:pt>
                <c:pt idx="224">
                  <c:v>278.42639593908604</c:v>
                </c:pt>
                <c:pt idx="225">
                  <c:v>278.39178587909527</c:v>
                </c:pt>
                <c:pt idx="226">
                  <c:v>279.79926165205325</c:v>
                </c:pt>
                <c:pt idx="227">
                  <c:v>280.43377941855073</c:v>
                </c:pt>
                <c:pt idx="228">
                  <c:v>271.15828334102417</c:v>
                </c:pt>
                <c:pt idx="229">
                  <c:v>268.30872173511739</c:v>
                </c:pt>
                <c:pt idx="230">
                  <c:v>279.33779418550967</c:v>
                </c:pt>
                <c:pt idx="231">
                  <c:v>267.91647438855534</c:v>
                </c:pt>
                <c:pt idx="232">
                  <c:v>266.45131518227942</c:v>
                </c:pt>
                <c:pt idx="233">
                  <c:v>261.5251499769264</c:v>
                </c:pt>
                <c:pt idx="234">
                  <c:v>257.98338717120419</c:v>
                </c:pt>
                <c:pt idx="235">
                  <c:v>264.01707429626185</c:v>
                </c:pt>
                <c:pt idx="236">
                  <c:v>263.78634056299006</c:v>
                </c:pt>
                <c:pt idx="237">
                  <c:v>259.69081679741555</c:v>
                </c:pt>
                <c:pt idx="238">
                  <c:v>241.09367789570814</c:v>
                </c:pt>
                <c:pt idx="239">
                  <c:v>241.63590216889691</c:v>
                </c:pt>
                <c:pt idx="240">
                  <c:v>244.10475311490521</c:v>
                </c:pt>
                <c:pt idx="241">
                  <c:v>231.610521458237</c:v>
                </c:pt>
                <c:pt idx="242">
                  <c:v>246.82741116751248</c:v>
                </c:pt>
                <c:pt idx="243">
                  <c:v>249.28472542685722</c:v>
                </c:pt>
                <c:pt idx="244">
                  <c:v>243.75865251499749</c:v>
                </c:pt>
                <c:pt idx="245">
                  <c:v>250.93447161975058</c:v>
                </c:pt>
                <c:pt idx="246">
                  <c:v>256.72588832487287</c:v>
                </c:pt>
                <c:pt idx="247">
                  <c:v>265.53991693585573</c:v>
                </c:pt>
                <c:pt idx="248">
                  <c:v>272.3580987540376</c:v>
                </c:pt>
                <c:pt idx="249">
                  <c:v>271.6312874942314</c:v>
                </c:pt>
                <c:pt idx="250">
                  <c:v>258.75634517766474</c:v>
                </c:pt>
                <c:pt idx="251">
                  <c:v>268.05491462851842</c:v>
                </c:pt>
                <c:pt idx="252">
                  <c:v>262.02122750346075</c:v>
                </c:pt>
                <c:pt idx="253">
                  <c:v>252.4111675126901</c:v>
                </c:pt>
                <c:pt idx="254">
                  <c:v>245.26995846792778</c:v>
                </c:pt>
                <c:pt idx="255">
                  <c:v>241.69358560221482</c:v>
                </c:pt>
                <c:pt idx="256">
                  <c:v>252.93031841255169</c:v>
                </c:pt>
                <c:pt idx="257">
                  <c:v>256.806645131518</c:v>
                </c:pt>
                <c:pt idx="258">
                  <c:v>239.98615597600349</c:v>
                </c:pt>
                <c:pt idx="259">
                  <c:v>235.80987540378382</c:v>
                </c:pt>
                <c:pt idx="260">
                  <c:v>236.12136594370074</c:v>
                </c:pt>
                <c:pt idx="261">
                  <c:v>230.53760959852312</c:v>
                </c:pt>
                <c:pt idx="262">
                  <c:v>221.34287032764172</c:v>
                </c:pt>
                <c:pt idx="263">
                  <c:v>216.70512228887844</c:v>
                </c:pt>
                <c:pt idx="264">
                  <c:v>227.57268112598041</c:v>
                </c:pt>
                <c:pt idx="265">
                  <c:v>231.42593447161954</c:v>
                </c:pt>
                <c:pt idx="266">
                  <c:v>217.03968620212257</c:v>
                </c:pt>
                <c:pt idx="267">
                  <c:v>220.35071527457293</c:v>
                </c:pt>
                <c:pt idx="268">
                  <c:v>215.75911398246404</c:v>
                </c:pt>
                <c:pt idx="269">
                  <c:v>219.7738809413934</c:v>
                </c:pt>
                <c:pt idx="270">
                  <c:v>207.29118597138881</c:v>
                </c:pt>
                <c:pt idx="271">
                  <c:v>206.31056760498367</c:v>
                </c:pt>
                <c:pt idx="272">
                  <c:v>210.20996769727716</c:v>
                </c:pt>
                <c:pt idx="273">
                  <c:v>216.56668204891534</c:v>
                </c:pt>
                <c:pt idx="274">
                  <c:v>229.69543147208097</c:v>
                </c:pt>
                <c:pt idx="275">
                  <c:v>222.72727272727249</c:v>
                </c:pt>
                <c:pt idx="276">
                  <c:v>227.83802491924297</c:v>
                </c:pt>
                <c:pt idx="277">
                  <c:v>232.83341024457749</c:v>
                </c:pt>
                <c:pt idx="278">
                  <c:v>238.32487309644645</c:v>
                </c:pt>
                <c:pt idx="279">
                  <c:v>230.28380249192409</c:v>
                </c:pt>
                <c:pt idx="280">
                  <c:v>236.27134287032737</c:v>
                </c:pt>
                <c:pt idx="281">
                  <c:v>226.75357637286547</c:v>
                </c:pt>
                <c:pt idx="282">
                  <c:v>228.23027226580504</c:v>
                </c:pt>
                <c:pt idx="283">
                  <c:v>224.36548223350229</c:v>
                </c:pt>
                <c:pt idx="284">
                  <c:v>212.42501153668644</c:v>
                </c:pt>
                <c:pt idx="285">
                  <c:v>210.2791878172587</c:v>
                </c:pt>
                <c:pt idx="286">
                  <c:v>200.33456391324393</c:v>
                </c:pt>
                <c:pt idx="287">
                  <c:v>195.68527918781706</c:v>
                </c:pt>
                <c:pt idx="288">
                  <c:v>193.2741116751267</c:v>
                </c:pt>
                <c:pt idx="289">
                  <c:v>194.78541762805705</c:v>
                </c:pt>
                <c:pt idx="290">
                  <c:v>201.09598523304086</c:v>
                </c:pt>
                <c:pt idx="291">
                  <c:v>199.67697277341927</c:v>
                </c:pt>
                <c:pt idx="292">
                  <c:v>198.90401476695871</c:v>
                </c:pt>
                <c:pt idx="293">
                  <c:v>194.78541762805702</c:v>
                </c:pt>
                <c:pt idx="294">
                  <c:v>190.27457314259325</c:v>
                </c:pt>
                <c:pt idx="295">
                  <c:v>195.33917858790934</c:v>
                </c:pt>
                <c:pt idx="296">
                  <c:v>186.58283341024438</c:v>
                </c:pt>
                <c:pt idx="297">
                  <c:v>194.12782648823239</c:v>
                </c:pt>
                <c:pt idx="298">
                  <c:v>191.58975542224252</c:v>
                </c:pt>
                <c:pt idx="299">
                  <c:v>183.32948777111196</c:v>
                </c:pt>
                <c:pt idx="300">
                  <c:v>161.27134287032749</c:v>
                </c:pt>
                <c:pt idx="301">
                  <c:v>134.86386709736954</c:v>
                </c:pt>
                <c:pt idx="302">
                  <c:v>132.62574988463302</c:v>
                </c:pt>
                <c:pt idx="303">
                  <c:v>116.95892939547753</c:v>
                </c:pt>
                <c:pt idx="304">
                  <c:v>128.77249653899389</c:v>
                </c:pt>
                <c:pt idx="305">
                  <c:v>126.83433317951074</c:v>
                </c:pt>
                <c:pt idx="306">
                  <c:v>110.31379787724956</c:v>
                </c:pt>
                <c:pt idx="307">
                  <c:v>94.370096908167881</c:v>
                </c:pt>
                <c:pt idx="308">
                  <c:v>111.52514997692653</c:v>
                </c:pt>
                <c:pt idx="309">
                  <c:v>105.68758652514988</c:v>
                </c:pt>
                <c:pt idx="310">
                  <c:v>111.99815413013373</c:v>
                </c:pt>
                <c:pt idx="311">
                  <c:v>121.20443008767872</c:v>
                </c:pt>
                <c:pt idx="312">
                  <c:v>118.41255191508988</c:v>
                </c:pt>
                <c:pt idx="313">
                  <c:v>120.70835256114432</c:v>
                </c:pt>
                <c:pt idx="314">
                  <c:v>119.32395016151352</c:v>
                </c:pt>
                <c:pt idx="315">
                  <c:v>108.90632210429156</c:v>
                </c:pt>
                <c:pt idx="316">
                  <c:v>104.3724042455006</c:v>
                </c:pt>
                <c:pt idx="317">
                  <c:v>105.66451315182272</c:v>
                </c:pt>
                <c:pt idx="318">
                  <c:v>104.08398707891085</c:v>
                </c:pt>
                <c:pt idx="319">
                  <c:v>97.588832487309574</c:v>
                </c:pt>
                <c:pt idx="320">
                  <c:v>89.455468389478483</c:v>
                </c:pt>
                <c:pt idx="321">
                  <c:v>86.605906783571683</c:v>
                </c:pt>
                <c:pt idx="322">
                  <c:v>78.368712505768286</c:v>
                </c:pt>
                <c:pt idx="323">
                  <c:v>87.459621596677366</c:v>
                </c:pt>
                <c:pt idx="324">
                  <c:v>89.017074296262038</c:v>
                </c:pt>
                <c:pt idx="325">
                  <c:v>95.916012921088992</c:v>
                </c:pt>
                <c:pt idx="326">
                  <c:v>103.39178587909545</c:v>
                </c:pt>
                <c:pt idx="327">
                  <c:v>106.50669127826481</c:v>
                </c:pt>
                <c:pt idx="328">
                  <c:v>110.23304107060444</c:v>
                </c:pt>
                <c:pt idx="329">
                  <c:v>109.31010613751722</c:v>
                </c:pt>
                <c:pt idx="330">
                  <c:v>108.90632210429158</c:v>
                </c:pt>
                <c:pt idx="331">
                  <c:v>117.90493770189192</c:v>
                </c:pt>
                <c:pt idx="332">
                  <c:v>111.06368251038292</c:v>
                </c:pt>
                <c:pt idx="333">
                  <c:v>114.10936778957074</c:v>
                </c:pt>
                <c:pt idx="334">
                  <c:v>124.55006922011988</c:v>
                </c:pt>
                <c:pt idx="335">
                  <c:v>126.75357637286561</c:v>
                </c:pt>
                <c:pt idx="336">
                  <c:v>127.13428703276409</c:v>
                </c:pt>
                <c:pt idx="337">
                  <c:v>121.29672358098745</c:v>
                </c:pt>
                <c:pt idx="338">
                  <c:v>124.51545916012911</c:v>
                </c:pt>
                <c:pt idx="339">
                  <c:v>121.15828334102434</c:v>
                </c:pt>
                <c:pt idx="340">
                  <c:v>116.72819566220571</c:v>
                </c:pt>
                <c:pt idx="341">
                  <c:v>124.41162898015678</c:v>
                </c:pt>
                <c:pt idx="342">
                  <c:v>130.57221965851394</c:v>
                </c:pt>
                <c:pt idx="343">
                  <c:v>135.93677895708339</c:v>
                </c:pt>
                <c:pt idx="344">
                  <c:v>140.98984771573589</c:v>
                </c:pt>
                <c:pt idx="345">
                  <c:v>141.78587909552363</c:v>
                </c:pt>
                <c:pt idx="346">
                  <c:v>140.56299030918305</c:v>
                </c:pt>
                <c:pt idx="347">
                  <c:v>144.00092293493293</c:v>
                </c:pt>
                <c:pt idx="348">
                  <c:v>140.35532994923841</c:v>
                </c:pt>
                <c:pt idx="349">
                  <c:v>149.51545916012901</c:v>
                </c:pt>
                <c:pt idx="350">
                  <c:v>154.00323027226563</c:v>
                </c:pt>
                <c:pt idx="351">
                  <c:v>147.70419935394537</c:v>
                </c:pt>
                <c:pt idx="352">
                  <c:v>143.21642824180879</c:v>
                </c:pt>
                <c:pt idx="353">
                  <c:v>150.47300415320703</c:v>
                </c:pt>
                <c:pt idx="354">
                  <c:v>150.78449469312395</c:v>
                </c:pt>
                <c:pt idx="355">
                  <c:v>153.17258883248715</c:v>
                </c:pt>
                <c:pt idx="356">
                  <c:v>147.76188278726335</c:v>
                </c:pt>
                <c:pt idx="357">
                  <c:v>146.27365020766018</c:v>
                </c:pt>
                <c:pt idx="358">
                  <c:v>150.74988463313318</c:v>
                </c:pt>
                <c:pt idx="359">
                  <c:v>148.30410706045208</c:v>
                </c:pt>
                <c:pt idx="360">
                  <c:v>144.49700046146731</c:v>
                </c:pt>
                <c:pt idx="361">
                  <c:v>153.2302722658051</c:v>
                </c:pt>
                <c:pt idx="362">
                  <c:v>150.87678818643269</c:v>
                </c:pt>
                <c:pt idx="363">
                  <c:v>149.57314259344702</c:v>
                </c:pt>
                <c:pt idx="364">
                  <c:v>152.72265805260713</c:v>
                </c:pt>
                <c:pt idx="365">
                  <c:v>153.3341024457774</c:v>
                </c:pt>
                <c:pt idx="366">
                  <c:v>154.92616520535285</c:v>
                </c:pt>
                <c:pt idx="367">
                  <c:v>153.50715274573125</c:v>
                </c:pt>
                <c:pt idx="368">
                  <c:v>147.86571296723562</c:v>
                </c:pt>
                <c:pt idx="369">
                  <c:v>144.10475311490524</c:v>
                </c:pt>
                <c:pt idx="370">
                  <c:v>142.36271342870313</c:v>
                </c:pt>
                <c:pt idx="371">
                  <c:v>143.25103830179958</c:v>
                </c:pt>
                <c:pt idx="372">
                  <c:v>144.646977388094</c:v>
                </c:pt>
                <c:pt idx="373">
                  <c:v>147.90032302722645</c:v>
                </c:pt>
                <c:pt idx="374">
                  <c:v>151.77664974619279</c:v>
                </c:pt>
                <c:pt idx="375">
                  <c:v>155.02999538532524</c:v>
                </c:pt>
                <c:pt idx="376">
                  <c:v>156.87586525149965</c:v>
                </c:pt>
                <c:pt idx="377">
                  <c:v>156.97969543147195</c:v>
                </c:pt>
                <c:pt idx="378">
                  <c:v>157.78726349792328</c:v>
                </c:pt>
                <c:pt idx="379">
                  <c:v>160.35994462390389</c:v>
                </c:pt>
                <c:pt idx="380">
                  <c:v>159.1485925242269</c:v>
                </c:pt>
                <c:pt idx="381">
                  <c:v>160.10613751730492</c:v>
                </c:pt>
                <c:pt idx="382">
                  <c:v>159.88694047069671</c:v>
                </c:pt>
                <c:pt idx="383">
                  <c:v>149.04245500692193</c:v>
                </c:pt>
                <c:pt idx="384">
                  <c:v>151.39593908629433</c:v>
                </c:pt>
                <c:pt idx="385">
                  <c:v>143.17028149515451</c:v>
                </c:pt>
                <c:pt idx="386">
                  <c:v>145.67374250115361</c:v>
                </c:pt>
                <c:pt idx="387">
                  <c:v>142.42039686202116</c:v>
                </c:pt>
                <c:pt idx="388">
                  <c:v>146.63128749423157</c:v>
                </c:pt>
                <c:pt idx="389">
                  <c:v>150.20766035994453</c:v>
                </c:pt>
                <c:pt idx="390">
                  <c:v>148.53484079372396</c:v>
                </c:pt>
                <c:pt idx="391">
                  <c:v>141.56668204891545</c:v>
                </c:pt>
                <c:pt idx="392">
                  <c:v>148.02722658052599</c:v>
                </c:pt>
                <c:pt idx="393">
                  <c:v>147.7964928472542</c:v>
                </c:pt>
                <c:pt idx="394">
                  <c:v>153.78403322565754</c:v>
                </c:pt>
                <c:pt idx="395">
                  <c:v>155.26072911859708</c:v>
                </c:pt>
                <c:pt idx="396">
                  <c:v>159.85233041070597</c:v>
                </c:pt>
                <c:pt idx="397">
                  <c:v>154.1532071988924</c:v>
                </c:pt>
                <c:pt idx="398">
                  <c:v>154.34933087217343</c:v>
                </c:pt>
                <c:pt idx="399">
                  <c:v>155.16843562528837</c:v>
                </c:pt>
                <c:pt idx="400">
                  <c:v>162.217351176742</c:v>
                </c:pt>
                <c:pt idx="401">
                  <c:v>162.14813105676046</c:v>
                </c:pt>
                <c:pt idx="402">
                  <c:v>164.42085832948771</c:v>
                </c:pt>
                <c:pt idx="403">
                  <c:v>167.81264420858324</c:v>
                </c:pt>
                <c:pt idx="404">
                  <c:v>169.75080756806639</c:v>
                </c:pt>
                <c:pt idx="405">
                  <c:v>175.11536686663584</c:v>
                </c:pt>
                <c:pt idx="406">
                  <c:v>177.46885094600827</c:v>
                </c:pt>
                <c:pt idx="407">
                  <c:v>177.33041070604517</c:v>
                </c:pt>
                <c:pt idx="408">
                  <c:v>174.46931241347477</c:v>
                </c:pt>
                <c:pt idx="409">
                  <c:v>184.03322565759109</c:v>
                </c:pt>
                <c:pt idx="410">
                  <c:v>176.07291185971383</c:v>
                </c:pt>
                <c:pt idx="411">
                  <c:v>172.78495616059061</c:v>
                </c:pt>
                <c:pt idx="412">
                  <c:v>169.55468389478534</c:v>
                </c:pt>
                <c:pt idx="413">
                  <c:v>174.5385325334563</c:v>
                </c:pt>
                <c:pt idx="414">
                  <c:v>173.39640055376088</c:v>
                </c:pt>
                <c:pt idx="415">
                  <c:v>172.27734194739264</c:v>
                </c:pt>
                <c:pt idx="416">
                  <c:v>176.75357637286564</c:v>
                </c:pt>
                <c:pt idx="417">
                  <c:v>179.39547761882778</c:v>
                </c:pt>
                <c:pt idx="418">
                  <c:v>180.08767881864318</c:v>
                </c:pt>
                <c:pt idx="419">
                  <c:v>182.55652976465151</c:v>
                </c:pt>
                <c:pt idx="420">
                  <c:v>181.49515459160119</c:v>
                </c:pt>
                <c:pt idx="421">
                  <c:v>182.34886940470687</c:v>
                </c:pt>
                <c:pt idx="422">
                  <c:v>185.01384402399623</c:v>
                </c:pt>
                <c:pt idx="423">
                  <c:v>182.64882325796023</c:v>
                </c:pt>
                <c:pt idx="424">
                  <c:v>185.85602215043829</c:v>
                </c:pt>
                <c:pt idx="425">
                  <c:v>184.13705583756337</c:v>
                </c:pt>
                <c:pt idx="426">
                  <c:v>185.02538071065979</c:v>
                </c:pt>
                <c:pt idx="427">
                  <c:v>182.49884633133354</c:v>
                </c:pt>
                <c:pt idx="428">
                  <c:v>177.58421781264411</c:v>
                </c:pt>
                <c:pt idx="429">
                  <c:v>180.80295339178576</c:v>
                </c:pt>
                <c:pt idx="430">
                  <c:v>183.20258421781253</c:v>
                </c:pt>
                <c:pt idx="431">
                  <c:v>183.64097831102893</c:v>
                </c:pt>
                <c:pt idx="432">
                  <c:v>184.34471619750789</c:v>
                </c:pt>
                <c:pt idx="433">
                  <c:v>186.84817720350699</c:v>
                </c:pt>
                <c:pt idx="434">
                  <c:v>190.21688970927531</c:v>
                </c:pt>
                <c:pt idx="435">
                  <c:v>187.12505768343311</c:v>
                </c:pt>
                <c:pt idx="436">
                  <c:v>185.26765113059511</c:v>
                </c:pt>
                <c:pt idx="437">
                  <c:v>186.20212275034595</c:v>
                </c:pt>
                <c:pt idx="438">
                  <c:v>186.89432395016135</c:v>
                </c:pt>
                <c:pt idx="439">
                  <c:v>185.45223811721257</c:v>
                </c:pt>
                <c:pt idx="440">
                  <c:v>180.61836640516827</c:v>
                </c:pt>
                <c:pt idx="441">
                  <c:v>180.2261190586062</c:v>
                </c:pt>
                <c:pt idx="442">
                  <c:v>179.91462851868926</c:v>
                </c:pt>
                <c:pt idx="443">
                  <c:v>186.34056299030902</c:v>
                </c:pt>
                <c:pt idx="444">
                  <c:v>189.45546838947837</c:v>
                </c:pt>
                <c:pt idx="445">
                  <c:v>184.64467005076125</c:v>
                </c:pt>
                <c:pt idx="446">
                  <c:v>189.0632210429163</c:v>
                </c:pt>
                <c:pt idx="447">
                  <c:v>185.10613751730486</c:v>
                </c:pt>
                <c:pt idx="448">
                  <c:v>167.93954776188264</c:v>
                </c:pt>
                <c:pt idx="449">
                  <c:v>165.85140747577279</c:v>
                </c:pt>
                <c:pt idx="450">
                  <c:v>162.25196123673265</c:v>
                </c:pt>
                <c:pt idx="451">
                  <c:v>165.94370096908156</c:v>
                </c:pt>
                <c:pt idx="452">
                  <c:v>169.27780341485911</c:v>
                </c:pt>
                <c:pt idx="453">
                  <c:v>165.45916012921074</c:v>
                </c:pt>
                <c:pt idx="454">
                  <c:v>166.67051222888773</c:v>
                </c:pt>
                <c:pt idx="455">
                  <c:v>154.10706045223802</c:v>
                </c:pt>
                <c:pt idx="456">
                  <c:v>153.10336871250567</c:v>
                </c:pt>
                <c:pt idx="457">
                  <c:v>153.62251961236723</c:v>
                </c:pt>
                <c:pt idx="458">
                  <c:v>161.92893401015218</c:v>
                </c:pt>
                <c:pt idx="459">
                  <c:v>163.19796954314711</c:v>
                </c:pt>
                <c:pt idx="460">
                  <c:v>174.46931241347474</c:v>
                </c:pt>
                <c:pt idx="461">
                  <c:v>168.66635902168886</c:v>
                </c:pt>
                <c:pt idx="462">
                  <c:v>166.65897554222417</c:v>
                </c:pt>
                <c:pt idx="463">
                  <c:v>159.52930318412541</c:v>
                </c:pt>
                <c:pt idx="464">
                  <c:v>152.11121365943688</c:v>
                </c:pt>
                <c:pt idx="465">
                  <c:v>162.36732810336858</c:v>
                </c:pt>
                <c:pt idx="466">
                  <c:v>160.70604522381157</c:v>
                </c:pt>
                <c:pt idx="467">
                  <c:v>157.83341024457761</c:v>
                </c:pt>
                <c:pt idx="468">
                  <c:v>162.4250115366865</c:v>
                </c:pt>
                <c:pt idx="469">
                  <c:v>161.59437009690799</c:v>
                </c:pt>
                <c:pt idx="470">
                  <c:v>161.7328103368711</c:v>
                </c:pt>
                <c:pt idx="471">
                  <c:v>165.21688970927536</c:v>
                </c:pt>
                <c:pt idx="472">
                  <c:v>171.74665436086744</c:v>
                </c:pt>
                <c:pt idx="473">
                  <c:v>175.69220119981529</c:v>
                </c:pt>
                <c:pt idx="474">
                  <c:v>177.9303184125518</c:v>
                </c:pt>
                <c:pt idx="475">
                  <c:v>176.18827872634969</c:v>
                </c:pt>
                <c:pt idx="476">
                  <c:v>180.61836640516833</c:v>
                </c:pt>
                <c:pt idx="477">
                  <c:v>180.46838947854167</c:v>
                </c:pt>
                <c:pt idx="478">
                  <c:v>180.58375634517756</c:v>
                </c:pt>
                <c:pt idx="479">
                  <c:v>179.26857406552827</c:v>
                </c:pt>
                <c:pt idx="480">
                  <c:v>183.50253807106589</c:v>
                </c:pt>
                <c:pt idx="481">
                  <c:v>179.63774803876316</c:v>
                </c:pt>
                <c:pt idx="482">
                  <c:v>180.67604983848631</c:v>
                </c:pt>
                <c:pt idx="483">
                  <c:v>178.02261190586054</c:v>
                </c:pt>
                <c:pt idx="484">
                  <c:v>177.5957544993077</c:v>
                </c:pt>
                <c:pt idx="485">
                  <c:v>180.96446700507607</c:v>
                </c:pt>
                <c:pt idx="486">
                  <c:v>183.7332718043377</c:v>
                </c:pt>
                <c:pt idx="487">
                  <c:v>182.36040609137046</c:v>
                </c:pt>
                <c:pt idx="488">
                  <c:v>179.24550069220112</c:v>
                </c:pt>
                <c:pt idx="489">
                  <c:v>168.9893862482694</c:v>
                </c:pt>
                <c:pt idx="490">
                  <c:v>171.89663128749413</c:v>
                </c:pt>
                <c:pt idx="491">
                  <c:v>168.89709275496068</c:v>
                </c:pt>
                <c:pt idx="492">
                  <c:v>173.83479464697729</c:v>
                </c:pt>
                <c:pt idx="493">
                  <c:v>176.25749884633123</c:v>
                </c:pt>
                <c:pt idx="494">
                  <c:v>176.31518227964918</c:v>
                </c:pt>
                <c:pt idx="495">
                  <c:v>183.04107060452225</c:v>
                </c:pt>
                <c:pt idx="496">
                  <c:v>185.38301799723106</c:v>
                </c:pt>
                <c:pt idx="497">
                  <c:v>185.64836179049362</c:v>
                </c:pt>
                <c:pt idx="498">
                  <c:v>186.77895708352548</c:v>
                </c:pt>
                <c:pt idx="499">
                  <c:v>188.56714351638198</c:v>
                </c:pt>
                <c:pt idx="500">
                  <c:v>191.13982464236261</c:v>
                </c:pt>
                <c:pt idx="501">
                  <c:v>189.67466543608666</c:v>
                </c:pt>
                <c:pt idx="502">
                  <c:v>190.63221042916464</c:v>
                </c:pt>
                <c:pt idx="503">
                  <c:v>190.15920627595744</c:v>
                </c:pt>
                <c:pt idx="504">
                  <c:v>189.79003230272255</c:v>
                </c:pt>
                <c:pt idx="505">
                  <c:v>193.59713890170732</c:v>
                </c:pt>
                <c:pt idx="506">
                  <c:v>198.37332718043365</c:v>
                </c:pt>
                <c:pt idx="507">
                  <c:v>194.28934010152273</c:v>
                </c:pt>
                <c:pt idx="508">
                  <c:v>193.00876788186423</c:v>
                </c:pt>
                <c:pt idx="509">
                  <c:v>194.53161052145811</c:v>
                </c:pt>
                <c:pt idx="510">
                  <c:v>192.789570835256</c:v>
                </c:pt>
                <c:pt idx="511">
                  <c:v>195.89293954776176</c:v>
                </c:pt>
                <c:pt idx="512">
                  <c:v>193.64328564836165</c:v>
                </c:pt>
                <c:pt idx="513">
                  <c:v>196.08906322104281</c:v>
                </c:pt>
                <c:pt idx="514">
                  <c:v>192.23580987540367</c:v>
                </c:pt>
                <c:pt idx="515">
                  <c:v>189.7323488694046</c:v>
                </c:pt>
                <c:pt idx="516">
                  <c:v>194.39317028149503</c:v>
                </c:pt>
                <c:pt idx="517">
                  <c:v>195.26995846792786</c:v>
                </c:pt>
                <c:pt idx="518">
                  <c:v>197.55422242731873</c:v>
                </c:pt>
                <c:pt idx="519">
                  <c:v>197.94646977388081</c:v>
                </c:pt>
                <c:pt idx="520">
                  <c:v>201.49976926626658</c:v>
                </c:pt>
                <c:pt idx="521">
                  <c:v>201.03830179972297</c:v>
                </c:pt>
                <c:pt idx="522">
                  <c:v>204.82233502538057</c:v>
                </c:pt>
                <c:pt idx="523">
                  <c:v>206.34517766497447</c:v>
                </c:pt>
                <c:pt idx="524">
                  <c:v>207.371942778034</c:v>
                </c:pt>
                <c:pt idx="525">
                  <c:v>208.80249192431921</c:v>
                </c:pt>
                <c:pt idx="526">
                  <c:v>207.64882325796017</c:v>
                </c:pt>
                <c:pt idx="527">
                  <c:v>206.87586525149959</c:v>
                </c:pt>
                <c:pt idx="528">
                  <c:v>206.2874942316565</c:v>
                </c:pt>
                <c:pt idx="529">
                  <c:v>206.35671435163803</c:v>
                </c:pt>
                <c:pt idx="530">
                  <c:v>209.25242270419915</c:v>
                </c:pt>
                <c:pt idx="531">
                  <c:v>210.68297185048434</c:v>
                </c:pt>
                <c:pt idx="532">
                  <c:v>211.84817720350694</c:v>
                </c:pt>
                <c:pt idx="533">
                  <c:v>209.56391324411609</c:v>
                </c:pt>
                <c:pt idx="534">
                  <c:v>212.18274111675106</c:v>
                </c:pt>
                <c:pt idx="535">
                  <c:v>218.23950161513594</c:v>
                </c:pt>
                <c:pt idx="536">
                  <c:v>224.98846331333624</c:v>
                </c:pt>
                <c:pt idx="537">
                  <c:v>223.76557452699566</c:v>
                </c:pt>
                <c:pt idx="538">
                  <c:v>224.99999999999983</c:v>
                </c:pt>
                <c:pt idx="539">
                  <c:v>227.23811721273631</c:v>
                </c:pt>
                <c:pt idx="540">
                  <c:v>226.58052607291168</c:v>
                </c:pt>
                <c:pt idx="541">
                  <c:v>227.12275034610042</c:v>
                </c:pt>
                <c:pt idx="542">
                  <c:v>217.14351638209487</c:v>
                </c:pt>
                <c:pt idx="543">
                  <c:v>207.69497000461448</c:v>
                </c:pt>
                <c:pt idx="544">
                  <c:v>205.4453161052144</c:v>
                </c:pt>
                <c:pt idx="545">
                  <c:v>204.17628057221944</c:v>
                </c:pt>
                <c:pt idx="546">
                  <c:v>193.6432856483616</c:v>
                </c:pt>
                <c:pt idx="547">
                  <c:v>201.24596215966756</c:v>
                </c:pt>
                <c:pt idx="548">
                  <c:v>202.38809413936301</c:v>
                </c:pt>
                <c:pt idx="549">
                  <c:v>207.60267651130579</c:v>
                </c:pt>
                <c:pt idx="550">
                  <c:v>208.4217812644207</c:v>
                </c:pt>
                <c:pt idx="551">
                  <c:v>207.01430549146269</c:v>
                </c:pt>
                <c:pt idx="552">
                  <c:v>203.89940009229335</c:v>
                </c:pt>
                <c:pt idx="553">
                  <c:v>203.84171665897537</c:v>
                </c:pt>
                <c:pt idx="554">
                  <c:v>196.26211352099662</c:v>
                </c:pt>
                <c:pt idx="555">
                  <c:v>196.55053068758639</c:v>
                </c:pt>
                <c:pt idx="556">
                  <c:v>194.19704660821401</c:v>
                </c:pt>
                <c:pt idx="557">
                  <c:v>196.98892478080285</c:v>
                </c:pt>
                <c:pt idx="558">
                  <c:v>202.0996769727733</c:v>
                </c:pt>
                <c:pt idx="559">
                  <c:v>208.45639132441147</c:v>
                </c:pt>
                <c:pt idx="560">
                  <c:v>207.12967235809859</c:v>
                </c:pt>
                <c:pt idx="561">
                  <c:v>204.21089063221027</c:v>
                </c:pt>
                <c:pt idx="562">
                  <c:v>208.02953391785863</c:v>
                </c:pt>
                <c:pt idx="563">
                  <c:v>213.17489616981985</c:v>
                </c:pt>
                <c:pt idx="564">
                  <c:v>213.50946008306397</c:v>
                </c:pt>
                <c:pt idx="565">
                  <c:v>209.1139824642361</c:v>
                </c:pt>
                <c:pt idx="566">
                  <c:v>203.98015689893847</c:v>
                </c:pt>
                <c:pt idx="567">
                  <c:v>207.53345639132425</c:v>
                </c:pt>
                <c:pt idx="568">
                  <c:v>203.04568527918769</c:v>
                </c:pt>
                <c:pt idx="569">
                  <c:v>202.16889709275483</c:v>
                </c:pt>
                <c:pt idx="570">
                  <c:v>199.98846331333627</c:v>
                </c:pt>
                <c:pt idx="571">
                  <c:v>196.65436086755872</c:v>
                </c:pt>
                <c:pt idx="572">
                  <c:v>199.75772958006448</c:v>
                </c:pt>
                <c:pt idx="573">
                  <c:v>200.65759113982452</c:v>
                </c:pt>
                <c:pt idx="574">
                  <c:v>201.68435625288402</c:v>
                </c:pt>
                <c:pt idx="575">
                  <c:v>202.56114443931688</c:v>
                </c:pt>
                <c:pt idx="576">
                  <c:v>203.16105214582356</c:v>
                </c:pt>
                <c:pt idx="577">
                  <c:v>200.04614674665422</c:v>
                </c:pt>
                <c:pt idx="578">
                  <c:v>199.03091832025828</c:v>
                </c:pt>
                <c:pt idx="579">
                  <c:v>200.08075680664498</c:v>
                </c:pt>
                <c:pt idx="580">
                  <c:v>203.25334563913228</c:v>
                </c:pt>
                <c:pt idx="581">
                  <c:v>205.21458237194261</c:v>
                </c:pt>
                <c:pt idx="582">
                  <c:v>205.47992616520523</c:v>
                </c:pt>
                <c:pt idx="583">
                  <c:v>206.51822796492831</c:v>
                </c:pt>
                <c:pt idx="584">
                  <c:v>202.46885094600816</c:v>
                </c:pt>
                <c:pt idx="585">
                  <c:v>200.71527457314244</c:v>
                </c:pt>
                <c:pt idx="586">
                  <c:v>203.27641901245948</c:v>
                </c:pt>
                <c:pt idx="587">
                  <c:v>207.96031379787709</c:v>
                </c:pt>
                <c:pt idx="588">
                  <c:v>206.10290724503906</c:v>
                </c:pt>
                <c:pt idx="589">
                  <c:v>209.41393631748949</c:v>
                </c:pt>
                <c:pt idx="590">
                  <c:v>209.0101522842638</c:v>
                </c:pt>
                <c:pt idx="591">
                  <c:v>212.13659437009676</c:v>
                </c:pt>
                <c:pt idx="592">
                  <c:v>214.21319796954299</c:v>
                </c:pt>
                <c:pt idx="593">
                  <c:v>217.1089063221041</c:v>
                </c:pt>
                <c:pt idx="594">
                  <c:v>216.50899861559739</c:v>
                </c:pt>
                <c:pt idx="595">
                  <c:v>218.42408860175337</c:v>
                </c:pt>
                <c:pt idx="596">
                  <c:v>220.83525611444372</c:v>
                </c:pt>
                <c:pt idx="597">
                  <c:v>217.58191047531128</c:v>
                </c:pt>
                <c:pt idx="598">
                  <c:v>219.84310106137497</c:v>
                </c:pt>
                <c:pt idx="599">
                  <c:v>220.35071527457296</c:v>
                </c:pt>
                <c:pt idx="600">
                  <c:v>220.09690816797396</c:v>
                </c:pt>
                <c:pt idx="601">
                  <c:v>220.80064605445295</c:v>
                </c:pt>
                <c:pt idx="602">
                  <c:v>223.20027688047975</c:v>
                </c:pt>
                <c:pt idx="603">
                  <c:v>222.84263959390844</c:v>
                </c:pt>
                <c:pt idx="604">
                  <c:v>221.11213659436993</c:v>
                </c:pt>
                <c:pt idx="605">
                  <c:v>218.73557914167034</c:v>
                </c:pt>
                <c:pt idx="606">
                  <c:v>223.75403784033207</c:v>
                </c:pt>
                <c:pt idx="607">
                  <c:v>225.84217812644189</c:v>
                </c:pt>
                <c:pt idx="608">
                  <c:v>225.726811259806</c:v>
                </c:pt>
                <c:pt idx="609">
                  <c:v>227.13428703276401</c:v>
                </c:pt>
                <c:pt idx="610">
                  <c:v>218.29718504845391</c:v>
                </c:pt>
                <c:pt idx="611">
                  <c:v>215.87448084909997</c:v>
                </c:pt>
                <c:pt idx="612">
                  <c:v>213.26718966312859</c:v>
                </c:pt>
                <c:pt idx="613">
                  <c:v>209.47161975080741</c:v>
                </c:pt>
                <c:pt idx="614">
                  <c:v>211.21365943700954</c:v>
                </c:pt>
                <c:pt idx="615">
                  <c:v>212.26349792339624</c:v>
                </c:pt>
                <c:pt idx="616">
                  <c:v>218.42408860175343</c:v>
                </c:pt>
                <c:pt idx="617">
                  <c:v>224.5962159667742</c:v>
                </c:pt>
                <c:pt idx="618">
                  <c:v>221.94277803414843</c:v>
                </c:pt>
                <c:pt idx="619">
                  <c:v>224.3424088601752</c:v>
                </c:pt>
                <c:pt idx="620">
                  <c:v>224.49238578680189</c:v>
                </c:pt>
                <c:pt idx="621">
                  <c:v>226.69589293954763</c:v>
                </c:pt>
                <c:pt idx="622">
                  <c:v>224.50392247346548</c:v>
                </c:pt>
                <c:pt idx="623">
                  <c:v>222.51961236732797</c:v>
                </c:pt>
                <c:pt idx="624">
                  <c:v>224.16935856022135</c:v>
                </c:pt>
                <c:pt idx="625">
                  <c:v>226.77664974619276</c:v>
                </c:pt>
                <c:pt idx="626">
                  <c:v>225.99215505306861</c:v>
                </c:pt>
                <c:pt idx="627">
                  <c:v>230.06460544531595</c:v>
                </c:pt>
                <c:pt idx="628">
                  <c:v>234.43700969081667</c:v>
                </c:pt>
                <c:pt idx="629">
                  <c:v>237.73650207660344</c:v>
                </c:pt>
                <c:pt idx="630">
                  <c:v>234.43700969081667</c:v>
                </c:pt>
                <c:pt idx="631">
                  <c:v>235.08306414397771</c:v>
                </c:pt>
                <c:pt idx="632">
                  <c:v>236.07521919704647</c:v>
                </c:pt>
                <c:pt idx="633">
                  <c:v>235.64836179049362</c:v>
                </c:pt>
                <c:pt idx="634">
                  <c:v>233.99861559760026</c:v>
                </c:pt>
                <c:pt idx="635">
                  <c:v>227.87263497923388</c:v>
                </c:pt>
                <c:pt idx="636">
                  <c:v>227.99953853253336</c:v>
                </c:pt>
                <c:pt idx="637">
                  <c:v>236.6866635902168</c:v>
                </c:pt>
                <c:pt idx="638">
                  <c:v>233.77941855099203</c:v>
                </c:pt>
                <c:pt idx="639">
                  <c:v>234.79464697738803</c:v>
                </c:pt>
                <c:pt idx="640">
                  <c:v>235.38301799723112</c:v>
                </c:pt>
                <c:pt idx="641">
                  <c:v>233.90632210429155</c:v>
                </c:pt>
                <c:pt idx="642">
                  <c:v>234.92155053068751</c:v>
                </c:pt>
                <c:pt idx="643">
                  <c:v>230.71065989847708</c:v>
                </c:pt>
                <c:pt idx="644">
                  <c:v>231.01061375173043</c:v>
                </c:pt>
                <c:pt idx="645">
                  <c:v>233.54868481772024</c:v>
                </c:pt>
                <c:pt idx="646">
                  <c:v>231.35671435163809</c:v>
                </c:pt>
                <c:pt idx="647">
                  <c:v>227.21504383940919</c:v>
                </c:pt>
                <c:pt idx="648">
                  <c:v>220.60452238117202</c:v>
                </c:pt>
                <c:pt idx="649">
                  <c:v>222.10429164743877</c:v>
                </c:pt>
                <c:pt idx="650">
                  <c:v>222.94646977388084</c:v>
                </c:pt>
                <c:pt idx="651">
                  <c:v>219.86617443470226</c:v>
                </c:pt>
                <c:pt idx="652">
                  <c:v>218.49330872173499</c:v>
                </c:pt>
                <c:pt idx="653">
                  <c:v>219.02399630826017</c:v>
                </c:pt>
                <c:pt idx="654">
                  <c:v>223.76557452699575</c:v>
                </c:pt>
                <c:pt idx="655">
                  <c:v>221.65436086755872</c:v>
                </c:pt>
                <c:pt idx="656">
                  <c:v>223.5348407937239</c:v>
                </c:pt>
                <c:pt idx="657">
                  <c:v>223.97323488694033</c:v>
                </c:pt>
                <c:pt idx="658">
                  <c:v>225.20766035994453</c:v>
                </c:pt>
                <c:pt idx="659">
                  <c:v>218.29718504845397</c:v>
                </c:pt>
                <c:pt idx="660">
                  <c:v>212.44808491001373</c:v>
                </c:pt>
                <c:pt idx="661">
                  <c:v>203.05722196585128</c:v>
                </c:pt>
                <c:pt idx="662">
                  <c:v>207.57960313797867</c:v>
                </c:pt>
                <c:pt idx="663">
                  <c:v>211.8251038301799</c:v>
                </c:pt>
                <c:pt idx="664">
                  <c:v>210.89063221042909</c:v>
                </c:pt>
                <c:pt idx="665">
                  <c:v>213.14028610982916</c:v>
                </c:pt>
                <c:pt idx="666">
                  <c:v>219.67005076142121</c:v>
                </c:pt>
                <c:pt idx="667">
                  <c:v>222.47346562067361</c:v>
                </c:pt>
                <c:pt idx="668">
                  <c:v>224.80387632671884</c:v>
                </c:pt>
                <c:pt idx="669">
                  <c:v>223.40793724042442</c:v>
                </c:pt>
                <c:pt idx="670">
                  <c:v>217.1781264420857</c:v>
                </c:pt>
                <c:pt idx="671">
                  <c:v>212.96723580987526</c:v>
                </c:pt>
                <c:pt idx="672">
                  <c:v>220.67374250115353</c:v>
                </c:pt>
                <c:pt idx="673">
                  <c:v>219.71619750807554</c:v>
                </c:pt>
                <c:pt idx="674">
                  <c:v>218.35486848177192</c:v>
                </c:pt>
                <c:pt idx="675">
                  <c:v>213.79787724965377</c:v>
                </c:pt>
                <c:pt idx="676">
                  <c:v>216.13982464236258</c:v>
                </c:pt>
                <c:pt idx="677">
                  <c:v>219.6815874480848</c:v>
                </c:pt>
                <c:pt idx="678">
                  <c:v>219.00092293493299</c:v>
                </c:pt>
                <c:pt idx="679">
                  <c:v>210.44070143054904</c:v>
                </c:pt>
                <c:pt idx="680">
                  <c:v>204.91462851868934</c:v>
                </c:pt>
                <c:pt idx="681">
                  <c:v>204.77618827872627</c:v>
                </c:pt>
                <c:pt idx="682">
                  <c:v>208.71019843101053</c:v>
                </c:pt>
                <c:pt idx="683">
                  <c:v>204.89155514536216</c:v>
                </c:pt>
                <c:pt idx="684">
                  <c:v>196.26211352099668</c:v>
                </c:pt>
                <c:pt idx="685">
                  <c:v>206.05676049838479</c:v>
                </c:pt>
                <c:pt idx="686">
                  <c:v>208.73327180433773</c:v>
                </c:pt>
                <c:pt idx="687">
                  <c:v>217.17812644208576</c:v>
                </c:pt>
                <c:pt idx="688">
                  <c:v>220.40839870789102</c:v>
                </c:pt>
                <c:pt idx="689">
                  <c:v>225.8191047531148</c:v>
                </c:pt>
                <c:pt idx="690">
                  <c:v>222.4850023073372</c:v>
                </c:pt>
                <c:pt idx="691">
                  <c:v>226.29210890632197</c:v>
                </c:pt>
                <c:pt idx="692">
                  <c:v>227.23811721273634</c:v>
                </c:pt>
                <c:pt idx="693">
                  <c:v>229.0609137055836</c:v>
                </c:pt>
                <c:pt idx="694">
                  <c:v>227.37655745269942</c:v>
                </c:pt>
                <c:pt idx="695">
                  <c:v>227.39963082602659</c:v>
                </c:pt>
                <c:pt idx="696">
                  <c:v>229.58006460544513</c:v>
                </c:pt>
                <c:pt idx="697">
                  <c:v>226.58052607291168</c:v>
                </c:pt>
                <c:pt idx="698">
                  <c:v>223.80018458698646</c:v>
                </c:pt>
                <c:pt idx="699">
                  <c:v>227.13428703276398</c:v>
                </c:pt>
                <c:pt idx="700">
                  <c:v>229.28011075219177</c:v>
                </c:pt>
                <c:pt idx="701">
                  <c:v>229.59160129210869</c:v>
                </c:pt>
                <c:pt idx="702">
                  <c:v>227.24965389939987</c:v>
                </c:pt>
                <c:pt idx="703">
                  <c:v>225.8075680664511</c:v>
                </c:pt>
                <c:pt idx="704">
                  <c:v>234.99077065066888</c:v>
                </c:pt>
                <c:pt idx="705">
                  <c:v>234.85233041070578</c:v>
                </c:pt>
                <c:pt idx="706">
                  <c:v>238.05952930318384</c:v>
                </c:pt>
                <c:pt idx="707">
                  <c:v>241.94739270881371</c:v>
                </c:pt>
                <c:pt idx="708">
                  <c:v>244.41624365482204</c:v>
                </c:pt>
                <c:pt idx="709">
                  <c:v>240.22842639593878</c:v>
                </c:pt>
                <c:pt idx="710">
                  <c:v>241.69358560221477</c:v>
                </c:pt>
                <c:pt idx="711">
                  <c:v>237.67881864328538</c:v>
                </c:pt>
                <c:pt idx="712">
                  <c:v>237.22888786340533</c:v>
                </c:pt>
                <c:pt idx="713">
                  <c:v>238.08260267651102</c:v>
                </c:pt>
                <c:pt idx="714">
                  <c:v>233.52561144439287</c:v>
                </c:pt>
                <c:pt idx="715">
                  <c:v>229.38394093216402</c:v>
                </c:pt>
                <c:pt idx="716">
                  <c:v>237.39040147669564</c:v>
                </c:pt>
                <c:pt idx="717">
                  <c:v>234.6100599907704</c:v>
                </c:pt>
                <c:pt idx="718">
                  <c:v>223.40793724042427</c:v>
                </c:pt>
                <c:pt idx="719">
                  <c:v>223.65020766035965</c:v>
                </c:pt>
                <c:pt idx="720">
                  <c:v>225.56529764651563</c:v>
                </c:pt>
                <c:pt idx="721">
                  <c:v>220.14305491462821</c:v>
                </c:pt>
                <c:pt idx="722">
                  <c:v>218.50484540839841</c:v>
                </c:pt>
                <c:pt idx="723">
                  <c:v>213.08260267651099</c:v>
                </c:pt>
                <c:pt idx="724">
                  <c:v>211.81356714351608</c:v>
                </c:pt>
                <c:pt idx="725">
                  <c:v>214.44393170281464</c:v>
                </c:pt>
                <c:pt idx="726">
                  <c:v>214.04014766958898</c:v>
                </c:pt>
                <c:pt idx="727">
                  <c:v>220.29303184125484</c:v>
                </c:pt>
                <c:pt idx="728">
                  <c:v>216.65897554222397</c:v>
                </c:pt>
                <c:pt idx="729">
                  <c:v>216.94739270881374</c:v>
                </c:pt>
                <c:pt idx="730">
                  <c:v>219.30087678818614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04-4CF7-92C9-D5DCBF5B8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85700968"/>
        <c:axId val="-2085654968"/>
      </c:lineChart>
      <c:catAx>
        <c:axId val="-2085700968"/>
        <c:scaling>
          <c:orientation val="minMax"/>
        </c:scaling>
        <c:delete val="0"/>
        <c:axPos val="b"/>
        <c:majorTickMark val="out"/>
        <c:minorTickMark val="none"/>
        <c:tickLblPos val="nextTo"/>
        <c:crossAx val="-2085654968"/>
        <c:crosses val="autoZero"/>
        <c:auto val="1"/>
        <c:lblAlgn val="ctr"/>
        <c:lblOffset val="100"/>
        <c:noMultiLvlLbl val="0"/>
      </c:catAx>
      <c:valAx>
        <c:axId val="-2085654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85700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8740157499999996" r="0.78740157499999996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Index!$S$1</c:f>
              <c:strCache>
                <c:ptCount val="1"/>
                <c:pt idx="0">
                  <c:v>Dow Jones Europe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Index!$S$2:$S$732</c:f>
              <c:numCache>
                <c:formatCode>General</c:formatCode>
                <c:ptCount val="731"/>
                <c:pt idx="0">
                  <c:v>100</c:v>
                </c:pt>
                <c:pt idx="1">
                  <c:v>99.764506311430424</c:v>
                </c:pt>
                <c:pt idx="2">
                  <c:v>100.17163099336426</c:v>
                </c:pt>
                <c:pt idx="3">
                  <c:v>99.342413810307832</c:v>
                </c:pt>
                <c:pt idx="4">
                  <c:v>96.758968218330594</c:v>
                </c:pt>
                <c:pt idx="5">
                  <c:v>96.039515042658294</c:v>
                </c:pt>
                <c:pt idx="6">
                  <c:v>97.13815297111212</c:v>
                </c:pt>
                <c:pt idx="7">
                  <c:v>97.727885047148646</c:v>
                </c:pt>
                <c:pt idx="8">
                  <c:v>97.688968717257907</c:v>
                </c:pt>
                <c:pt idx="9">
                  <c:v>97.601157511350607</c:v>
                </c:pt>
                <c:pt idx="10">
                  <c:v>95.754128623459579</c:v>
                </c:pt>
                <c:pt idx="11">
                  <c:v>97.354687422042616</c:v>
                </c:pt>
                <c:pt idx="12">
                  <c:v>96.942573467045861</c:v>
                </c:pt>
                <c:pt idx="13">
                  <c:v>98.175921768198393</c:v>
                </c:pt>
                <c:pt idx="14">
                  <c:v>98.773636681135571</c:v>
                </c:pt>
                <c:pt idx="15">
                  <c:v>99.853315371950302</c:v>
                </c:pt>
                <c:pt idx="16">
                  <c:v>99.913186648705278</c:v>
                </c:pt>
                <c:pt idx="17">
                  <c:v>101.97874569675199</c:v>
                </c:pt>
                <c:pt idx="18">
                  <c:v>103.26697600159657</c:v>
                </c:pt>
                <c:pt idx="19">
                  <c:v>105.67879060020955</c:v>
                </c:pt>
                <c:pt idx="20">
                  <c:v>106.76645212792496</c:v>
                </c:pt>
                <c:pt idx="21">
                  <c:v>105.48420895075587</c:v>
                </c:pt>
                <c:pt idx="22">
                  <c:v>107.73736466596817</c:v>
                </c:pt>
                <c:pt idx="23">
                  <c:v>108.65040163648156</c:v>
                </c:pt>
                <c:pt idx="24">
                  <c:v>108.74020855161403</c:v>
                </c:pt>
                <c:pt idx="25">
                  <c:v>106.2834904954348</c:v>
                </c:pt>
                <c:pt idx="26">
                  <c:v>106.26952053085866</c:v>
                </c:pt>
                <c:pt idx="27">
                  <c:v>104.96931597066309</c:v>
                </c:pt>
                <c:pt idx="28">
                  <c:v>100.65958189891734</c:v>
                </c:pt>
                <c:pt idx="29">
                  <c:v>103.98543132265628</c:v>
                </c:pt>
                <c:pt idx="30">
                  <c:v>100.09080476974505</c:v>
                </c:pt>
                <c:pt idx="31">
                  <c:v>100.80027939929151</c:v>
                </c:pt>
                <c:pt idx="32">
                  <c:v>100.55380930998354</c:v>
                </c:pt>
                <c:pt idx="33">
                  <c:v>97.996307937933437</c:v>
                </c:pt>
                <c:pt idx="34">
                  <c:v>97.214987776280992</c:v>
                </c:pt>
                <c:pt idx="35">
                  <c:v>98.408421892930193</c:v>
                </c:pt>
                <c:pt idx="36">
                  <c:v>100.0409120391159</c:v>
                </c:pt>
                <c:pt idx="37">
                  <c:v>102.9027590680038</c:v>
                </c:pt>
                <c:pt idx="38">
                  <c:v>103.67410068353043</c:v>
                </c:pt>
                <c:pt idx="39">
                  <c:v>103.6411714813152</c:v>
                </c:pt>
                <c:pt idx="40">
                  <c:v>104.57516339869282</c:v>
                </c:pt>
                <c:pt idx="41">
                  <c:v>105.11899416255052</c:v>
                </c:pt>
                <c:pt idx="42">
                  <c:v>106.08491742753083</c:v>
                </c:pt>
                <c:pt idx="43">
                  <c:v>105.66881205408373</c:v>
                </c:pt>
                <c:pt idx="44">
                  <c:v>106.79239634785212</c:v>
                </c:pt>
                <c:pt idx="45">
                  <c:v>107.94491842538541</c:v>
                </c:pt>
                <c:pt idx="46">
                  <c:v>109.58139999002145</c:v>
                </c:pt>
                <c:pt idx="47">
                  <c:v>110.97340717457463</c:v>
                </c:pt>
                <c:pt idx="48">
                  <c:v>111.9353390211046</c:v>
                </c:pt>
                <c:pt idx="49">
                  <c:v>113.91608042708174</c:v>
                </c:pt>
                <c:pt idx="50">
                  <c:v>115.84493339320458</c:v>
                </c:pt>
                <c:pt idx="51">
                  <c:v>117.40857157112204</c:v>
                </c:pt>
                <c:pt idx="52">
                  <c:v>120.56079429227158</c:v>
                </c:pt>
                <c:pt idx="53">
                  <c:v>121.61652447238434</c:v>
                </c:pt>
                <c:pt idx="54">
                  <c:v>119.9052038118046</c:v>
                </c:pt>
                <c:pt idx="55">
                  <c:v>122.05957192037116</c:v>
                </c:pt>
                <c:pt idx="56">
                  <c:v>120.89507558748686</c:v>
                </c:pt>
                <c:pt idx="57">
                  <c:v>124.6490046400239</c:v>
                </c:pt>
                <c:pt idx="58">
                  <c:v>127.69944619068995</c:v>
                </c:pt>
                <c:pt idx="59">
                  <c:v>128.25225764606091</c:v>
                </c:pt>
                <c:pt idx="60">
                  <c:v>128.8559596866736</c:v>
                </c:pt>
                <c:pt idx="61">
                  <c:v>129.98952252656784</c:v>
                </c:pt>
                <c:pt idx="62">
                  <c:v>125.06610786808358</c:v>
                </c:pt>
                <c:pt idx="63">
                  <c:v>127.35718205857401</c:v>
                </c:pt>
                <c:pt idx="64">
                  <c:v>124.19498079129865</c:v>
                </c:pt>
                <c:pt idx="65">
                  <c:v>128.45282642319009</c:v>
                </c:pt>
                <c:pt idx="66">
                  <c:v>129.32594920920019</c:v>
                </c:pt>
                <c:pt idx="67">
                  <c:v>128.26622761063712</c:v>
                </c:pt>
                <c:pt idx="68">
                  <c:v>126.01406975003739</c:v>
                </c:pt>
                <c:pt idx="69">
                  <c:v>125.63887641570621</c:v>
                </c:pt>
                <c:pt idx="70">
                  <c:v>127.19852317517335</c:v>
                </c:pt>
                <c:pt idx="71">
                  <c:v>125.0241979743551</c:v>
                </c:pt>
                <c:pt idx="72">
                  <c:v>126.97600159656736</c:v>
                </c:pt>
                <c:pt idx="73">
                  <c:v>130.54931896422687</c:v>
                </c:pt>
                <c:pt idx="74">
                  <c:v>131.6898667864092</c:v>
                </c:pt>
                <c:pt idx="75">
                  <c:v>129.38681834056777</c:v>
                </c:pt>
                <c:pt idx="76">
                  <c:v>131.55316070448532</c:v>
                </c:pt>
                <c:pt idx="77">
                  <c:v>130.8057675996607</c:v>
                </c:pt>
                <c:pt idx="78">
                  <c:v>131.10612183804818</c:v>
                </c:pt>
                <c:pt idx="79">
                  <c:v>133.29242129421741</c:v>
                </c:pt>
                <c:pt idx="80">
                  <c:v>134.73332335478719</c:v>
                </c:pt>
                <c:pt idx="81">
                  <c:v>130.73891134061765</c:v>
                </c:pt>
                <c:pt idx="82">
                  <c:v>130.60220525869377</c:v>
                </c:pt>
                <c:pt idx="83">
                  <c:v>134.34216434665464</c:v>
                </c:pt>
                <c:pt idx="84">
                  <c:v>134.70837698947258</c:v>
                </c:pt>
                <c:pt idx="85">
                  <c:v>134.16654193484004</c:v>
                </c:pt>
                <c:pt idx="86">
                  <c:v>134.88300154667459</c:v>
                </c:pt>
                <c:pt idx="87">
                  <c:v>135.87686474080721</c:v>
                </c:pt>
                <c:pt idx="88">
                  <c:v>138.0192585940228</c:v>
                </c:pt>
                <c:pt idx="89">
                  <c:v>137.84762760065854</c:v>
                </c:pt>
                <c:pt idx="90">
                  <c:v>138.755675298109</c:v>
                </c:pt>
                <c:pt idx="91">
                  <c:v>141.12657785760607</c:v>
                </c:pt>
                <c:pt idx="92">
                  <c:v>141.30918525170875</c:v>
                </c:pt>
                <c:pt idx="93">
                  <c:v>141.80212543032471</c:v>
                </c:pt>
                <c:pt idx="94">
                  <c:v>144.18999151823573</c:v>
                </c:pt>
                <c:pt idx="95">
                  <c:v>146.0280397146135</c:v>
                </c:pt>
                <c:pt idx="96">
                  <c:v>149.50456518485248</c:v>
                </c:pt>
                <c:pt idx="97">
                  <c:v>147.86608791099127</c:v>
                </c:pt>
                <c:pt idx="98">
                  <c:v>149.75802025644853</c:v>
                </c:pt>
                <c:pt idx="99">
                  <c:v>155.09255101531696</c:v>
                </c:pt>
                <c:pt idx="100">
                  <c:v>159.82936686124822</c:v>
                </c:pt>
                <c:pt idx="101">
                  <c:v>158.61797136157253</c:v>
                </c:pt>
                <c:pt idx="102">
                  <c:v>161.61752232699689</c:v>
                </c:pt>
                <c:pt idx="103">
                  <c:v>164.81764206955037</c:v>
                </c:pt>
                <c:pt idx="104">
                  <c:v>165.83445591977238</c:v>
                </c:pt>
                <c:pt idx="105">
                  <c:v>161.06071945317555</c:v>
                </c:pt>
                <c:pt idx="106">
                  <c:v>163.54837100234485</c:v>
                </c:pt>
                <c:pt idx="107">
                  <c:v>164.1420944968317</c:v>
                </c:pt>
                <c:pt idx="108">
                  <c:v>166.83630195080565</c:v>
                </c:pt>
                <c:pt idx="109">
                  <c:v>171.63997405577993</c:v>
                </c:pt>
                <c:pt idx="110">
                  <c:v>171.37155116499514</c:v>
                </c:pt>
                <c:pt idx="111">
                  <c:v>172.53804320710458</c:v>
                </c:pt>
                <c:pt idx="112">
                  <c:v>167.82417801726274</c:v>
                </c:pt>
                <c:pt idx="113">
                  <c:v>167.24043306890172</c:v>
                </c:pt>
                <c:pt idx="114">
                  <c:v>163.6202165344508</c:v>
                </c:pt>
                <c:pt idx="115">
                  <c:v>163.82078531157998</c:v>
                </c:pt>
                <c:pt idx="116">
                  <c:v>160.73541884947349</c:v>
                </c:pt>
                <c:pt idx="117">
                  <c:v>162.1513745447287</c:v>
                </c:pt>
                <c:pt idx="118">
                  <c:v>164.29476625255688</c:v>
                </c:pt>
                <c:pt idx="119">
                  <c:v>165.26867235443785</c:v>
                </c:pt>
                <c:pt idx="120">
                  <c:v>165.34051788654384</c:v>
                </c:pt>
                <c:pt idx="121">
                  <c:v>164.31971261787146</c:v>
                </c:pt>
                <c:pt idx="122">
                  <c:v>164.62006685625892</c:v>
                </c:pt>
                <c:pt idx="123">
                  <c:v>163.34181509754018</c:v>
                </c:pt>
                <c:pt idx="124">
                  <c:v>162.91173975951691</c:v>
                </c:pt>
                <c:pt idx="125">
                  <c:v>165.37444494337163</c:v>
                </c:pt>
                <c:pt idx="126">
                  <c:v>165.51115102529553</c:v>
                </c:pt>
                <c:pt idx="127">
                  <c:v>164.55620416105364</c:v>
                </c:pt>
                <c:pt idx="128">
                  <c:v>164.14009878760655</c:v>
                </c:pt>
                <c:pt idx="129">
                  <c:v>164.48136506510991</c:v>
                </c:pt>
                <c:pt idx="130">
                  <c:v>166.35633388215328</c:v>
                </c:pt>
                <c:pt idx="131">
                  <c:v>161.85501172479161</c:v>
                </c:pt>
                <c:pt idx="132">
                  <c:v>162.25914284288771</c:v>
                </c:pt>
                <c:pt idx="133">
                  <c:v>162.84288779124876</c:v>
                </c:pt>
                <c:pt idx="134">
                  <c:v>163.84074240383168</c:v>
                </c:pt>
                <c:pt idx="135">
                  <c:v>165.91727785261679</c:v>
                </c:pt>
                <c:pt idx="136">
                  <c:v>167.95888838996152</c:v>
                </c:pt>
                <c:pt idx="137">
                  <c:v>165.21279249613323</c:v>
                </c:pt>
                <c:pt idx="138">
                  <c:v>168.15646360325294</c:v>
                </c:pt>
                <c:pt idx="139">
                  <c:v>174.60958938282684</c:v>
                </c:pt>
                <c:pt idx="140">
                  <c:v>175.6593324352641</c:v>
                </c:pt>
                <c:pt idx="141">
                  <c:v>174.25934241381023</c:v>
                </c:pt>
                <c:pt idx="142">
                  <c:v>172.88230304844575</c:v>
                </c:pt>
                <c:pt idx="143">
                  <c:v>171.88644414508798</c:v>
                </c:pt>
                <c:pt idx="144">
                  <c:v>169.29202215237231</c:v>
                </c:pt>
                <c:pt idx="145">
                  <c:v>165.70673052936181</c:v>
                </c:pt>
                <c:pt idx="146">
                  <c:v>162.04161053734464</c:v>
                </c:pt>
                <c:pt idx="147">
                  <c:v>163.21708327096732</c:v>
                </c:pt>
                <c:pt idx="148">
                  <c:v>163.43261986728521</c:v>
                </c:pt>
                <c:pt idx="149">
                  <c:v>164.93439105922255</c:v>
                </c:pt>
                <c:pt idx="150">
                  <c:v>165.26867235443783</c:v>
                </c:pt>
                <c:pt idx="151">
                  <c:v>167.1366561891931</c:v>
                </c:pt>
                <c:pt idx="152">
                  <c:v>167.96088409918661</c:v>
                </c:pt>
                <c:pt idx="153">
                  <c:v>170.46549917676981</c:v>
                </c:pt>
                <c:pt idx="154">
                  <c:v>174.46589831861485</c:v>
                </c:pt>
                <c:pt idx="155">
                  <c:v>172.4971311679887</c:v>
                </c:pt>
                <c:pt idx="156">
                  <c:v>171.2448236291971</c:v>
                </c:pt>
                <c:pt idx="157">
                  <c:v>176.63623210098274</c:v>
                </c:pt>
                <c:pt idx="158">
                  <c:v>176.1053734470886</c:v>
                </c:pt>
                <c:pt idx="159">
                  <c:v>177.79573916080412</c:v>
                </c:pt>
                <c:pt idx="160">
                  <c:v>179.64775732175806</c:v>
                </c:pt>
                <c:pt idx="161">
                  <c:v>181.19143840742387</c:v>
                </c:pt>
                <c:pt idx="162">
                  <c:v>184.30175123484491</c:v>
                </c:pt>
                <c:pt idx="163">
                  <c:v>186.21164496332867</c:v>
                </c:pt>
                <c:pt idx="164">
                  <c:v>189.20321309185235</c:v>
                </c:pt>
                <c:pt idx="165">
                  <c:v>188.23928553609724</c:v>
                </c:pt>
                <c:pt idx="166">
                  <c:v>184.75777079279533</c:v>
                </c:pt>
                <c:pt idx="167">
                  <c:v>190.81375043656124</c:v>
                </c:pt>
                <c:pt idx="168">
                  <c:v>188.40393154717341</c:v>
                </c:pt>
                <c:pt idx="169">
                  <c:v>186.49004640023932</c:v>
                </c:pt>
                <c:pt idx="170">
                  <c:v>188.73023000548804</c:v>
                </c:pt>
                <c:pt idx="171">
                  <c:v>186.71755725190826</c:v>
                </c:pt>
                <c:pt idx="172">
                  <c:v>195.14443945517127</c:v>
                </c:pt>
                <c:pt idx="173">
                  <c:v>198.17991318664858</c:v>
                </c:pt>
                <c:pt idx="174">
                  <c:v>202.25415356982478</c:v>
                </c:pt>
                <c:pt idx="175">
                  <c:v>200.74539739559935</c:v>
                </c:pt>
                <c:pt idx="176">
                  <c:v>195.22426782417793</c:v>
                </c:pt>
                <c:pt idx="177">
                  <c:v>198.93029985531095</c:v>
                </c:pt>
                <c:pt idx="178">
                  <c:v>204.34665469241119</c:v>
                </c:pt>
                <c:pt idx="179">
                  <c:v>198.30763857705921</c:v>
                </c:pt>
                <c:pt idx="180">
                  <c:v>197.9514044803671</c:v>
                </c:pt>
                <c:pt idx="181">
                  <c:v>198.04620066856251</c:v>
                </c:pt>
                <c:pt idx="182">
                  <c:v>201.73027989821873</c:v>
                </c:pt>
                <c:pt idx="183">
                  <c:v>204.56418699795427</c:v>
                </c:pt>
                <c:pt idx="184">
                  <c:v>198.42738113056916</c:v>
                </c:pt>
                <c:pt idx="185">
                  <c:v>202.58444344658972</c:v>
                </c:pt>
                <c:pt idx="186">
                  <c:v>209.22915731177955</c:v>
                </c:pt>
                <c:pt idx="187">
                  <c:v>212.66377288829005</c:v>
                </c:pt>
                <c:pt idx="188">
                  <c:v>212.56498528164434</c:v>
                </c:pt>
                <c:pt idx="189">
                  <c:v>213.43112308536635</c:v>
                </c:pt>
                <c:pt idx="190">
                  <c:v>213.62869829865775</c:v>
                </c:pt>
                <c:pt idx="191">
                  <c:v>219.57890535348986</c:v>
                </c:pt>
                <c:pt idx="192">
                  <c:v>215.19932145886327</c:v>
                </c:pt>
                <c:pt idx="193">
                  <c:v>220.65658833507939</c:v>
                </c:pt>
                <c:pt idx="194">
                  <c:v>223.52542034625537</c:v>
                </c:pt>
                <c:pt idx="195">
                  <c:v>225.52611884448419</c:v>
                </c:pt>
                <c:pt idx="196">
                  <c:v>228.17242927705416</c:v>
                </c:pt>
                <c:pt idx="197">
                  <c:v>227.64855560544814</c:v>
                </c:pt>
                <c:pt idx="198">
                  <c:v>229.38083121289208</c:v>
                </c:pt>
                <c:pt idx="199">
                  <c:v>231.55715212293552</c:v>
                </c:pt>
                <c:pt idx="200">
                  <c:v>231.90540338272692</c:v>
                </c:pt>
                <c:pt idx="201">
                  <c:v>241.49678191887421</c:v>
                </c:pt>
                <c:pt idx="202">
                  <c:v>244.88350047398072</c:v>
                </c:pt>
                <c:pt idx="203">
                  <c:v>249.92466197674975</c:v>
                </c:pt>
                <c:pt idx="204">
                  <c:v>251.57710921518711</c:v>
                </c:pt>
                <c:pt idx="205">
                  <c:v>255.42683231053218</c:v>
                </c:pt>
                <c:pt idx="206">
                  <c:v>256.87272364416486</c:v>
                </c:pt>
                <c:pt idx="207">
                  <c:v>252.11794641520714</c:v>
                </c:pt>
                <c:pt idx="208">
                  <c:v>253.12478171930334</c:v>
                </c:pt>
                <c:pt idx="209">
                  <c:v>245.87536795888823</c:v>
                </c:pt>
                <c:pt idx="210">
                  <c:v>249.75802025644848</c:v>
                </c:pt>
                <c:pt idx="211">
                  <c:v>250.77383625205795</c:v>
                </c:pt>
                <c:pt idx="212">
                  <c:v>251.48430873621697</c:v>
                </c:pt>
                <c:pt idx="213">
                  <c:v>259.36536446639707</c:v>
                </c:pt>
                <c:pt idx="214">
                  <c:v>263.25101032779503</c:v>
                </c:pt>
                <c:pt idx="215">
                  <c:v>264.1081674400038</c:v>
                </c:pt>
                <c:pt idx="216">
                  <c:v>263.49947612632815</c:v>
                </c:pt>
                <c:pt idx="217">
                  <c:v>254.38507209499554</c:v>
                </c:pt>
                <c:pt idx="218">
                  <c:v>257.87057825674776</c:v>
                </c:pt>
                <c:pt idx="219">
                  <c:v>259.10093299406253</c:v>
                </c:pt>
                <c:pt idx="220">
                  <c:v>268.60749388814025</c:v>
                </c:pt>
                <c:pt idx="221">
                  <c:v>271.83255999600834</c:v>
                </c:pt>
                <c:pt idx="222">
                  <c:v>278.51319662725109</c:v>
                </c:pt>
                <c:pt idx="223">
                  <c:v>279.26757471436378</c:v>
                </c:pt>
                <c:pt idx="224">
                  <c:v>279.80142693209569</c:v>
                </c:pt>
                <c:pt idx="225">
                  <c:v>275.83196128324073</c:v>
                </c:pt>
                <c:pt idx="226">
                  <c:v>278.32559996008547</c:v>
                </c:pt>
                <c:pt idx="227">
                  <c:v>277.13615726188664</c:v>
                </c:pt>
                <c:pt idx="228">
                  <c:v>280.51090156164213</c:v>
                </c:pt>
                <c:pt idx="229">
                  <c:v>282.2421793144735</c:v>
                </c:pt>
                <c:pt idx="230">
                  <c:v>284.00439056029506</c:v>
                </c:pt>
                <c:pt idx="231">
                  <c:v>268.01476824826591</c:v>
                </c:pt>
                <c:pt idx="232">
                  <c:v>275.44778725739627</c:v>
                </c:pt>
                <c:pt idx="233">
                  <c:v>269.95459761512711</c:v>
                </c:pt>
                <c:pt idx="234">
                  <c:v>271.80062864840556</c:v>
                </c:pt>
                <c:pt idx="235">
                  <c:v>274.27630594222381</c:v>
                </c:pt>
                <c:pt idx="236">
                  <c:v>274.28329092451196</c:v>
                </c:pt>
                <c:pt idx="237">
                  <c:v>277.69994511799592</c:v>
                </c:pt>
                <c:pt idx="238">
                  <c:v>263.66112857356649</c:v>
                </c:pt>
                <c:pt idx="239">
                  <c:v>266.21364067255365</c:v>
                </c:pt>
                <c:pt idx="240">
                  <c:v>261.80212543032445</c:v>
                </c:pt>
                <c:pt idx="241">
                  <c:v>252.02215237239898</c:v>
                </c:pt>
                <c:pt idx="242">
                  <c:v>261.90490445542048</c:v>
                </c:pt>
                <c:pt idx="243">
                  <c:v>268.18340567779239</c:v>
                </c:pt>
                <c:pt idx="244">
                  <c:v>262.06056977498343</c:v>
                </c:pt>
                <c:pt idx="245">
                  <c:v>265.59297510352707</c:v>
                </c:pt>
                <c:pt idx="246">
                  <c:v>274.07873072893244</c:v>
                </c:pt>
                <c:pt idx="247">
                  <c:v>279.68268223319831</c:v>
                </c:pt>
                <c:pt idx="248">
                  <c:v>282.7680486953048</c:v>
                </c:pt>
                <c:pt idx="249">
                  <c:v>288.08860948959705</c:v>
                </c:pt>
                <c:pt idx="250">
                  <c:v>287.26138801576582</c:v>
                </c:pt>
                <c:pt idx="251">
                  <c:v>293.85820485955168</c:v>
                </c:pt>
                <c:pt idx="252">
                  <c:v>296.39375343012489</c:v>
                </c:pt>
                <c:pt idx="253">
                  <c:v>294.65149927655506</c:v>
                </c:pt>
                <c:pt idx="254">
                  <c:v>294.74429975552528</c:v>
                </c:pt>
                <c:pt idx="255">
                  <c:v>295.14044803672067</c:v>
                </c:pt>
                <c:pt idx="256">
                  <c:v>303.36277004440416</c:v>
                </c:pt>
                <c:pt idx="257">
                  <c:v>303.82577458464266</c:v>
                </c:pt>
                <c:pt idx="258">
                  <c:v>301.75921768198339</c:v>
                </c:pt>
                <c:pt idx="259">
                  <c:v>295.288130519383</c:v>
                </c:pt>
                <c:pt idx="260">
                  <c:v>298.82851868482726</c:v>
                </c:pt>
                <c:pt idx="261">
                  <c:v>293.19762510602175</c:v>
                </c:pt>
                <c:pt idx="262">
                  <c:v>289.72708676345826</c:v>
                </c:pt>
                <c:pt idx="263">
                  <c:v>287.32624856558368</c:v>
                </c:pt>
                <c:pt idx="264">
                  <c:v>277.16509504565153</c:v>
                </c:pt>
                <c:pt idx="265">
                  <c:v>282.96263034475845</c:v>
                </c:pt>
                <c:pt idx="266">
                  <c:v>274.01885945217748</c:v>
                </c:pt>
                <c:pt idx="267">
                  <c:v>281.81908895873835</c:v>
                </c:pt>
                <c:pt idx="268">
                  <c:v>280.11275757122155</c:v>
                </c:pt>
                <c:pt idx="269">
                  <c:v>284.94935887841103</c:v>
                </c:pt>
                <c:pt idx="270">
                  <c:v>279.80841191438367</c:v>
                </c:pt>
                <c:pt idx="271">
                  <c:v>282.37888539639732</c:v>
                </c:pt>
                <c:pt idx="272">
                  <c:v>271.41346105872327</c:v>
                </c:pt>
                <c:pt idx="273">
                  <c:v>277.86858254752235</c:v>
                </c:pt>
                <c:pt idx="274">
                  <c:v>284.63204111160957</c:v>
                </c:pt>
                <c:pt idx="275">
                  <c:v>281.35109514543683</c:v>
                </c:pt>
                <c:pt idx="276">
                  <c:v>285.38841490794744</c:v>
                </c:pt>
                <c:pt idx="277">
                  <c:v>287.45896322905702</c:v>
                </c:pt>
                <c:pt idx="278">
                  <c:v>285.50217033378186</c:v>
                </c:pt>
                <c:pt idx="279">
                  <c:v>281.71032280596665</c:v>
                </c:pt>
                <c:pt idx="280">
                  <c:v>287.11370553310331</c:v>
                </c:pt>
                <c:pt idx="281">
                  <c:v>289.8807563737958</c:v>
                </c:pt>
                <c:pt idx="282">
                  <c:v>293.77937434515735</c:v>
                </c:pt>
                <c:pt idx="283">
                  <c:v>286.2954647507853</c:v>
                </c:pt>
                <c:pt idx="284">
                  <c:v>273.79933143740908</c:v>
                </c:pt>
                <c:pt idx="285">
                  <c:v>270.41560644614032</c:v>
                </c:pt>
                <c:pt idx="286">
                  <c:v>261.39599860300308</c:v>
                </c:pt>
                <c:pt idx="287">
                  <c:v>253.50995359976008</c:v>
                </c:pt>
                <c:pt idx="288">
                  <c:v>247.84014369106379</c:v>
                </c:pt>
                <c:pt idx="289">
                  <c:v>255.2532056079425</c:v>
                </c:pt>
                <c:pt idx="290">
                  <c:v>256.61128573566793</c:v>
                </c:pt>
                <c:pt idx="291">
                  <c:v>247.95988624457377</c:v>
                </c:pt>
                <c:pt idx="292">
                  <c:v>248.01875966671616</c:v>
                </c:pt>
                <c:pt idx="293">
                  <c:v>245.88335079578866</c:v>
                </c:pt>
                <c:pt idx="294">
                  <c:v>247.35418849473595</c:v>
                </c:pt>
                <c:pt idx="295">
                  <c:v>244.74579653744411</c:v>
                </c:pt>
                <c:pt idx="296">
                  <c:v>226.57486404230869</c:v>
                </c:pt>
                <c:pt idx="297">
                  <c:v>231.58808561592542</c:v>
                </c:pt>
                <c:pt idx="298">
                  <c:v>238.75367958888356</c:v>
                </c:pt>
                <c:pt idx="299">
                  <c:v>232.81345108017726</c:v>
                </c:pt>
                <c:pt idx="300">
                  <c:v>222.15835952701659</c:v>
                </c:pt>
                <c:pt idx="301">
                  <c:v>173.14673452078006</c:v>
                </c:pt>
                <c:pt idx="302">
                  <c:v>193.76640223519402</c:v>
                </c:pt>
                <c:pt idx="303">
                  <c:v>175.64835603452551</c:v>
                </c:pt>
                <c:pt idx="304">
                  <c:v>190.43256997455444</c:v>
                </c:pt>
                <c:pt idx="305">
                  <c:v>191.33662625355458</c:v>
                </c:pt>
                <c:pt idx="306">
                  <c:v>181.49678191887415</c:v>
                </c:pt>
                <c:pt idx="307">
                  <c:v>162.18729731078156</c:v>
                </c:pt>
                <c:pt idx="308">
                  <c:v>174.86404230903531</c:v>
                </c:pt>
                <c:pt idx="309">
                  <c:v>160.28638427381105</c:v>
                </c:pt>
                <c:pt idx="310">
                  <c:v>174.43197126178688</c:v>
                </c:pt>
                <c:pt idx="311">
                  <c:v>183.32485156912611</c:v>
                </c:pt>
                <c:pt idx="312">
                  <c:v>180.33627700444018</c:v>
                </c:pt>
                <c:pt idx="313">
                  <c:v>184.55520630644085</c:v>
                </c:pt>
                <c:pt idx="314">
                  <c:v>183.32884298757642</c:v>
                </c:pt>
                <c:pt idx="315">
                  <c:v>171.27675497679959</c:v>
                </c:pt>
                <c:pt idx="316">
                  <c:v>158.83051439405253</c:v>
                </c:pt>
                <c:pt idx="317">
                  <c:v>163.30689018609959</c:v>
                </c:pt>
                <c:pt idx="318">
                  <c:v>169.00264431472306</c:v>
                </c:pt>
                <c:pt idx="319">
                  <c:v>164.66297460459984</c:v>
                </c:pt>
                <c:pt idx="320">
                  <c:v>156.22511600059843</c:v>
                </c:pt>
                <c:pt idx="321">
                  <c:v>154.14658484258817</c:v>
                </c:pt>
                <c:pt idx="322">
                  <c:v>142.57945417352667</c:v>
                </c:pt>
                <c:pt idx="323">
                  <c:v>142.78102080526844</c:v>
                </c:pt>
                <c:pt idx="324">
                  <c:v>153.13875168387938</c:v>
                </c:pt>
                <c:pt idx="325">
                  <c:v>150.93948011774657</c:v>
                </c:pt>
                <c:pt idx="326">
                  <c:v>153.98094097689938</c:v>
                </c:pt>
                <c:pt idx="327">
                  <c:v>154.41001846031006</c:v>
                </c:pt>
                <c:pt idx="328">
                  <c:v>157.6310931497278</c:v>
                </c:pt>
                <c:pt idx="329">
                  <c:v>158.88838996158231</c:v>
                </c:pt>
                <c:pt idx="330">
                  <c:v>163.82677243925528</c:v>
                </c:pt>
                <c:pt idx="331">
                  <c:v>172.45621912887259</c:v>
                </c:pt>
                <c:pt idx="332">
                  <c:v>174.2922716160252</c:v>
                </c:pt>
                <c:pt idx="333">
                  <c:v>180.77932445242692</c:v>
                </c:pt>
                <c:pt idx="334">
                  <c:v>184.78670857656002</c:v>
                </c:pt>
                <c:pt idx="335">
                  <c:v>179.05303597265842</c:v>
                </c:pt>
                <c:pt idx="336">
                  <c:v>179.35239235643331</c:v>
                </c:pt>
                <c:pt idx="337">
                  <c:v>177.37464451429389</c:v>
                </c:pt>
                <c:pt idx="338">
                  <c:v>178.7486903158206</c:v>
                </c:pt>
                <c:pt idx="339">
                  <c:v>178.0232500124728</c:v>
                </c:pt>
                <c:pt idx="340">
                  <c:v>173.38821533702503</c:v>
                </c:pt>
                <c:pt idx="341">
                  <c:v>181.55565534101646</c:v>
                </c:pt>
                <c:pt idx="342">
                  <c:v>184.92640822232164</c:v>
                </c:pt>
                <c:pt idx="343">
                  <c:v>185.75762111460321</c:v>
                </c:pt>
                <c:pt idx="344">
                  <c:v>187.17158110063323</c:v>
                </c:pt>
                <c:pt idx="345">
                  <c:v>187.10173127775241</c:v>
                </c:pt>
                <c:pt idx="346">
                  <c:v>190.93049942623315</c:v>
                </c:pt>
                <c:pt idx="347">
                  <c:v>192.37040363219035</c:v>
                </c:pt>
                <c:pt idx="348">
                  <c:v>190.14618570074296</c:v>
                </c:pt>
                <c:pt idx="349">
                  <c:v>203.24202963628153</c:v>
                </c:pt>
                <c:pt idx="350">
                  <c:v>206.06496033527867</c:v>
                </c:pt>
                <c:pt idx="351">
                  <c:v>202.10746894177473</c:v>
                </c:pt>
                <c:pt idx="352">
                  <c:v>202.04460410118199</c:v>
                </c:pt>
                <c:pt idx="353">
                  <c:v>207.1825575013716</c:v>
                </c:pt>
                <c:pt idx="354">
                  <c:v>207.32026143790804</c:v>
                </c:pt>
                <c:pt idx="355">
                  <c:v>207.96287980841149</c:v>
                </c:pt>
                <c:pt idx="356">
                  <c:v>202.27810208052648</c:v>
                </c:pt>
                <c:pt idx="357">
                  <c:v>207.38512198772597</c:v>
                </c:pt>
                <c:pt idx="358">
                  <c:v>213.20161652447194</c:v>
                </c:pt>
                <c:pt idx="359">
                  <c:v>213.79035074589589</c:v>
                </c:pt>
                <c:pt idx="360">
                  <c:v>214.89996507508815</c:v>
                </c:pt>
                <c:pt idx="361">
                  <c:v>217.4235393903104</c:v>
                </c:pt>
                <c:pt idx="362">
                  <c:v>212.65179863293878</c:v>
                </c:pt>
                <c:pt idx="363">
                  <c:v>209.70912538043166</c:v>
                </c:pt>
                <c:pt idx="364">
                  <c:v>213.51095145437264</c:v>
                </c:pt>
                <c:pt idx="365">
                  <c:v>217.42254153569783</c:v>
                </c:pt>
                <c:pt idx="366">
                  <c:v>216.64720850172088</c:v>
                </c:pt>
                <c:pt idx="367">
                  <c:v>216.47358179913144</c:v>
                </c:pt>
                <c:pt idx="368">
                  <c:v>211.86349348899824</c:v>
                </c:pt>
                <c:pt idx="369">
                  <c:v>206.89218180911001</c:v>
                </c:pt>
                <c:pt idx="370">
                  <c:v>197.74385072094958</c:v>
                </c:pt>
                <c:pt idx="371">
                  <c:v>200.05987127675459</c:v>
                </c:pt>
                <c:pt idx="372">
                  <c:v>203.05143940527827</c:v>
                </c:pt>
                <c:pt idx="373">
                  <c:v>203.05443296911602</c:v>
                </c:pt>
                <c:pt idx="374">
                  <c:v>208.20835204310691</c:v>
                </c:pt>
                <c:pt idx="375">
                  <c:v>210.76385770593185</c:v>
                </c:pt>
                <c:pt idx="376">
                  <c:v>208.27121688369968</c:v>
                </c:pt>
                <c:pt idx="377">
                  <c:v>206.59581898917293</c:v>
                </c:pt>
                <c:pt idx="378">
                  <c:v>212.65978146983949</c:v>
                </c:pt>
                <c:pt idx="379">
                  <c:v>213.59377338721714</c:v>
                </c:pt>
                <c:pt idx="380">
                  <c:v>212.71266776430636</c:v>
                </c:pt>
                <c:pt idx="381">
                  <c:v>207.51384523274925</c:v>
                </c:pt>
                <c:pt idx="382">
                  <c:v>199.22865838447308</c:v>
                </c:pt>
                <c:pt idx="383">
                  <c:v>176.965524123135</c:v>
                </c:pt>
                <c:pt idx="384">
                  <c:v>180.59072993064882</c:v>
                </c:pt>
                <c:pt idx="385">
                  <c:v>174.19647757321729</c:v>
                </c:pt>
                <c:pt idx="386">
                  <c:v>173.74345157910463</c:v>
                </c:pt>
                <c:pt idx="387">
                  <c:v>171.10512398343533</c:v>
                </c:pt>
                <c:pt idx="388">
                  <c:v>175.22925709724063</c:v>
                </c:pt>
                <c:pt idx="389">
                  <c:v>181.86898168936753</c:v>
                </c:pt>
                <c:pt idx="390">
                  <c:v>177.12917227959855</c:v>
                </c:pt>
                <c:pt idx="391">
                  <c:v>177.56523474529732</c:v>
                </c:pt>
                <c:pt idx="392">
                  <c:v>185.02918724741775</c:v>
                </c:pt>
                <c:pt idx="393">
                  <c:v>188.78710771840514</c:v>
                </c:pt>
                <c:pt idx="394">
                  <c:v>190.77184054283259</c:v>
                </c:pt>
                <c:pt idx="395">
                  <c:v>196.26004091203879</c:v>
                </c:pt>
                <c:pt idx="396">
                  <c:v>202.21324153070867</c:v>
                </c:pt>
                <c:pt idx="397">
                  <c:v>194.50980392156833</c:v>
                </c:pt>
                <c:pt idx="398">
                  <c:v>190.32679738562064</c:v>
                </c:pt>
                <c:pt idx="399">
                  <c:v>194.60460010976374</c:v>
                </c:pt>
                <c:pt idx="400">
                  <c:v>199.66372299555928</c:v>
                </c:pt>
                <c:pt idx="401">
                  <c:v>201.21538691812574</c:v>
                </c:pt>
                <c:pt idx="402">
                  <c:v>202.66626752482134</c:v>
                </c:pt>
                <c:pt idx="403">
                  <c:v>206.77643067405049</c:v>
                </c:pt>
                <c:pt idx="404">
                  <c:v>207.31826572868303</c:v>
                </c:pt>
                <c:pt idx="405">
                  <c:v>215.78107069799898</c:v>
                </c:pt>
                <c:pt idx="406">
                  <c:v>219.46315421843008</c:v>
                </c:pt>
                <c:pt idx="407">
                  <c:v>219.94112657785732</c:v>
                </c:pt>
                <c:pt idx="408">
                  <c:v>224.23589283041431</c:v>
                </c:pt>
                <c:pt idx="409">
                  <c:v>226.86025046150749</c:v>
                </c:pt>
                <c:pt idx="410">
                  <c:v>220.44504315721173</c:v>
                </c:pt>
                <c:pt idx="411">
                  <c:v>218.27870079329415</c:v>
                </c:pt>
                <c:pt idx="412">
                  <c:v>209.37085266676621</c:v>
                </c:pt>
                <c:pt idx="413">
                  <c:v>209.60933991917352</c:v>
                </c:pt>
                <c:pt idx="414">
                  <c:v>208.9727086763456</c:v>
                </c:pt>
                <c:pt idx="415">
                  <c:v>207.40208551614006</c:v>
                </c:pt>
                <c:pt idx="416">
                  <c:v>210.68901860998832</c:v>
                </c:pt>
                <c:pt idx="417">
                  <c:v>210.18709773985907</c:v>
                </c:pt>
                <c:pt idx="418">
                  <c:v>208.93878161951784</c:v>
                </c:pt>
                <c:pt idx="419">
                  <c:v>210.44953350296839</c:v>
                </c:pt>
                <c:pt idx="420">
                  <c:v>215.33902110462483</c:v>
                </c:pt>
                <c:pt idx="421">
                  <c:v>215.72419298508186</c:v>
                </c:pt>
                <c:pt idx="422">
                  <c:v>219.88225315571498</c:v>
                </c:pt>
                <c:pt idx="423">
                  <c:v>223.60225515142417</c:v>
                </c:pt>
                <c:pt idx="424">
                  <c:v>226.3094347153617</c:v>
                </c:pt>
                <c:pt idx="425">
                  <c:v>224.47637579204684</c:v>
                </c:pt>
                <c:pt idx="426">
                  <c:v>228.59152821433889</c:v>
                </c:pt>
                <c:pt idx="427">
                  <c:v>223.22107468941749</c:v>
                </c:pt>
                <c:pt idx="428">
                  <c:v>224.53524921418918</c:v>
                </c:pt>
                <c:pt idx="429">
                  <c:v>229.35488699296482</c:v>
                </c:pt>
                <c:pt idx="430">
                  <c:v>233.89811904405499</c:v>
                </c:pt>
                <c:pt idx="431">
                  <c:v>237.85361472833381</c:v>
                </c:pt>
                <c:pt idx="432">
                  <c:v>238.26872224716828</c:v>
                </c:pt>
                <c:pt idx="433">
                  <c:v>242.46769445691731</c:v>
                </c:pt>
                <c:pt idx="434">
                  <c:v>249.7201017811702</c:v>
                </c:pt>
                <c:pt idx="435">
                  <c:v>244.51030284887463</c:v>
                </c:pt>
                <c:pt idx="436">
                  <c:v>240.53385221773161</c:v>
                </c:pt>
                <c:pt idx="437">
                  <c:v>240.89307987826149</c:v>
                </c:pt>
                <c:pt idx="438">
                  <c:v>241.92386369305967</c:v>
                </c:pt>
                <c:pt idx="439">
                  <c:v>241.41196427680461</c:v>
                </c:pt>
                <c:pt idx="440">
                  <c:v>236.23409669211173</c:v>
                </c:pt>
                <c:pt idx="441">
                  <c:v>233.69954597615106</c:v>
                </c:pt>
                <c:pt idx="442">
                  <c:v>228.1035773087859</c:v>
                </c:pt>
                <c:pt idx="443">
                  <c:v>241.12458214838071</c:v>
                </c:pt>
                <c:pt idx="444">
                  <c:v>235.57152122935665</c:v>
                </c:pt>
                <c:pt idx="445">
                  <c:v>229.6342862844881</c:v>
                </c:pt>
                <c:pt idx="446">
                  <c:v>238.55510652097959</c:v>
                </c:pt>
                <c:pt idx="447">
                  <c:v>234.41400987876037</c:v>
                </c:pt>
                <c:pt idx="448">
                  <c:v>218.82851868482734</c:v>
                </c:pt>
                <c:pt idx="449">
                  <c:v>219.45716709075461</c:v>
                </c:pt>
                <c:pt idx="450">
                  <c:v>212.9272065060118</c:v>
                </c:pt>
                <c:pt idx="451">
                  <c:v>214.84807663523398</c:v>
                </c:pt>
                <c:pt idx="452">
                  <c:v>220.27041860000975</c:v>
                </c:pt>
                <c:pt idx="453">
                  <c:v>211.45736666167716</c:v>
                </c:pt>
                <c:pt idx="454">
                  <c:v>213.99990021453851</c:v>
                </c:pt>
                <c:pt idx="455">
                  <c:v>204.63902609389788</c:v>
                </c:pt>
                <c:pt idx="456">
                  <c:v>213.95499675697226</c:v>
                </c:pt>
                <c:pt idx="457">
                  <c:v>216.64421493788328</c:v>
                </c:pt>
                <c:pt idx="458">
                  <c:v>222.50261936835773</c:v>
                </c:pt>
                <c:pt idx="459">
                  <c:v>224.98328593523894</c:v>
                </c:pt>
                <c:pt idx="460">
                  <c:v>227.56373796337843</c:v>
                </c:pt>
                <c:pt idx="461">
                  <c:v>219.40727436012543</c:v>
                </c:pt>
                <c:pt idx="462">
                  <c:v>220.15566531956262</c:v>
                </c:pt>
                <c:pt idx="463">
                  <c:v>214.16654193483978</c:v>
                </c:pt>
                <c:pt idx="464">
                  <c:v>202.25515142443717</c:v>
                </c:pt>
                <c:pt idx="465">
                  <c:v>210.03741954797155</c:v>
                </c:pt>
                <c:pt idx="466">
                  <c:v>208.70628149478594</c:v>
                </c:pt>
                <c:pt idx="467">
                  <c:v>203.57930449533475</c:v>
                </c:pt>
                <c:pt idx="468">
                  <c:v>207.94591627999768</c:v>
                </c:pt>
                <c:pt idx="469">
                  <c:v>208.70129222172301</c:v>
                </c:pt>
                <c:pt idx="470">
                  <c:v>204.12912238686798</c:v>
                </c:pt>
                <c:pt idx="471">
                  <c:v>204.63603253006013</c:v>
                </c:pt>
                <c:pt idx="472">
                  <c:v>208.13750436561367</c:v>
                </c:pt>
                <c:pt idx="473">
                  <c:v>212.04011375542561</c:v>
                </c:pt>
                <c:pt idx="474">
                  <c:v>218.38846480067829</c:v>
                </c:pt>
                <c:pt idx="475">
                  <c:v>216.38078132016142</c:v>
                </c:pt>
                <c:pt idx="476">
                  <c:v>219.45517138152948</c:v>
                </c:pt>
                <c:pt idx="477">
                  <c:v>222.65828468792071</c:v>
                </c:pt>
                <c:pt idx="478">
                  <c:v>224.231901411964</c:v>
                </c:pt>
                <c:pt idx="479">
                  <c:v>220.1726288479766</c:v>
                </c:pt>
                <c:pt idx="480">
                  <c:v>221.6424686923113</c:v>
                </c:pt>
                <c:pt idx="481">
                  <c:v>220.87012922217207</c:v>
                </c:pt>
                <c:pt idx="482">
                  <c:v>221.08466796387742</c:v>
                </c:pt>
                <c:pt idx="483">
                  <c:v>214.5038167938929</c:v>
                </c:pt>
                <c:pt idx="484">
                  <c:v>214.49583395699224</c:v>
                </c:pt>
                <c:pt idx="485">
                  <c:v>220.11475328044682</c:v>
                </c:pt>
                <c:pt idx="486">
                  <c:v>223.75293119792426</c:v>
                </c:pt>
                <c:pt idx="487">
                  <c:v>220.21154517786735</c:v>
                </c:pt>
                <c:pt idx="488">
                  <c:v>219.82138402434742</c:v>
                </c:pt>
                <c:pt idx="489">
                  <c:v>208.82602404829592</c:v>
                </c:pt>
                <c:pt idx="490">
                  <c:v>208.4937384623058</c:v>
                </c:pt>
                <c:pt idx="491">
                  <c:v>199.69465648854938</c:v>
                </c:pt>
                <c:pt idx="492">
                  <c:v>206.36531457366638</c:v>
                </c:pt>
                <c:pt idx="493">
                  <c:v>208.11754727336202</c:v>
                </c:pt>
                <c:pt idx="494">
                  <c:v>208.23429626303425</c:v>
                </c:pt>
                <c:pt idx="495">
                  <c:v>216.496532455221</c:v>
                </c:pt>
                <c:pt idx="496">
                  <c:v>212.36042508606471</c:v>
                </c:pt>
                <c:pt idx="497">
                  <c:v>215.52262635334006</c:v>
                </c:pt>
                <c:pt idx="498">
                  <c:v>210.10128224317691</c:v>
                </c:pt>
                <c:pt idx="499">
                  <c:v>212.10297859601832</c:v>
                </c:pt>
                <c:pt idx="500">
                  <c:v>213.54388065658813</c:v>
                </c:pt>
                <c:pt idx="501">
                  <c:v>214.71336626253532</c:v>
                </c:pt>
                <c:pt idx="502">
                  <c:v>220.958938282692</c:v>
                </c:pt>
                <c:pt idx="503">
                  <c:v>221.74923913585772</c:v>
                </c:pt>
                <c:pt idx="504">
                  <c:v>221.08666367310261</c:v>
                </c:pt>
                <c:pt idx="505">
                  <c:v>227.91398493239512</c:v>
                </c:pt>
                <c:pt idx="506">
                  <c:v>233.0170134211443</c:v>
                </c:pt>
                <c:pt idx="507">
                  <c:v>235.31307688469767</c:v>
                </c:pt>
                <c:pt idx="508">
                  <c:v>229.50456518485234</c:v>
                </c:pt>
                <c:pt idx="509">
                  <c:v>236.18619967070777</c:v>
                </c:pt>
                <c:pt idx="510">
                  <c:v>230.99136855760096</c:v>
                </c:pt>
                <c:pt idx="511">
                  <c:v>234.18051189941608</c:v>
                </c:pt>
                <c:pt idx="512">
                  <c:v>232.29157311779653</c:v>
                </c:pt>
                <c:pt idx="513">
                  <c:v>231.73077882552494</c:v>
                </c:pt>
                <c:pt idx="514">
                  <c:v>223.87367160604686</c:v>
                </c:pt>
                <c:pt idx="515">
                  <c:v>220.5368457815695</c:v>
                </c:pt>
                <c:pt idx="516">
                  <c:v>230.13520930000485</c:v>
                </c:pt>
                <c:pt idx="517">
                  <c:v>232.18580052886276</c:v>
                </c:pt>
                <c:pt idx="518">
                  <c:v>231.46534949857789</c:v>
                </c:pt>
                <c:pt idx="519">
                  <c:v>235.58848475777057</c:v>
                </c:pt>
                <c:pt idx="520">
                  <c:v>237.46245572020138</c:v>
                </c:pt>
                <c:pt idx="521">
                  <c:v>237.21997704934373</c:v>
                </c:pt>
                <c:pt idx="522">
                  <c:v>238.79459162799955</c:v>
                </c:pt>
                <c:pt idx="523">
                  <c:v>239.13186648705258</c:v>
                </c:pt>
                <c:pt idx="524">
                  <c:v>238.19587886044977</c:v>
                </c:pt>
                <c:pt idx="525">
                  <c:v>244.3855710223018</c:v>
                </c:pt>
                <c:pt idx="526">
                  <c:v>245.74265329541461</c:v>
                </c:pt>
                <c:pt idx="527">
                  <c:v>241.10462505612909</c:v>
                </c:pt>
                <c:pt idx="528">
                  <c:v>239.80342264132094</c:v>
                </c:pt>
                <c:pt idx="529">
                  <c:v>242.67624607094723</c:v>
                </c:pt>
                <c:pt idx="530">
                  <c:v>238.12403332834384</c:v>
                </c:pt>
                <c:pt idx="531">
                  <c:v>239.86429177268849</c:v>
                </c:pt>
                <c:pt idx="532">
                  <c:v>241.00084817642048</c:v>
                </c:pt>
                <c:pt idx="533">
                  <c:v>243.98343561343088</c:v>
                </c:pt>
                <c:pt idx="534">
                  <c:v>241.11061218380459</c:v>
                </c:pt>
                <c:pt idx="535">
                  <c:v>243.52043107319241</c:v>
                </c:pt>
                <c:pt idx="536">
                  <c:v>249.78396447637556</c:v>
                </c:pt>
                <c:pt idx="537">
                  <c:v>247.5767100733421</c:v>
                </c:pt>
                <c:pt idx="538">
                  <c:v>252.82642319014093</c:v>
                </c:pt>
                <c:pt idx="539">
                  <c:v>258.18689816893652</c:v>
                </c:pt>
                <c:pt idx="540">
                  <c:v>255.43281943820762</c:v>
                </c:pt>
                <c:pt idx="541">
                  <c:v>255.06960035922739</c:v>
                </c:pt>
                <c:pt idx="542">
                  <c:v>254.43197126178688</c:v>
                </c:pt>
                <c:pt idx="543">
                  <c:v>248.55660330289848</c:v>
                </c:pt>
                <c:pt idx="544">
                  <c:v>248.17642069550439</c:v>
                </c:pt>
                <c:pt idx="545">
                  <c:v>247.31926358329568</c:v>
                </c:pt>
                <c:pt idx="546">
                  <c:v>234.40902060569752</c:v>
                </c:pt>
                <c:pt idx="547">
                  <c:v>237.37564236890663</c:v>
                </c:pt>
                <c:pt idx="548">
                  <c:v>235.47971860499905</c:v>
                </c:pt>
                <c:pt idx="549">
                  <c:v>239.61881953799312</c:v>
                </c:pt>
                <c:pt idx="550">
                  <c:v>245.97515342014646</c:v>
                </c:pt>
                <c:pt idx="551">
                  <c:v>246.59482113456048</c:v>
                </c:pt>
                <c:pt idx="552">
                  <c:v>250.08431871476301</c:v>
                </c:pt>
                <c:pt idx="553">
                  <c:v>251.15601456867711</c:v>
                </c:pt>
                <c:pt idx="554">
                  <c:v>246.84328693309359</c:v>
                </c:pt>
                <c:pt idx="555">
                  <c:v>247.96886693608718</c:v>
                </c:pt>
                <c:pt idx="556">
                  <c:v>241.32614878012251</c:v>
                </c:pt>
                <c:pt idx="557">
                  <c:v>245.17088260240465</c:v>
                </c:pt>
                <c:pt idx="558">
                  <c:v>249.06351344609067</c:v>
                </c:pt>
                <c:pt idx="559">
                  <c:v>258.0891084169034</c:v>
                </c:pt>
                <c:pt idx="560">
                  <c:v>256.5494187496879</c:v>
                </c:pt>
                <c:pt idx="561">
                  <c:v>259.18375492690689</c:v>
                </c:pt>
                <c:pt idx="562">
                  <c:v>260.34625555056607</c:v>
                </c:pt>
                <c:pt idx="563">
                  <c:v>268.20436062465677</c:v>
                </c:pt>
                <c:pt idx="564">
                  <c:v>272.22571471336602</c:v>
                </c:pt>
                <c:pt idx="565">
                  <c:v>266.97201017811682</c:v>
                </c:pt>
                <c:pt idx="566">
                  <c:v>265.05812503118273</c:v>
                </c:pt>
                <c:pt idx="567">
                  <c:v>267.0189093449082</c:v>
                </c:pt>
                <c:pt idx="568">
                  <c:v>265.37644065259667</c:v>
                </c:pt>
                <c:pt idx="569">
                  <c:v>269.71910392655764</c:v>
                </c:pt>
                <c:pt idx="570">
                  <c:v>263.91059222671237</c:v>
                </c:pt>
                <c:pt idx="571">
                  <c:v>264.31871476325875</c:v>
                </c:pt>
                <c:pt idx="572">
                  <c:v>270.88360025944195</c:v>
                </c:pt>
                <c:pt idx="573">
                  <c:v>277.5193334331185</c:v>
                </c:pt>
                <c:pt idx="574">
                  <c:v>276.3368757172077</c:v>
                </c:pt>
                <c:pt idx="575">
                  <c:v>278.39345407374117</c:v>
                </c:pt>
                <c:pt idx="576">
                  <c:v>282.08451828568548</c:v>
                </c:pt>
                <c:pt idx="577">
                  <c:v>281.34909943621187</c:v>
                </c:pt>
                <c:pt idx="578">
                  <c:v>279.02110462505584</c:v>
                </c:pt>
                <c:pt idx="579">
                  <c:v>283.95449782966597</c:v>
                </c:pt>
                <c:pt idx="580">
                  <c:v>292.65279648755154</c:v>
                </c:pt>
                <c:pt idx="581">
                  <c:v>296.38277702938655</c:v>
                </c:pt>
                <c:pt idx="582">
                  <c:v>301.40398143990393</c:v>
                </c:pt>
                <c:pt idx="583">
                  <c:v>301.41495784064233</c:v>
                </c:pt>
                <c:pt idx="584">
                  <c:v>298.13002045601928</c:v>
                </c:pt>
                <c:pt idx="585">
                  <c:v>301.14254353140723</c:v>
                </c:pt>
                <c:pt idx="586">
                  <c:v>304.74380082821904</c:v>
                </c:pt>
                <c:pt idx="587">
                  <c:v>303.88265229756001</c:v>
                </c:pt>
                <c:pt idx="588">
                  <c:v>300.97091253804291</c:v>
                </c:pt>
                <c:pt idx="589">
                  <c:v>302.90774834106645</c:v>
                </c:pt>
                <c:pt idx="590">
                  <c:v>304.46939080975869</c:v>
                </c:pt>
                <c:pt idx="591">
                  <c:v>309.64426483061391</c:v>
                </c:pt>
                <c:pt idx="592">
                  <c:v>311.70084318714743</c:v>
                </c:pt>
                <c:pt idx="593">
                  <c:v>311.59507059821362</c:v>
                </c:pt>
                <c:pt idx="594">
                  <c:v>310.73691563139226</c:v>
                </c:pt>
                <c:pt idx="595">
                  <c:v>317.51035274160529</c:v>
                </c:pt>
                <c:pt idx="596">
                  <c:v>316.28099585890311</c:v>
                </c:pt>
                <c:pt idx="597">
                  <c:v>314.03881654442921</c:v>
                </c:pt>
                <c:pt idx="598">
                  <c:v>316.22012672753556</c:v>
                </c:pt>
                <c:pt idx="599">
                  <c:v>316.70308836002573</c:v>
                </c:pt>
                <c:pt idx="600">
                  <c:v>320.5827470937482</c:v>
                </c:pt>
                <c:pt idx="601">
                  <c:v>315.45277653045929</c:v>
                </c:pt>
                <c:pt idx="602">
                  <c:v>317.11220875118471</c:v>
                </c:pt>
                <c:pt idx="603">
                  <c:v>318.33757421543658</c:v>
                </c:pt>
                <c:pt idx="604">
                  <c:v>308.07563737963358</c:v>
                </c:pt>
                <c:pt idx="605">
                  <c:v>299.68368008781101</c:v>
                </c:pt>
                <c:pt idx="606">
                  <c:v>306.29546475078558</c:v>
                </c:pt>
                <c:pt idx="607">
                  <c:v>309.06251559147807</c:v>
                </c:pt>
                <c:pt idx="608">
                  <c:v>314.02285087062791</c:v>
                </c:pt>
                <c:pt idx="609">
                  <c:v>315.38392456219105</c:v>
                </c:pt>
                <c:pt idx="610">
                  <c:v>308.49373846230583</c:v>
                </c:pt>
                <c:pt idx="611">
                  <c:v>305.66681634485832</c:v>
                </c:pt>
                <c:pt idx="612">
                  <c:v>299.32545028189372</c:v>
                </c:pt>
                <c:pt idx="613">
                  <c:v>294.08471785660811</c:v>
                </c:pt>
                <c:pt idx="614">
                  <c:v>289.23414658484239</c:v>
                </c:pt>
                <c:pt idx="615">
                  <c:v>290.97440502918704</c:v>
                </c:pt>
                <c:pt idx="616">
                  <c:v>298.50920520880089</c:v>
                </c:pt>
                <c:pt idx="617">
                  <c:v>305.01322157361648</c:v>
                </c:pt>
                <c:pt idx="618">
                  <c:v>297.73586788404907</c:v>
                </c:pt>
                <c:pt idx="619">
                  <c:v>300.67754328194354</c:v>
                </c:pt>
                <c:pt idx="620">
                  <c:v>305.53809309983507</c:v>
                </c:pt>
                <c:pt idx="621">
                  <c:v>309.36785910292843</c:v>
                </c:pt>
                <c:pt idx="622">
                  <c:v>307.11071196926582</c:v>
                </c:pt>
                <c:pt idx="623">
                  <c:v>296.41670408621439</c:v>
                </c:pt>
                <c:pt idx="624">
                  <c:v>301.81609539490074</c:v>
                </c:pt>
                <c:pt idx="625">
                  <c:v>304.0123733971958</c:v>
                </c:pt>
                <c:pt idx="626">
                  <c:v>298.02325001247294</c:v>
                </c:pt>
                <c:pt idx="627">
                  <c:v>296.79688669360849</c:v>
                </c:pt>
                <c:pt idx="628">
                  <c:v>297.83764905453256</c:v>
                </c:pt>
                <c:pt idx="629">
                  <c:v>301.38502220226491</c:v>
                </c:pt>
                <c:pt idx="630">
                  <c:v>301.66841291223852</c:v>
                </c:pt>
                <c:pt idx="631">
                  <c:v>302.0665569026591</c:v>
                </c:pt>
                <c:pt idx="632">
                  <c:v>300.2594421992714</c:v>
                </c:pt>
                <c:pt idx="633">
                  <c:v>299.92416304944351</c:v>
                </c:pt>
                <c:pt idx="634">
                  <c:v>299.43920570772815</c:v>
                </c:pt>
                <c:pt idx="635">
                  <c:v>287.18056179214665</c:v>
                </c:pt>
                <c:pt idx="636">
                  <c:v>278.6968018759664</c:v>
                </c:pt>
                <c:pt idx="637">
                  <c:v>293.89412762560471</c:v>
                </c:pt>
                <c:pt idx="638">
                  <c:v>294.64451429426708</c:v>
                </c:pt>
                <c:pt idx="639">
                  <c:v>294.3920570772836</c:v>
                </c:pt>
                <c:pt idx="640">
                  <c:v>298.12103976450607</c:v>
                </c:pt>
                <c:pt idx="641">
                  <c:v>297.85860400139671</c:v>
                </c:pt>
                <c:pt idx="642">
                  <c:v>304.08322107468916</c:v>
                </c:pt>
                <c:pt idx="643">
                  <c:v>303.06241580601682</c:v>
                </c:pt>
                <c:pt idx="644">
                  <c:v>305.89931646959019</c:v>
                </c:pt>
                <c:pt idx="645">
                  <c:v>313.0589233148728</c:v>
                </c:pt>
                <c:pt idx="646">
                  <c:v>308.15446789402762</c:v>
                </c:pt>
                <c:pt idx="647">
                  <c:v>304.2578456318912</c:v>
                </c:pt>
                <c:pt idx="648">
                  <c:v>292.37339719602835</c:v>
                </c:pt>
                <c:pt idx="649">
                  <c:v>296.72404330689</c:v>
                </c:pt>
                <c:pt idx="650">
                  <c:v>298.77663024497315</c:v>
                </c:pt>
                <c:pt idx="651">
                  <c:v>298.9552462206255</c:v>
                </c:pt>
                <c:pt idx="652">
                  <c:v>287.27835154417983</c:v>
                </c:pt>
                <c:pt idx="653">
                  <c:v>294.15955695255184</c:v>
                </c:pt>
                <c:pt idx="654">
                  <c:v>295.58948261238322</c:v>
                </c:pt>
                <c:pt idx="655">
                  <c:v>291.34061767200507</c:v>
                </c:pt>
                <c:pt idx="656">
                  <c:v>295.2522077533302</c:v>
                </c:pt>
                <c:pt idx="657">
                  <c:v>293.2215736167239</c:v>
                </c:pt>
                <c:pt idx="658">
                  <c:v>297.37963378735702</c:v>
                </c:pt>
                <c:pt idx="659">
                  <c:v>289.65324552212729</c:v>
                </c:pt>
                <c:pt idx="660">
                  <c:v>288.24926408222308</c:v>
                </c:pt>
                <c:pt idx="661">
                  <c:v>280.74739310482448</c:v>
                </c:pt>
                <c:pt idx="662">
                  <c:v>287.85411365564022</c:v>
                </c:pt>
                <c:pt idx="663">
                  <c:v>292.49912687721383</c:v>
                </c:pt>
                <c:pt idx="664">
                  <c:v>291.26577857606128</c:v>
                </c:pt>
                <c:pt idx="665">
                  <c:v>299.34341166492021</c:v>
                </c:pt>
                <c:pt idx="666">
                  <c:v>304.46240582747072</c:v>
                </c:pt>
                <c:pt idx="667">
                  <c:v>309.51653944020336</c:v>
                </c:pt>
                <c:pt idx="668">
                  <c:v>307.65653844234868</c:v>
                </c:pt>
                <c:pt idx="669">
                  <c:v>305.78955246220596</c:v>
                </c:pt>
                <c:pt idx="670">
                  <c:v>294.2802973606743</c:v>
                </c:pt>
                <c:pt idx="671">
                  <c:v>291.66691613031958</c:v>
                </c:pt>
                <c:pt idx="672">
                  <c:v>299.37035373945992</c:v>
                </c:pt>
                <c:pt idx="673">
                  <c:v>295.12049094446917</c:v>
                </c:pt>
                <c:pt idx="674">
                  <c:v>293.89113406176693</c:v>
                </c:pt>
                <c:pt idx="675">
                  <c:v>290.79479119892204</c:v>
                </c:pt>
                <c:pt idx="676">
                  <c:v>289.52053085865361</c:v>
                </c:pt>
                <c:pt idx="677">
                  <c:v>294.01387017911469</c:v>
                </c:pt>
                <c:pt idx="678">
                  <c:v>291.78166941076665</c:v>
                </c:pt>
                <c:pt idx="679">
                  <c:v>285.04116150276883</c:v>
                </c:pt>
                <c:pt idx="680">
                  <c:v>278.14399042059551</c:v>
                </c:pt>
                <c:pt idx="681">
                  <c:v>281.23634186499004</c:v>
                </c:pt>
                <c:pt idx="682">
                  <c:v>289.09744050291852</c:v>
                </c:pt>
                <c:pt idx="683">
                  <c:v>289.06451130070326</c:v>
                </c:pt>
                <c:pt idx="684">
                  <c:v>278.47627600658564</c:v>
                </c:pt>
                <c:pt idx="685">
                  <c:v>283.57830664072225</c:v>
                </c:pt>
                <c:pt idx="686">
                  <c:v>279.91817592176795</c:v>
                </c:pt>
                <c:pt idx="687">
                  <c:v>283.99640772339444</c:v>
                </c:pt>
                <c:pt idx="688">
                  <c:v>292.42229207204485</c:v>
                </c:pt>
                <c:pt idx="689">
                  <c:v>299.9181759217679</c:v>
                </c:pt>
                <c:pt idx="690">
                  <c:v>295.2771541186446</c:v>
                </c:pt>
                <c:pt idx="691">
                  <c:v>297.58419398293637</c:v>
                </c:pt>
                <c:pt idx="692">
                  <c:v>303.31686873222543</c:v>
                </c:pt>
                <c:pt idx="693">
                  <c:v>303.75891832559967</c:v>
                </c:pt>
                <c:pt idx="694">
                  <c:v>296.89467644564161</c:v>
                </c:pt>
                <c:pt idx="695">
                  <c:v>307.41306191687841</c:v>
                </c:pt>
                <c:pt idx="696">
                  <c:v>304.514294267325</c:v>
                </c:pt>
                <c:pt idx="697">
                  <c:v>299.91717806715536</c:v>
                </c:pt>
                <c:pt idx="698">
                  <c:v>298.42039614828099</c:v>
                </c:pt>
                <c:pt idx="699">
                  <c:v>300.69151324651983</c:v>
                </c:pt>
                <c:pt idx="700">
                  <c:v>296.73102828917808</c:v>
                </c:pt>
                <c:pt idx="701">
                  <c:v>290.38467295315053</c:v>
                </c:pt>
                <c:pt idx="702">
                  <c:v>284.11714813151707</c:v>
                </c:pt>
                <c:pt idx="703">
                  <c:v>274.16554408022733</c:v>
                </c:pt>
                <c:pt idx="704">
                  <c:v>293.72549019607823</c:v>
                </c:pt>
                <c:pt idx="705">
                  <c:v>287.28334081724273</c:v>
                </c:pt>
                <c:pt idx="706">
                  <c:v>290.79279548969691</c:v>
                </c:pt>
                <c:pt idx="707">
                  <c:v>289.67020905054108</c:v>
                </c:pt>
                <c:pt idx="708">
                  <c:v>294.40902060569755</c:v>
                </c:pt>
                <c:pt idx="709">
                  <c:v>287.72239684677919</c:v>
                </c:pt>
                <c:pt idx="710">
                  <c:v>292.84039315471711</c:v>
                </c:pt>
                <c:pt idx="711">
                  <c:v>290.15815995609415</c:v>
                </c:pt>
                <c:pt idx="712">
                  <c:v>291.99720600708446</c:v>
                </c:pt>
                <c:pt idx="713">
                  <c:v>294.05278650900533</c:v>
                </c:pt>
                <c:pt idx="714">
                  <c:v>292.67973856209119</c:v>
                </c:pt>
                <c:pt idx="715">
                  <c:v>286.00309334929864</c:v>
                </c:pt>
                <c:pt idx="716">
                  <c:v>290.03642169335893</c:v>
                </c:pt>
                <c:pt idx="717">
                  <c:v>292.83141246320378</c:v>
                </c:pt>
                <c:pt idx="718">
                  <c:v>272.33148730229976</c:v>
                </c:pt>
                <c:pt idx="719">
                  <c:v>273.45906301451851</c:v>
                </c:pt>
                <c:pt idx="720">
                  <c:v>273.06491044254824</c:v>
                </c:pt>
                <c:pt idx="721">
                  <c:v>273.07289327944892</c:v>
                </c:pt>
                <c:pt idx="722">
                  <c:v>268.51070199071972</c:v>
                </c:pt>
                <c:pt idx="723">
                  <c:v>253.54088709275038</c:v>
                </c:pt>
                <c:pt idx="724">
                  <c:v>244.2668263234045</c:v>
                </c:pt>
                <c:pt idx="725">
                  <c:v>246.29147333233533</c:v>
                </c:pt>
                <c:pt idx="726">
                  <c:v>246.40023948510688</c:v>
                </c:pt>
                <c:pt idx="727">
                  <c:v>250.08032729631273</c:v>
                </c:pt>
                <c:pt idx="728">
                  <c:v>251.93633687571702</c:v>
                </c:pt>
                <c:pt idx="729">
                  <c:v>255.37793743451559</c:v>
                </c:pt>
                <c:pt idx="730">
                  <c:v>256.99446190689991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10-46F2-9E21-B6078C7D47AC}"/>
            </c:ext>
          </c:extLst>
        </c:ser>
        <c:ser>
          <c:idx val="4"/>
          <c:order val="1"/>
          <c:tx>
            <c:strRef>
              <c:f>Index!$T$1</c:f>
              <c:strCache>
                <c:ptCount val="1"/>
                <c:pt idx="0">
                  <c:v>Dow Jones North America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Index!$T$2:$T$732</c:f>
              <c:numCache>
                <c:formatCode>General</c:formatCode>
                <c:ptCount val="731"/>
                <c:pt idx="0">
                  <c:v>100</c:v>
                </c:pt>
                <c:pt idx="1">
                  <c:v>100.56940899273515</c:v>
                </c:pt>
                <c:pt idx="2">
                  <c:v>97.803848419399188</c:v>
                </c:pt>
                <c:pt idx="3">
                  <c:v>95.701943844492462</c:v>
                </c:pt>
                <c:pt idx="4">
                  <c:v>94.463970155114879</c:v>
                </c:pt>
                <c:pt idx="5">
                  <c:v>91.946789711368567</c:v>
                </c:pt>
                <c:pt idx="6">
                  <c:v>91.021009228352654</c:v>
                </c:pt>
                <c:pt idx="7">
                  <c:v>92.129393284900857</c:v>
                </c:pt>
                <c:pt idx="8">
                  <c:v>91.375417239348153</c:v>
                </c:pt>
                <c:pt idx="9">
                  <c:v>93.7630080502651</c:v>
                </c:pt>
                <c:pt idx="10">
                  <c:v>92.513253485175753</c:v>
                </c:pt>
                <c:pt idx="11">
                  <c:v>96.475554682898107</c:v>
                </c:pt>
                <c:pt idx="12">
                  <c:v>95.589043785588061</c:v>
                </c:pt>
                <c:pt idx="13">
                  <c:v>97.869624975456503</c:v>
                </c:pt>
                <c:pt idx="14">
                  <c:v>98.159238170037312</c:v>
                </c:pt>
                <c:pt idx="15">
                  <c:v>99.048694286275293</c:v>
                </c:pt>
                <c:pt idx="16">
                  <c:v>100.37502454349109</c:v>
                </c:pt>
                <c:pt idx="17">
                  <c:v>101.41566856469666</c:v>
                </c:pt>
                <c:pt idx="18">
                  <c:v>103.10229727076381</c:v>
                </c:pt>
                <c:pt idx="19">
                  <c:v>105.03043392892205</c:v>
                </c:pt>
                <c:pt idx="20">
                  <c:v>109.47476929118396</c:v>
                </c:pt>
                <c:pt idx="21">
                  <c:v>110.84036913410563</c:v>
                </c:pt>
                <c:pt idx="22">
                  <c:v>111.90457490673472</c:v>
                </c:pt>
                <c:pt idx="23">
                  <c:v>110.94443353622619</c:v>
                </c:pt>
                <c:pt idx="24">
                  <c:v>111.90555664637736</c:v>
                </c:pt>
                <c:pt idx="25">
                  <c:v>110.4722167681131</c:v>
                </c:pt>
                <c:pt idx="26">
                  <c:v>112.15982721382291</c:v>
                </c:pt>
                <c:pt idx="27">
                  <c:v>110.92283526408796</c:v>
                </c:pt>
                <c:pt idx="28">
                  <c:v>109.25387787158846</c:v>
                </c:pt>
                <c:pt idx="29">
                  <c:v>110.12075397604558</c:v>
                </c:pt>
                <c:pt idx="30">
                  <c:v>108.5804044767328</c:v>
                </c:pt>
                <c:pt idx="31">
                  <c:v>109.38052228548992</c:v>
                </c:pt>
                <c:pt idx="32">
                  <c:v>110.40938543098373</c:v>
                </c:pt>
                <c:pt idx="33">
                  <c:v>110.80698998625567</c:v>
                </c:pt>
                <c:pt idx="34">
                  <c:v>112.07539760455528</c:v>
                </c:pt>
                <c:pt idx="35">
                  <c:v>113.39092872570197</c:v>
                </c:pt>
                <c:pt idx="36">
                  <c:v>113.52739053602987</c:v>
                </c:pt>
                <c:pt idx="37">
                  <c:v>114.34125269978404</c:v>
                </c:pt>
                <c:pt idx="38">
                  <c:v>112.73610838405655</c:v>
                </c:pt>
                <c:pt idx="39">
                  <c:v>115.51050461417633</c:v>
                </c:pt>
                <c:pt idx="40">
                  <c:v>116.93599057529944</c:v>
                </c:pt>
                <c:pt idx="41">
                  <c:v>116.5737286471628</c:v>
                </c:pt>
                <c:pt idx="42">
                  <c:v>116.11820145297467</c:v>
                </c:pt>
                <c:pt idx="43">
                  <c:v>117.97663459650501</c:v>
                </c:pt>
                <c:pt idx="44">
                  <c:v>118.81994894953857</c:v>
                </c:pt>
                <c:pt idx="45">
                  <c:v>117.89416846652267</c:v>
                </c:pt>
                <c:pt idx="46">
                  <c:v>117.03220106027881</c:v>
                </c:pt>
                <c:pt idx="47">
                  <c:v>119.491458865109</c:v>
                </c:pt>
                <c:pt idx="48">
                  <c:v>119.59846848615749</c:v>
                </c:pt>
                <c:pt idx="49">
                  <c:v>119.93127822501472</c:v>
                </c:pt>
                <c:pt idx="50">
                  <c:v>119.80365207147064</c:v>
                </c:pt>
                <c:pt idx="51">
                  <c:v>122.29628902415081</c:v>
                </c:pt>
                <c:pt idx="52">
                  <c:v>123.11898684468879</c:v>
                </c:pt>
                <c:pt idx="53">
                  <c:v>124.59552326722955</c:v>
                </c:pt>
                <c:pt idx="54">
                  <c:v>124.02905949342235</c:v>
                </c:pt>
                <c:pt idx="55">
                  <c:v>124.21362654623996</c:v>
                </c:pt>
                <c:pt idx="56">
                  <c:v>122.6673866090713</c:v>
                </c:pt>
                <c:pt idx="57">
                  <c:v>122.30905163950521</c:v>
                </c:pt>
                <c:pt idx="58">
                  <c:v>123.27704692715494</c:v>
                </c:pt>
                <c:pt idx="59">
                  <c:v>122.42293343805225</c:v>
                </c:pt>
                <c:pt idx="60">
                  <c:v>123.73551934027097</c:v>
                </c:pt>
                <c:pt idx="61">
                  <c:v>127.53288827802868</c:v>
                </c:pt>
                <c:pt idx="62">
                  <c:v>124.33438052228551</c:v>
                </c:pt>
                <c:pt idx="63">
                  <c:v>125.03436088749265</c:v>
                </c:pt>
                <c:pt idx="64">
                  <c:v>123.17494600431969</c:v>
                </c:pt>
                <c:pt idx="65">
                  <c:v>126.12801884940117</c:v>
                </c:pt>
                <c:pt idx="66">
                  <c:v>125.82466129982333</c:v>
                </c:pt>
                <c:pt idx="67">
                  <c:v>122.60357353229925</c:v>
                </c:pt>
                <c:pt idx="68">
                  <c:v>123.1150598861182</c:v>
                </c:pt>
                <c:pt idx="69">
                  <c:v>119.86255645002946</c:v>
                </c:pt>
                <c:pt idx="70">
                  <c:v>118.97113685450618</c:v>
                </c:pt>
                <c:pt idx="71">
                  <c:v>116.6856469664245</c:v>
                </c:pt>
                <c:pt idx="72">
                  <c:v>116.29687806793638</c:v>
                </c:pt>
                <c:pt idx="73">
                  <c:v>119.85372079324564</c:v>
                </c:pt>
                <c:pt idx="74">
                  <c:v>119.64853720793246</c:v>
                </c:pt>
                <c:pt idx="75">
                  <c:v>120.31022972707639</c:v>
                </c:pt>
                <c:pt idx="76">
                  <c:v>122.18927940310229</c:v>
                </c:pt>
                <c:pt idx="77">
                  <c:v>123.56175142352248</c:v>
                </c:pt>
                <c:pt idx="78">
                  <c:v>123.09542509326526</c:v>
                </c:pt>
                <c:pt idx="79">
                  <c:v>123.41547221676811</c:v>
                </c:pt>
                <c:pt idx="80">
                  <c:v>123.35656783820932</c:v>
                </c:pt>
                <c:pt idx="81">
                  <c:v>121.44119379540547</c:v>
                </c:pt>
                <c:pt idx="82">
                  <c:v>122.50638130767722</c:v>
                </c:pt>
                <c:pt idx="83">
                  <c:v>122.4111525623405</c:v>
                </c:pt>
                <c:pt idx="84">
                  <c:v>122.81366581582567</c:v>
                </c:pt>
                <c:pt idx="85">
                  <c:v>124.24896917337526</c:v>
                </c:pt>
                <c:pt idx="86">
                  <c:v>124.30885529157672</c:v>
                </c:pt>
                <c:pt idx="87">
                  <c:v>126.40683290791286</c:v>
                </c:pt>
                <c:pt idx="88">
                  <c:v>127.69880227763602</c:v>
                </c:pt>
                <c:pt idx="89">
                  <c:v>128.53524445317106</c:v>
                </c:pt>
                <c:pt idx="90">
                  <c:v>126.73375220891424</c:v>
                </c:pt>
                <c:pt idx="91">
                  <c:v>130.16198704103672</c:v>
                </c:pt>
                <c:pt idx="92">
                  <c:v>130.46436285097195</c:v>
                </c:pt>
                <c:pt idx="93">
                  <c:v>130.83447869624979</c:v>
                </c:pt>
                <c:pt idx="94">
                  <c:v>130.42607500490871</c:v>
                </c:pt>
                <c:pt idx="95">
                  <c:v>133.21127037109761</c:v>
                </c:pt>
                <c:pt idx="96">
                  <c:v>135.88847437659535</c:v>
                </c:pt>
                <c:pt idx="97">
                  <c:v>139.25485961123113</c:v>
                </c:pt>
                <c:pt idx="98">
                  <c:v>137.3002159827214</c:v>
                </c:pt>
                <c:pt idx="99">
                  <c:v>140.68819948949539</c:v>
                </c:pt>
                <c:pt idx="100">
                  <c:v>139.16159434517968</c:v>
                </c:pt>
                <c:pt idx="101">
                  <c:v>136.71509915570391</c:v>
                </c:pt>
                <c:pt idx="102">
                  <c:v>140.13548007068525</c:v>
                </c:pt>
                <c:pt idx="103">
                  <c:v>141.5246416650304</c:v>
                </c:pt>
                <c:pt idx="104">
                  <c:v>142.15884547418023</c:v>
                </c:pt>
                <c:pt idx="105">
                  <c:v>137.83133712939326</c:v>
                </c:pt>
                <c:pt idx="106">
                  <c:v>140.04417828391908</c:v>
                </c:pt>
                <c:pt idx="107">
                  <c:v>140.72845081484388</c:v>
                </c:pt>
                <c:pt idx="108">
                  <c:v>141.08874926369526</c:v>
                </c:pt>
                <c:pt idx="109">
                  <c:v>145.0343608874926</c:v>
                </c:pt>
                <c:pt idx="110">
                  <c:v>144.81543294718236</c:v>
                </c:pt>
                <c:pt idx="111">
                  <c:v>144.80757903004118</c:v>
                </c:pt>
                <c:pt idx="112">
                  <c:v>143.78755154133117</c:v>
                </c:pt>
                <c:pt idx="113">
                  <c:v>145.83840565482029</c:v>
                </c:pt>
                <c:pt idx="114">
                  <c:v>144.67995287649711</c:v>
                </c:pt>
                <c:pt idx="115">
                  <c:v>144.36972314942074</c:v>
                </c:pt>
                <c:pt idx="116">
                  <c:v>141.11820145297463</c:v>
                </c:pt>
                <c:pt idx="117">
                  <c:v>142.60651875122713</c:v>
                </c:pt>
                <c:pt idx="118">
                  <c:v>143.52051835853129</c:v>
                </c:pt>
                <c:pt idx="119">
                  <c:v>140.87080306302767</c:v>
                </c:pt>
                <c:pt idx="120">
                  <c:v>142.83526408796385</c:v>
                </c:pt>
                <c:pt idx="121">
                  <c:v>142.05576281170232</c:v>
                </c:pt>
                <c:pt idx="122">
                  <c:v>145.11584527783231</c:v>
                </c:pt>
                <c:pt idx="123">
                  <c:v>144.1753387001767</c:v>
                </c:pt>
                <c:pt idx="124">
                  <c:v>147.17553504810525</c:v>
                </c:pt>
                <c:pt idx="125">
                  <c:v>149.07029255841348</c:v>
                </c:pt>
                <c:pt idx="126">
                  <c:v>150.96799528764967</c:v>
                </c:pt>
                <c:pt idx="127">
                  <c:v>151.07009621048493</c:v>
                </c:pt>
                <c:pt idx="128">
                  <c:v>154.52483801295892</c:v>
                </c:pt>
                <c:pt idx="129">
                  <c:v>155.70685254270563</c:v>
                </c:pt>
                <c:pt idx="130">
                  <c:v>159.21657176516786</c:v>
                </c:pt>
                <c:pt idx="131">
                  <c:v>162.03809149813469</c:v>
                </c:pt>
                <c:pt idx="132">
                  <c:v>161.08678578440995</c:v>
                </c:pt>
                <c:pt idx="133">
                  <c:v>160.71568819948948</c:v>
                </c:pt>
                <c:pt idx="134">
                  <c:v>163.65207147064598</c:v>
                </c:pt>
                <c:pt idx="135">
                  <c:v>162.70272923620655</c:v>
                </c:pt>
                <c:pt idx="136">
                  <c:v>162.21676811309638</c:v>
                </c:pt>
                <c:pt idx="137">
                  <c:v>160.80011780875711</c:v>
                </c:pt>
                <c:pt idx="138">
                  <c:v>162.23149420773609</c:v>
                </c:pt>
                <c:pt idx="139">
                  <c:v>167.43471431376398</c:v>
                </c:pt>
                <c:pt idx="140">
                  <c:v>170.64892990378948</c:v>
                </c:pt>
                <c:pt idx="141">
                  <c:v>171.27626153544077</c:v>
                </c:pt>
                <c:pt idx="142">
                  <c:v>167.41802473983896</c:v>
                </c:pt>
                <c:pt idx="143">
                  <c:v>171.36363636363632</c:v>
                </c:pt>
                <c:pt idx="144">
                  <c:v>164.78598075790296</c:v>
                </c:pt>
                <c:pt idx="145">
                  <c:v>159.09876300805021</c:v>
                </c:pt>
                <c:pt idx="146">
                  <c:v>157.44453171019043</c:v>
                </c:pt>
                <c:pt idx="147">
                  <c:v>159.71824072256038</c:v>
                </c:pt>
                <c:pt idx="148">
                  <c:v>162.66542312978601</c:v>
                </c:pt>
                <c:pt idx="149">
                  <c:v>163.26821127037113</c:v>
                </c:pt>
                <c:pt idx="150">
                  <c:v>163.44099744747697</c:v>
                </c:pt>
                <c:pt idx="151">
                  <c:v>166.94286275279802</c:v>
                </c:pt>
                <c:pt idx="152">
                  <c:v>168.80325937561366</c:v>
                </c:pt>
                <c:pt idx="153">
                  <c:v>167.41900647948171</c:v>
                </c:pt>
                <c:pt idx="154">
                  <c:v>168.84154722167688</c:v>
                </c:pt>
                <c:pt idx="155">
                  <c:v>167.30806989986263</c:v>
                </c:pt>
                <c:pt idx="156">
                  <c:v>165.8973100333792</c:v>
                </c:pt>
                <c:pt idx="157">
                  <c:v>169.48164146868257</c:v>
                </c:pt>
                <c:pt idx="158">
                  <c:v>169.86746514824276</c:v>
                </c:pt>
                <c:pt idx="159">
                  <c:v>170.36618888670733</c:v>
                </c:pt>
                <c:pt idx="160">
                  <c:v>172.48969173375232</c:v>
                </c:pt>
                <c:pt idx="161">
                  <c:v>171.49420773610848</c:v>
                </c:pt>
                <c:pt idx="162">
                  <c:v>171.37934419791884</c:v>
                </c:pt>
                <c:pt idx="163">
                  <c:v>172.93049283330072</c:v>
                </c:pt>
                <c:pt idx="164">
                  <c:v>175.44080109954851</c:v>
                </c:pt>
                <c:pt idx="165">
                  <c:v>172.21382289416857</c:v>
                </c:pt>
                <c:pt idx="166">
                  <c:v>169.36579619085029</c:v>
                </c:pt>
                <c:pt idx="167">
                  <c:v>171.48831729825258</c:v>
                </c:pt>
                <c:pt idx="168">
                  <c:v>170.07068525427064</c:v>
                </c:pt>
                <c:pt idx="169">
                  <c:v>168.47143137639907</c:v>
                </c:pt>
                <c:pt idx="170">
                  <c:v>168.80031415668577</c:v>
                </c:pt>
                <c:pt idx="171">
                  <c:v>167.58590221873172</c:v>
                </c:pt>
                <c:pt idx="172">
                  <c:v>171.56292951109378</c:v>
                </c:pt>
                <c:pt idx="173">
                  <c:v>173.67465148242698</c:v>
                </c:pt>
                <c:pt idx="174">
                  <c:v>176.39799725112911</c:v>
                </c:pt>
                <c:pt idx="175">
                  <c:v>171.03377184370717</c:v>
                </c:pt>
                <c:pt idx="176">
                  <c:v>166.73080698998635</c:v>
                </c:pt>
                <c:pt idx="177">
                  <c:v>169.95680345572367</c:v>
                </c:pt>
                <c:pt idx="178">
                  <c:v>175.31710190457503</c:v>
                </c:pt>
                <c:pt idx="179">
                  <c:v>171.03769880227776</c:v>
                </c:pt>
                <c:pt idx="180">
                  <c:v>170.41429412919706</c:v>
                </c:pt>
                <c:pt idx="181">
                  <c:v>170.48105242489703</c:v>
                </c:pt>
                <c:pt idx="182">
                  <c:v>174.8576477518163</c:v>
                </c:pt>
                <c:pt idx="183">
                  <c:v>176.27527979579824</c:v>
                </c:pt>
                <c:pt idx="184">
                  <c:v>174.2951109365797</c:v>
                </c:pt>
                <c:pt idx="185">
                  <c:v>177.30512468093471</c:v>
                </c:pt>
                <c:pt idx="186">
                  <c:v>182.63106224229347</c:v>
                </c:pt>
                <c:pt idx="187">
                  <c:v>181.93010013744367</c:v>
                </c:pt>
                <c:pt idx="188">
                  <c:v>180.55173767916759</c:v>
                </c:pt>
                <c:pt idx="189">
                  <c:v>183.03652071470657</c:v>
                </c:pt>
                <c:pt idx="190">
                  <c:v>182.94031022972717</c:v>
                </c:pt>
                <c:pt idx="191">
                  <c:v>185.96406832907925</c:v>
                </c:pt>
                <c:pt idx="192">
                  <c:v>182.25701943844504</c:v>
                </c:pt>
                <c:pt idx="193">
                  <c:v>185.21892794031038</c:v>
                </c:pt>
                <c:pt idx="194">
                  <c:v>183.46946789711382</c:v>
                </c:pt>
                <c:pt idx="195">
                  <c:v>185.74808560769696</c:v>
                </c:pt>
                <c:pt idx="196">
                  <c:v>185.62929511093668</c:v>
                </c:pt>
                <c:pt idx="197">
                  <c:v>189.25387787158857</c:v>
                </c:pt>
                <c:pt idx="198">
                  <c:v>191.69251914392314</c:v>
                </c:pt>
                <c:pt idx="199">
                  <c:v>193.49204790889468</c:v>
                </c:pt>
                <c:pt idx="200">
                  <c:v>193.33889652464177</c:v>
                </c:pt>
                <c:pt idx="201">
                  <c:v>194.05262124484597</c:v>
                </c:pt>
                <c:pt idx="202">
                  <c:v>197.08325152169655</c:v>
                </c:pt>
                <c:pt idx="203">
                  <c:v>198.83565678382104</c:v>
                </c:pt>
                <c:pt idx="204">
                  <c:v>199.26271352837239</c:v>
                </c:pt>
                <c:pt idx="205">
                  <c:v>199.43451796583557</c:v>
                </c:pt>
                <c:pt idx="206">
                  <c:v>199.21559002552533</c:v>
                </c:pt>
                <c:pt idx="207">
                  <c:v>196.36658158256441</c:v>
                </c:pt>
                <c:pt idx="208">
                  <c:v>197.13921068132743</c:v>
                </c:pt>
                <c:pt idx="209">
                  <c:v>195.97094050657779</c:v>
                </c:pt>
                <c:pt idx="210">
                  <c:v>196.02395444728072</c:v>
                </c:pt>
                <c:pt idx="211">
                  <c:v>196.91341056351868</c:v>
                </c:pt>
                <c:pt idx="212">
                  <c:v>196.78676614961725</c:v>
                </c:pt>
                <c:pt idx="213">
                  <c:v>197.69978401727874</c:v>
                </c:pt>
                <c:pt idx="214">
                  <c:v>199.30001963479299</c:v>
                </c:pt>
                <c:pt idx="215">
                  <c:v>200.05497741998835</c:v>
                </c:pt>
                <c:pt idx="216">
                  <c:v>200.0942470056942</c:v>
                </c:pt>
                <c:pt idx="217">
                  <c:v>192.47103868054202</c:v>
                </c:pt>
                <c:pt idx="218">
                  <c:v>193.35067740035353</c:v>
                </c:pt>
                <c:pt idx="219">
                  <c:v>193.59414883172994</c:v>
                </c:pt>
                <c:pt idx="220">
                  <c:v>201.71509915570402</c:v>
                </c:pt>
                <c:pt idx="221">
                  <c:v>200.82858825839401</c:v>
                </c:pt>
                <c:pt idx="222">
                  <c:v>202.38660907127445</c:v>
                </c:pt>
                <c:pt idx="223">
                  <c:v>203.42921657176532</c:v>
                </c:pt>
                <c:pt idx="224">
                  <c:v>205.68721774985289</c:v>
                </c:pt>
                <c:pt idx="225">
                  <c:v>205.86098566660135</c:v>
                </c:pt>
                <c:pt idx="226">
                  <c:v>206.69251914392314</c:v>
                </c:pt>
                <c:pt idx="227">
                  <c:v>207.45631258590237</c:v>
                </c:pt>
                <c:pt idx="228">
                  <c:v>209.92931474572958</c:v>
                </c:pt>
                <c:pt idx="229">
                  <c:v>206.20459454152774</c:v>
                </c:pt>
                <c:pt idx="230">
                  <c:v>209.79088945611636</c:v>
                </c:pt>
                <c:pt idx="231">
                  <c:v>200.41723934812501</c:v>
                </c:pt>
                <c:pt idx="232">
                  <c:v>204.47771451011204</c:v>
                </c:pt>
                <c:pt idx="233">
                  <c:v>198.1690555664639</c:v>
                </c:pt>
                <c:pt idx="234">
                  <c:v>199.90378951502075</c:v>
                </c:pt>
                <c:pt idx="235">
                  <c:v>203.43216179069324</c:v>
                </c:pt>
                <c:pt idx="236">
                  <c:v>207.12350284704513</c:v>
                </c:pt>
                <c:pt idx="237">
                  <c:v>207.15000981739658</c:v>
                </c:pt>
                <c:pt idx="238">
                  <c:v>194.0467308069901</c:v>
                </c:pt>
                <c:pt idx="239">
                  <c:v>192.7282544669155</c:v>
                </c:pt>
                <c:pt idx="240">
                  <c:v>197.27665423129798</c:v>
                </c:pt>
                <c:pt idx="241">
                  <c:v>191.29098763008062</c:v>
                </c:pt>
                <c:pt idx="242">
                  <c:v>195.42705674455146</c:v>
                </c:pt>
                <c:pt idx="243">
                  <c:v>193.78656980168873</c:v>
                </c:pt>
                <c:pt idx="244">
                  <c:v>191.57569212644822</c:v>
                </c:pt>
                <c:pt idx="245">
                  <c:v>196.18986844688806</c:v>
                </c:pt>
                <c:pt idx="246">
                  <c:v>202.9707441586493</c:v>
                </c:pt>
                <c:pt idx="247">
                  <c:v>202.84115452581992</c:v>
                </c:pt>
                <c:pt idx="248">
                  <c:v>206.30669546436303</c:v>
                </c:pt>
                <c:pt idx="249">
                  <c:v>208.30649911643448</c:v>
                </c:pt>
                <c:pt idx="250">
                  <c:v>201.62674258786583</c:v>
                </c:pt>
                <c:pt idx="251">
                  <c:v>210.56351855487941</c:v>
                </c:pt>
                <c:pt idx="252">
                  <c:v>211.55507559395264</c:v>
                </c:pt>
                <c:pt idx="253">
                  <c:v>205.44570979776177</c:v>
                </c:pt>
                <c:pt idx="254">
                  <c:v>207.08226978205394</c:v>
                </c:pt>
                <c:pt idx="255">
                  <c:v>205.36717062635</c:v>
                </c:pt>
                <c:pt idx="256">
                  <c:v>207.66640486942876</c:v>
                </c:pt>
                <c:pt idx="257">
                  <c:v>208.66777930492847</c:v>
                </c:pt>
                <c:pt idx="258">
                  <c:v>203.39191046534475</c:v>
                </c:pt>
                <c:pt idx="259">
                  <c:v>209.10563518554895</c:v>
                </c:pt>
                <c:pt idx="260">
                  <c:v>209.85077557431785</c:v>
                </c:pt>
                <c:pt idx="261">
                  <c:v>202.52797957981556</c:v>
                </c:pt>
                <c:pt idx="262">
                  <c:v>201.20164932259982</c:v>
                </c:pt>
                <c:pt idx="263">
                  <c:v>190.89534655409403</c:v>
                </c:pt>
                <c:pt idx="264">
                  <c:v>187.46023954447298</c:v>
                </c:pt>
                <c:pt idx="265">
                  <c:v>196.95268014922462</c:v>
                </c:pt>
                <c:pt idx="266">
                  <c:v>192.64971529550382</c:v>
                </c:pt>
                <c:pt idx="267">
                  <c:v>193.43707048890653</c:v>
                </c:pt>
                <c:pt idx="268">
                  <c:v>194.62203023758121</c:v>
                </c:pt>
                <c:pt idx="269">
                  <c:v>190.7029255841353</c:v>
                </c:pt>
                <c:pt idx="270">
                  <c:v>188.25152169644633</c:v>
                </c:pt>
                <c:pt idx="271">
                  <c:v>187.69978401727886</c:v>
                </c:pt>
                <c:pt idx="272">
                  <c:v>185.47418024739861</c:v>
                </c:pt>
                <c:pt idx="273">
                  <c:v>186.77793049283352</c:v>
                </c:pt>
                <c:pt idx="274">
                  <c:v>194.33045356371514</c:v>
                </c:pt>
                <c:pt idx="275">
                  <c:v>190.81091694482643</c:v>
                </c:pt>
                <c:pt idx="276">
                  <c:v>199.16552130375047</c:v>
                </c:pt>
                <c:pt idx="277">
                  <c:v>200.2071470645987</c:v>
                </c:pt>
                <c:pt idx="278">
                  <c:v>202.22167681130989</c:v>
                </c:pt>
                <c:pt idx="279">
                  <c:v>204.34321617906957</c:v>
                </c:pt>
                <c:pt idx="280">
                  <c:v>208.48321225211103</c:v>
                </c:pt>
                <c:pt idx="281">
                  <c:v>205.91007264873386</c:v>
                </c:pt>
                <c:pt idx="282">
                  <c:v>208.8346750441786</c:v>
                </c:pt>
                <c:pt idx="283">
                  <c:v>203.62360102100953</c:v>
                </c:pt>
                <c:pt idx="284">
                  <c:v>205.21205576281199</c:v>
                </c:pt>
                <c:pt idx="285">
                  <c:v>204.95189475751059</c:v>
                </c:pt>
                <c:pt idx="286">
                  <c:v>200.66267425878684</c:v>
                </c:pt>
                <c:pt idx="287">
                  <c:v>196.46377380718658</c:v>
                </c:pt>
                <c:pt idx="288">
                  <c:v>196.27724327508369</c:v>
                </c:pt>
                <c:pt idx="289">
                  <c:v>192.18437070488929</c:v>
                </c:pt>
                <c:pt idx="290">
                  <c:v>195.07068525427081</c:v>
                </c:pt>
                <c:pt idx="291">
                  <c:v>196.8172000785394</c:v>
                </c:pt>
                <c:pt idx="292">
                  <c:v>197.64775181621857</c:v>
                </c:pt>
                <c:pt idx="293">
                  <c:v>196.81032790104089</c:v>
                </c:pt>
                <c:pt idx="294">
                  <c:v>197.70665619477737</c:v>
                </c:pt>
                <c:pt idx="295">
                  <c:v>198.62752797958004</c:v>
                </c:pt>
                <c:pt idx="296">
                  <c:v>188.68250539956827</c:v>
                </c:pt>
                <c:pt idx="297">
                  <c:v>191.28117023365428</c:v>
                </c:pt>
                <c:pt idx="298">
                  <c:v>194.01040644021231</c:v>
                </c:pt>
                <c:pt idx="299">
                  <c:v>187.82446495189501</c:v>
                </c:pt>
                <c:pt idx="300">
                  <c:v>172.47594737875539</c:v>
                </c:pt>
                <c:pt idx="301">
                  <c:v>137.19320636167308</c:v>
                </c:pt>
                <c:pt idx="302">
                  <c:v>150.81975260161025</c:v>
                </c:pt>
                <c:pt idx="303">
                  <c:v>143.34871392106831</c:v>
                </c:pt>
                <c:pt idx="304">
                  <c:v>160.72845081484411</c:v>
                </c:pt>
                <c:pt idx="305">
                  <c:v>154.11545258197546</c:v>
                </c:pt>
                <c:pt idx="306">
                  <c:v>144.99705478107225</c:v>
                </c:pt>
                <c:pt idx="307">
                  <c:v>134.57883369330469</c:v>
                </c:pt>
                <c:pt idx="308">
                  <c:v>147.89122324759492</c:v>
                </c:pt>
                <c:pt idx="309">
                  <c:v>143.69035931670939</c:v>
                </c:pt>
                <c:pt idx="310">
                  <c:v>144.84095817789139</c:v>
                </c:pt>
                <c:pt idx="311">
                  <c:v>145.76281170233671</c:v>
                </c:pt>
                <c:pt idx="312">
                  <c:v>143.83074808560784</c:v>
                </c:pt>
                <c:pt idx="313">
                  <c:v>151.77302179462023</c:v>
                </c:pt>
                <c:pt idx="314">
                  <c:v>149.6230119772238</c:v>
                </c:pt>
                <c:pt idx="315">
                  <c:v>147.25309247987451</c:v>
                </c:pt>
                <c:pt idx="316">
                  <c:v>146.41370508541149</c:v>
                </c:pt>
                <c:pt idx="317">
                  <c:v>148.64225407421966</c:v>
                </c:pt>
                <c:pt idx="318">
                  <c:v>153.93579422737108</c:v>
                </c:pt>
                <c:pt idx="319">
                  <c:v>147.49067347339502</c:v>
                </c:pt>
                <c:pt idx="320">
                  <c:v>136.4765364225409</c:v>
                </c:pt>
                <c:pt idx="321">
                  <c:v>134.76536422540758</c:v>
                </c:pt>
                <c:pt idx="322">
                  <c:v>124.00844296092691</c:v>
                </c:pt>
                <c:pt idx="323">
                  <c:v>131.86039662281578</c:v>
                </c:pt>
                <c:pt idx="324">
                  <c:v>140.02552523070895</c:v>
                </c:pt>
                <c:pt idx="325">
                  <c:v>142.293343805223</c:v>
                </c:pt>
                <c:pt idx="326">
                  <c:v>146.28018849401153</c:v>
                </c:pt>
                <c:pt idx="327">
                  <c:v>145.32790104064415</c:v>
                </c:pt>
                <c:pt idx="328">
                  <c:v>146.22521107402332</c:v>
                </c:pt>
                <c:pt idx="329">
                  <c:v>143.72864716277257</c:v>
                </c:pt>
                <c:pt idx="330">
                  <c:v>145.90712742980577</c:v>
                </c:pt>
                <c:pt idx="331">
                  <c:v>146.56881994894968</c:v>
                </c:pt>
                <c:pt idx="332">
                  <c:v>138.75024543491079</c:v>
                </c:pt>
                <c:pt idx="333">
                  <c:v>141.34007461221299</c:v>
                </c:pt>
                <c:pt idx="334">
                  <c:v>148.54800706852555</c:v>
                </c:pt>
                <c:pt idx="335">
                  <c:v>149.14883172982539</c:v>
                </c:pt>
                <c:pt idx="336">
                  <c:v>153.12487728254482</c:v>
                </c:pt>
                <c:pt idx="337">
                  <c:v>149.61810327901054</c:v>
                </c:pt>
                <c:pt idx="338">
                  <c:v>153.19850775574332</c:v>
                </c:pt>
                <c:pt idx="339">
                  <c:v>151.97035146279222</c:v>
                </c:pt>
                <c:pt idx="340">
                  <c:v>148.87492636952695</c:v>
                </c:pt>
                <c:pt idx="341">
                  <c:v>156.02002748871013</c:v>
                </c:pt>
                <c:pt idx="342">
                  <c:v>162.99234243078749</c:v>
                </c:pt>
                <c:pt idx="343">
                  <c:v>165.25819752601623</c:v>
                </c:pt>
                <c:pt idx="344">
                  <c:v>164.56705281759292</c:v>
                </c:pt>
                <c:pt idx="345">
                  <c:v>163.89161594345194</c:v>
                </c:pt>
                <c:pt idx="346">
                  <c:v>167.17553504810536</c:v>
                </c:pt>
                <c:pt idx="347">
                  <c:v>164.99607304142955</c:v>
                </c:pt>
                <c:pt idx="348">
                  <c:v>163.20243471431391</c:v>
                </c:pt>
                <c:pt idx="349">
                  <c:v>166.96446102493633</c:v>
                </c:pt>
                <c:pt idx="350">
                  <c:v>172.06558020812895</c:v>
                </c:pt>
                <c:pt idx="351">
                  <c:v>169.37070488906355</c:v>
                </c:pt>
                <c:pt idx="352">
                  <c:v>166.50206165324968</c:v>
                </c:pt>
                <c:pt idx="353">
                  <c:v>173.81013155311223</c:v>
                </c:pt>
                <c:pt idx="354">
                  <c:v>177.90594934223455</c:v>
                </c:pt>
                <c:pt idx="355">
                  <c:v>175.34360887492647</c:v>
                </c:pt>
                <c:pt idx="356">
                  <c:v>169.03200471235039</c:v>
                </c:pt>
                <c:pt idx="357">
                  <c:v>174.33143530335767</c:v>
                </c:pt>
                <c:pt idx="358">
                  <c:v>178.19556253681534</c:v>
                </c:pt>
                <c:pt idx="359">
                  <c:v>178.65992538778727</c:v>
                </c:pt>
                <c:pt idx="360">
                  <c:v>180.47418024739849</c:v>
                </c:pt>
                <c:pt idx="361">
                  <c:v>184.95091301786778</c:v>
                </c:pt>
                <c:pt idx="362">
                  <c:v>188.80620459454164</c:v>
                </c:pt>
                <c:pt idx="363">
                  <c:v>191.89475751030838</c:v>
                </c:pt>
                <c:pt idx="364">
                  <c:v>195.62340467308078</c:v>
                </c:pt>
                <c:pt idx="365">
                  <c:v>194.89593559787954</c:v>
                </c:pt>
                <c:pt idx="366">
                  <c:v>195.250343608875</c:v>
                </c:pt>
                <c:pt idx="367">
                  <c:v>195.9954839976439</c:v>
                </c:pt>
                <c:pt idx="368">
                  <c:v>191.073041429413</c:v>
                </c:pt>
                <c:pt idx="369">
                  <c:v>187.60651875122727</c:v>
                </c:pt>
                <c:pt idx="370">
                  <c:v>184.85961123110161</c:v>
                </c:pt>
                <c:pt idx="371">
                  <c:v>186.94875319065395</c:v>
                </c:pt>
                <c:pt idx="372">
                  <c:v>193.18574514038889</c:v>
                </c:pt>
                <c:pt idx="373">
                  <c:v>190.69998036520727</c:v>
                </c:pt>
                <c:pt idx="374">
                  <c:v>196.98213233850396</c:v>
                </c:pt>
                <c:pt idx="375">
                  <c:v>199.30492833300619</c:v>
                </c:pt>
                <c:pt idx="376">
                  <c:v>200.52523070881611</c:v>
                </c:pt>
                <c:pt idx="377">
                  <c:v>197.67720400549783</c:v>
                </c:pt>
                <c:pt idx="378">
                  <c:v>202.79206754368749</c:v>
                </c:pt>
                <c:pt idx="379">
                  <c:v>203.80227763597102</c:v>
                </c:pt>
                <c:pt idx="380">
                  <c:v>201.53936775967026</c:v>
                </c:pt>
                <c:pt idx="381">
                  <c:v>205.88454741802482</c:v>
                </c:pt>
                <c:pt idx="382">
                  <c:v>201.38523463577468</c:v>
                </c:pt>
                <c:pt idx="383">
                  <c:v>189.39033968191646</c:v>
                </c:pt>
                <c:pt idx="384">
                  <c:v>195.86098566660129</c:v>
                </c:pt>
                <c:pt idx="385">
                  <c:v>185.4201845670529</c:v>
                </c:pt>
                <c:pt idx="386">
                  <c:v>187.81955625368161</c:v>
                </c:pt>
                <c:pt idx="387">
                  <c:v>186.43235813862171</c:v>
                </c:pt>
                <c:pt idx="388">
                  <c:v>193.96230119772247</c:v>
                </c:pt>
                <c:pt idx="389">
                  <c:v>200.0147260946398</c:v>
                </c:pt>
                <c:pt idx="390">
                  <c:v>195.22285489888091</c:v>
                </c:pt>
                <c:pt idx="391">
                  <c:v>189.83114078146482</c:v>
                </c:pt>
                <c:pt idx="392">
                  <c:v>200.35833496956616</c:v>
                </c:pt>
                <c:pt idx="393">
                  <c:v>196.02788140585128</c:v>
                </c:pt>
                <c:pt idx="394">
                  <c:v>203.55782446495201</c:v>
                </c:pt>
                <c:pt idx="395">
                  <c:v>202.09306891812301</c:v>
                </c:pt>
                <c:pt idx="396">
                  <c:v>206.86432358138632</c:v>
                </c:pt>
                <c:pt idx="397">
                  <c:v>202.6359709405067</c:v>
                </c:pt>
                <c:pt idx="398">
                  <c:v>202.91773021794629</c:v>
                </c:pt>
                <c:pt idx="399">
                  <c:v>206.33712939328498</c:v>
                </c:pt>
                <c:pt idx="400">
                  <c:v>210.29452189279414</c:v>
                </c:pt>
                <c:pt idx="401">
                  <c:v>210.60180640094256</c:v>
                </c:pt>
                <c:pt idx="402">
                  <c:v>209.85273905360307</c:v>
                </c:pt>
                <c:pt idx="403">
                  <c:v>214.91066169251923</c:v>
                </c:pt>
                <c:pt idx="404">
                  <c:v>217.58492047908905</c:v>
                </c:pt>
                <c:pt idx="405">
                  <c:v>219.05556646377391</c:v>
                </c:pt>
                <c:pt idx="406">
                  <c:v>220.64205772629106</c:v>
                </c:pt>
                <c:pt idx="407">
                  <c:v>220.45945415275875</c:v>
                </c:pt>
                <c:pt idx="408">
                  <c:v>222.25800117808765</c:v>
                </c:pt>
                <c:pt idx="409">
                  <c:v>225.64402120557634</c:v>
                </c:pt>
                <c:pt idx="410">
                  <c:v>221.16041625760855</c:v>
                </c:pt>
                <c:pt idx="411">
                  <c:v>220.10210092283535</c:v>
                </c:pt>
                <c:pt idx="412">
                  <c:v>220.24838012958972</c:v>
                </c:pt>
                <c:pt idx="413">
                  <c:v>223.49892008639321</c:v>
                </c:pt>
                <c:pt idx="414">
                  <c:v>221.81523659925398</c:v>
                </c:pt>
                <c:pt idx="415">
                  <c:v>222.52307088160228</c:v>
                </c:pt>
                <c:pt idx="416">
                  <c:v>225.2316905556647</c:v>
                </c:pt>
                <c:pt idx="417">
                  <c:v>226.29098763008056</c:v>
                </c:pt>
                <c:pt idx="418">
                  <c:v>224.61123110151195</c:v>
                </c:pt>
                <c:pt idx="419">
                  <c:v>226.05340663656006</c:v>
                </c:pt>
                <c:pt idx="420">
                  <c:v>226.11721971333208</c:v>
                </c:pt>
                <c:pt idx="421">
                  <c:v>227.06067150991564</c:v>
                </c:pt>
                <c:pt idx="422">
                  <c:v>232.19713332024349</c:v>
                </c:pt>
                <c:pt idx="423">
                  <c:v>234.50029452189281</c:v>
                </c:pt>
                <c:pt idx="424">
                  <c:v>234.57588847437663</c:v>
                </c:pt>
                <c:pt idx="425">
                  <c:v>233.97604555271948</c:v>
                </c:pt>
                <c:pt idx="426">
                  <c:v>235.67543687414101</c:v>
                </c:pt>
                <c:pt idx="427">
                  <c:v>232.72629098763011</c:v>
                </c:pt>
                <c:pt idx="428">
                  <c:v>230.11388179854706</c:v>
                </c:pt>
                <c:pt idx="429">
                  <c:v>234.41291969369726</c:v>
                </c:pt>
                <c:pt idx="430">
                  <c:v>240.78539171411745</c:v>
                </c:pt>
                <c:pt idx="431">
                  <c:v>238.33595130571379</c:v>
                </c:pt>
                <c:pt idx="432">
                  <c:v>238.51462792067551</c:v>
                </c:pt>
                <c:pt idx="433">
                  <c:v>241.40192420969962</c:v>
                </c:pt>
                <c:pt idx="434">
                  <c:v>246.42254074219517</c:v>
                </c:pt>
                <c:pt idx="435">
                  <c:v>244.25191439230312</c:v>
                </c:pt>
                <c:pt idx="436">
                  <c:v>244.63675633222067</c:v>
                </c:pt>
                <c:pt idx="437">
                  <c:v>247.19516984095819</c:v>
                </c:pt>
                <c:pt idx="438">
                  <c:v>247.67622226585513</c:v>
                </c:pt>
                <c:pt idx="439">
                  <c:v>242.63793441979192</c:v>
                </c:pt>
                <c:pt idx="440">
                  <c:v>238.06793638327119</c:v>
                </c:pt>
                <c:pt idx="441">
                  <c:v>238.84449244060477</c:v>
                </c:pt>
                <c:pt idx="442">
                  <c:v>241.5806008246613</c:v>
                </c:pt>
                <c:pt idx="443">
                  <c:v>250.80698998625567</c:v>
                </c:pt>
                <c:pt idx="444">
                  <c:v>249.30198311407818</c:v>
                </c:pt>
                <c:pt idx="445">
                  <c:v>247.40624386412728</c:v>
                </c:pt>
                <c:pt idx="446">
                  <c:v>249.9342234439427</c:v>
                </c:pt>
                <c:pt idx="447">
                  <c:v>244.41291969369729</c:v>
                </c:pt>
                <c:pt idx="448">
                  <c:v>231.08874926369529</c:v>
                </c:pt>
                <c:pt idx="449">
                  <c:v>235.63911250736305</c:v>
                </c:pt>
                <c:pt idx="450">
                  <c:v>232.15884547418028</c:v>
                </c:pt>
                <c:pt idx="451">
                  <c:v>241.05340663656</c:v>
                </c:pt>
                <c:pt idx="452">
                  <c:v>244.82034164539567</c:v>
                </c:pt>
                <c:pt idx="453">
                  <c:v>240.08344786962499</c:v>
                </c:pt>
                <c:pt idx="454">
                  <c:v>246.95169840958184</c:v>
                </c:pt>
                <c:pt idx="455">
                  <c:v>237.03220106027888</c:v>
                </c:pt>
                <c:pt idx="456">
                  <c:v>240.086393088553</c:v>
                </c:pt>
                <c:pt idx="457">
                  <c:v>239.46397015511494</c:v>
                </c:pt>
                <c:pt idx="458">
                  <c:v>247.98743373257423</c:v>
                </c:pt>
                <c:pt idx="459">
                  <c:v>255.67740035342635</c:v>
                </c:pt>
                <c:pt idx="460">
                  <c:v>257.92656587473004</c:v>
                </c:pt>
                <c:pt idx="461">
                  <c:v>255.87963871981154</c:v>
                </c:pt>
                <c:pt idx="462">
                  <c:v>256.22128411545259</c:v>
                </c:pt>
                <c:pt idx="463">
                  <c:v>253.4940113881799</c:v>
                </c:pt>
                <c:pt idx="464">
                  <c:v>245.30728450814846</c:v>
                </c:pt>
                <c:pt idx="465">
                  <c:v>258.81013155311211</c:v>
                </c:pt>
                <c:pt idx="466">
                  <c:v>258.58334969566073</c:v>
                </c:pt>
                <c:pt idx="467">
                  <c:v>258.2760651875123</c:v>
                </c:pt>
                <c:pt idx="468">
                  <c:v>267.96190850186537</c:v>
                </c:pt>
                <c:pt idx="469">
                  <c:v>269.06734733948559</c:v>
                </c:pt>
                <c:pt idx="470">
                  <c:v>266.11918319261736</c:v>
                </c:pt>
                <c:pt idx="471">
                  <c:v>264.67798939721195</c:v>
                </c:pt>
                <c:pt idx="472">
                  <c:v>265.90810916944832</c:v>
                </c:pt>
                <c:pt idx="473">
                  <c:v>268.45768702140202</c:v>
                </c:pt>
                <c:pt idx="474">
                  <c:v>270.83349695660718</c:v>
                </c:pt>
                <c:pt idx="475">
                  <c:v>270.91989004516012</c:v>
                </c:pt>
                <c:pt idx="476">
                  <c:v>271.91733752208921</c:v>
                </c:pt>
                <c:pt idx="477">
                  <c:v>273.79638719811516</c:v>
                </c:pt>
                <c:pt idx="478">
                  <c:v>274.60632240329875</c:v>
                </c:pt>
                <c:pt idx="479">
                  <c:v>276.61594345179674</c:v>
                </c:pt>
                <c:pt idx="480">
                  <c:v>275.26605144315744</c:v>
                </c:pt>
                <c:pt idx="481">
                  <c:v>273.38307480856088</c:v>
                </c:pt>
                <c:pt idx="482">
                  <c:v>275.23659925387801</c:v>
                </c:pt>
                <c:pt idx="483">
                  <c:v>276.81327311996876</c:v>
                </c:pt>
                <c:pt idx="484">
                  <c:v>272.59081091694503</c:v>
                </c:pt>
                <c:pt idx="485">
                  <c:v>277.24327508344805</c:v>
                </c:pt>
                <c:pt idx="486">
                  <c:v>282.44256823090535</c:v>
                </c:pt>
                <c:pt idx="487">
                  <c:v>279.91164343216195</c:v>
                </c:pt>
                <c:pt idx="488">
                  <c:v>281.01904574906752</c:v>
                </c:pt>
                <c:pt idx="489">
                  <c:v>270.0176713135678</c:v>
                </c:pt>
                <c:pt idx="490">
                  <c:v>274.05949342234453</c:v>
                </c:pt>
                <c:pt idx="491">
                  <c:v>268.19850775574332</c:v>
                </c:pt>
                <c:pt idx="492">
                  <c:v>274.23718829766364</c:v>
                </c:pt>
                <c:pt idx="493">
                  <c:v>277.44845866876125</c:v>
                </c:pt>
                <c:pt idx="494">
                  <c:v>274.48360494796799</c:v>
                </c:pt>
                <c:pt idx="495">
                  <c:v>280.6126055370118</c:v>
                </c:pt>
                <c:pt idx="496">
                  <c:v>282.54270567445536</c:v>
                </c:pt>
                <c:pt idx="497">
                  <c:v>287.38759081091717</c:v>
                </c:pt>
                <c:pt idx="498">
                  <c:v>290.33280973885752</c:v>
                </c:pt>
                <c:pt idx="499">
                  <c:v>294.19497349302992</c:v>
                </c:pt>
                <c:pt idx="500">
                  <c:v>293.19654427645816</c:v>
                </c:pt>
                <c:pt idx="501">
                  <c:v>291.10740231690579</c:v>
                </c:pt>
                <c:pt idx="502">
                  <c:v>290.92676222265879</c:v>
                </c:pt>
                <c:pt idx="503">
                  <c:v>288.38798350677422</c:v>
                </c:pt>
                <c:pt idx="504">
                  <c:v>286.96347928529377</c:v>
                </c:pt>
                <c:pt idx="505">
                  <c:v>292.24032986452016</c:v>
                </c:pt>
                <c:pt idx="506">
                  <c:v>293.03553897506407</c:v>
                </c:pt>
                <c:pt idx="507">
                  <c:v>291.30473198507781</c:v>
                </c:pt>
                <c:pt idx="508">
                  <c:v>292.35813862163781</c:v>
                </c:pt>
                <c:pt idx="509">
                  <c:v>298.21127037109784</c:v>
                </c:pt>
                <c:pt idx="510">
                  <c:v>292.70174749656417</c:v>
                </c:pt>
                <c:pt idx="511">
                  <c:v>295.05595915963113</c:v>
                </c:pt>
                <c:pt idx="512">
                  <c:v>293.3369330453566</c:v>
                </c:pt>
                <c:pt idx="513">
                  <c:v>292.57706656194802</c:v>
                </c:pt>
                <c:pt idx="514">
                  <c:v>285.37404280384868</c:v>
                </c:pt>
                <c:pt idx="515">
                  <c:v>282.61437266836856</c:v>
                </c:pt>
                <c:pt idx="516">
                  <c:v>287.50834478696271</c:v>
                </c:pt>
                <c:pt idx="517">
                  <c:v>291.19379540545867</c:v>
                </c:pt>
                <c:pt idx="518">
                  <c:v>291.48242686039686</c:v>
                </c:pt>
                <c:pt idx="519">
                  <c:v>292.68113096406853</c:v>
                </c:pt>
                <c:pt idx="520">
                  <c:v>296.85254270567464</c:v>
                </c:pt>
                <c:pt idx="521">
                  <c:v>291.92126448065994</c:v>
                </c:pt>
                <c:pt idx="522">
                  <c:v>303.41056351855508</c:v>
                </c:pt>
                <c:pt idx="523">
                  <c:v>304.14883172982547</c:v>
                </c:pt>
                <c:pt idx="524">
                  <c:v>306.37934419791895</c:v>
                </c:pt>
                <c:pt idx="525">
                  <c:v>306.84959748674675</c:v>
                </c:pt>
                <c:pt idx="526">
                  <c:v>308.74926369526827</c:v>
                </c:pt>
                <c:pt idx="527">
                  <c:v>310.78931867268824</c:v>
                </c:pt>
                <c:pt idx="528">
                  <c:v>306.63165128607915</c:v>
                </c:pt>
                <c:pt idx="529">
                  <c:v>306.98213233850402</c:v>
                </c:pt>
                <c:pt idx="530">
                  <c:v>309.49833104260767</c:v>
                </c:pt>
                <c:pt idx="531">
                  <c:v>313.07382682112717</c:v>
                </c:pt>
                <c:pt idx="532">
                  <c:v>314.06931081877104</c:v>
                </c:pt>
                <c:pt idx="533">
                  <c:v>318.09051639505225</c:v>
                </c:pt>
                <c:pt idx="534">
                  <c:v>322.94325544865518</c:v>
                </c:pt>
                <c:pt idx="535">
                  <c:v>320.70881602199108</c:v>
                </c:pt>
                <c:pt idx="536">
                  <c:v>328.39092872570205</c:v>
                </c:pt>
                <c:pt idx="537">
                  <c:v>328.62556450029467</c:v>
                </c:pt>
                <c:pt idx="538">
                  <c:v>332.05085411348921</c:v>
                </c:pt>
                <c:pt idx="539">
                  <c:v>333.91910465344603</c:v>
                </c:pt>
                <c:pt idx="540">
                  <c:v>332.15197329668183</c:v>
                </c:pt>
                <c:pt idx="541">
                  <c:v>335.74219516984107</c:v>
                </c:pt>
                <c:pt idx="542">
                  <c:v>328.48812095032412</c:v>
                </c:pt>
                <c:pt idx="543">
                  <c:v>316.34596505006886</c:v>
                </c:pt>
                <c:pt idx="544">
                  <c:v>316.46279206754377</c:v>
                </c:pt>
                <c:pt idx="545">
                  <c:v>317.74396230119788</c:v>
                </c:pt>
                <c:pt idx="546">
                  <c:v>305.01374435499719</c:v>
                </c:pt>
                <c:pt idx="547">
                  <c:v>312.12055762811718</c:v>
                </c:pt>
                <c:pt idx="548">
                  <c:v>310.68918122913817</c:v>
                </c:pt>
                <c:pt idx="549">
                  <c:v>325.3976045552721</c:v>
                </c:pt>
                <c:pt idx="550">
                  <c:v>326.69350088356583</c:v>
                </c:pt>
                <c:pt idx="551">
                  <c:v>325.77655605733378</c:v>
                </c:pt>
                <c:pt idx="552">
                  <c:v>325.50559591596328</c:v>
                </c:pt>
                <c:pt idx="553">
                  <c:v>320.24543491066186</c:v>
                </c:pt>
                <c:pt idx="554">
                  <c:v>311.11329275476157</c:v>
                </c:pt>
                <c:pt idx="555">
                  <c:v>311.70626349892018</c:v>
                </c:pt>
                <c:pt idx="556">
                  <c:v>310.0706852542707</c:v>
                </c:pt>
                <c:pt idx="557">
                  <c:v>308.71392106813283</c:v>
                </c:pt>
                <c:pt idx="558">
                  <c:v>310.32790104064412</c:v>
                </c:pt>
                <c:pt idx="559">
                  <c:v>316.41665030433938</c:v>
                </c:pt>
                <c:pt idx="560">
                  <c:v>317.52896131945818</c:v>
                </c:pt>
                <c:pt idx="561">
                  <c:v>313.60102100922848</c:v>
                </c:pt>
                <c:pt idx="562">
                  <c:v>318.58236795601817</c:v>
                </c:pt>
                <c:pt idx="563">
                  <c:v>326.01806400942479</c:v>
                </c:pt>
                <c:pt idx="564">
                  <c:v>332.13528372275681</c:v>
                </c:pt>
                <c:pt idx="565">
                  <c:v>329.57097977616348</c:v>
                </c:pt>
                <c:pt idx="566">
                  <c:v>327.27861771058321</c:v>
                </c:pt>
                <c:pt idx="567">
                  <c:v>329.90378951502072</c:v>
                </c:pt>
                <c:pt idx="568">
                  <c:v>325.06184959748686</c:v>
                </c:pt>
                <c:pt idx="569">
                  <c:v>321.85352444531725</c:v>
                </c:pt>
                <c:pt idx="570">
                  <c:v>323.57549577851967</c:v>
                </c:pt>
                <c:pt idx="571">
                  <c:v>317.21480463381124</c:v>
                </c:pt>
                <c:pt idx="572">
                  <c:v>325.93559787944253</c:v>
                </c:pt>
                <c:pt idx="573">
                  <c:v>329.17043000196361</c:v>
                </c:pt>
                <c:pt idx="574">
                  <c:v>327.65560573335966</c:v>
                </c:pt>
                <c:pt idx="575">
                  <c:v>331.88297663459667</c:v>
                </c:pt>
                <c:pt idx="576">
                  <c:v>333.07775377969784</c:v>
                </c:pt>
                <c:pt idx="577">
                  <c:v>328.66777930492856</c:v>
                </c:pt>
                <c:pt idx="578">
                  <c:v>332.77832318869059</c:v>
                </c:pt>
                <c:pt idx="579">
                  <c:v>333.02375809935234</c:v>
                </c:pt>
                <c:pt idx="580">
                  <c:v>341.1172197133323</c:v>
                </c:pt>
                <c:pt idx="581">
                  <c:v>341.42254074219545</c:v>
                </c:pt>
                <c:pt idx="582">
                  <c:v>339.28922049872398</c:v>
                </c:pt>
                <c:pt idx="583">
                  <c:v>339.7113685450621</c:v>
                </c:pt>
                <c:pt idx="584">
                  <c:v>341.09071274298083</c:v>
                </c:pt>
                <c:pt idx="585">
                  <c:v>339.6612998232871</c:v>
                </c:pt>
                <c:pt idx="586">
                  <c:v>341.84763400746147</c:v>
                </c:pt>
                <c:pt idx="587">
                  <c:v>346.38425289613224</c:v>
                </c:pt>
                <c:pt idx="588">
                  <c:v>345.71961515806038</c:v>
                </c:pt>
                <c:pt idx="589">
                  <c:v>352.55252307088193</c:v>
                </c:pt>
                <c:pt idx="590">
                  <c:v>352.746907520126</c:v>
                </c:pt>
                <c:pt idx="591">
                  <c:v>357.3659925387791</c:v>
                </c:pt>
                <c:pt idx="592">
                  <c:v>357.71352837227602</c:v>
                </c:pt>
                <c:pt idx="593">
                  <c:v>361.31847634007494</c:v>
                </c:pt>
                <c:pt idx="594">
                  <c:v>363.9878264284315</c:v>
                </c:pt>
                <c:pt idx="595">
                  <c:v>366.3842528961323</c:v>
                </c:pt>
                <c:pt idx="596">
                  <c:v>369.25289613194622</c:v>
                </c:pt>
                <c:pt idx="597">
                  <c:v>367.31690555664676</c:v>
                </c:pt>
                <c:pt idx="598">
                  <c:v>379.64951894757553</c:v>
                </c:pt>
                <c:pt idx="599">
                  <c:v>383.07284508148479</c:v>
                </c:pt>
                <c:pt idx="600">
                  <c:v>380.91105438837661</c:v>
                </c:pt>
                <c:pt idx="601">
                  <c:v>382.68407618299665</c:v>
                </c:pt>
                <c:pt idx="602">
                  <c:v>387.23836638523505</c:v>
                </c:pt>
                <c:pt idx="603">
                  <c:v>388.48517573139645</c:v>
                </c:pt>
                <c:pt idx="604">
                  <c:v>376.9732966817204</c:v>
                </c:pt>
                <c:pt idx="605">
                  <c:v>380.2552523070886</c:v>
                </c:pt>
                <c:pt idx="606">
                  <c:v>392.82741017082316</c:v>
                </c:pt>
                <c:pt idx="607">
                  <c:v>395.09032004712395</c:v>
                </c:pt>
                <c:pt idx="608">
                  <c:v>401.94286275279842</c:v>
                </c:pt>
                <c:pt idx="609">
                  <c:v>406.45199293147505</c:v>
                </c:pt>
                <c:pt idx="610">
                  <c:v>393.69919497349349</c:v>
                </c:pt>
                <c:pt idx="611">
                  <c:v>397.65560573335995</c:v>
                </c:pt>
                <c:pt idx="612">
                  <c:v>385.89632829373687</c:v>
                </c:pt>
                <c:pt idx="613">
                  <c:v>385.6548203416458</c:v>
                </c:pt>
                <c:pt idx="614">
                  <c:v>372.71058315334807</c:v>
                </c:pt>
                <c:pt idx="615">
                  <c:v>374.81346946789739</c:v>
                </c:pt>
                <c:pt idx="616">
                  <c:v>389.05556646377414</c:v>
                </c:pt>
                <c:pt idx="617">
                  <c:v>393.18574514038909</c:v>
                </c:pt>
                <c:pt idx="618">
                  <c:v>394.37168662870641</c:v>
                </c:pt>
                <c:pt idx="619">
                  <c:v>387.84115452582006</c:v>
                </c:pt>
                <c:pt idx="620">
                  <c:v>396.61594345179685</c:v>
                </c:pt>
                <c:pt idx="621">
                  <c:v>390.36029844885161</c:v>
                </c:pt>
                <c:pt idx="622">
                  <c:v>390.30630276850599</c:v>
                </c:pt>
                <c:pt idx="623">
                  <c:v>369.0447673277049</c:v>
                </c:pt>
                <c:pt idx="624">
                  <c:v>385.39073237777365</c:v>
                </c:pt>
                <c:pt idx="625">
                  <c:v>395.24347143137658</c:v>
                </c:pt>
                <c:pt idx="626">
                  <c:v>394.04967602591813</c:v>
                </c:pt>
                <c:pt idx="627">
                  <c:v>382.39544472805835</c:v>
                </c:pt>
                <c:pt idx="628">
                  <c:v>383.66090712743005</c:v>
                </c:pt>
                <c:pt idx="629">
                  <c:v>391.98213233850407</c:v>
                </c:pt>
                <c:pt idx="630">
                  <c:v>385.33673669742808</c:v>
                </c:pt>
                <c:pt idx="631">
                  <c:v>386.12900058904404</c:v>
                </c:pt>
                <c:pt idx="632">
                  <c:v>386.64539564107622</c:v>
                </c:pt>
                <c:pt idx="633">
                  <c:v>387.07048890634223</c:v>
                </c:pt>
                <c:pt idx="634">
                  <c:v>383.60789318672704</c:v>
                </c:pt>
                <c:pt idx="635">
                  <c:v>376.02297270763813</c:v>
                </c:pt>
                <c:pt idx="636">
                  <c:v>369.78598075790319</c:v>
                </c:pt>
                <c:pt idx="637">
                  <c:v>386.03180836442192</c:v>
                </c:pt>
                <c:pt idx="638">
                  <c:v>381.03769880227782</c:v>
                </c:pt>
                <c:pt idx="639">
                  <c:v>384.80267033182815</c:v>
                </c:pt>
                <c:pt idx="640">
                  <c:v>387.78814058511699</c:v>
                </c:pt>
                <c:pt idx="641">
                  <c:v>393.34086000392716</c:v>
                </c:pt>
                <c:pt idx="642">
                  <c:v>398.15334773218166</c:v>
                </c:pt>
                <c:pt idx="643">
                  <c:v>390.32004712350306</c:v>
                </c:pt>
                <c:pt idx="644">
                  <c:v>386.40192420969976</c:v>
                </c:pt>
                <c:pt idx="645">
                  <c:v>389.57588847437682</c:v>
                </c:pt>
                <c:pt idx="646">
                  <c:v>385.69507166699418</c:v>
                </c:pt>
                <c:pt idx="647">
                  <c:v>378.89161594345205</c:v>
                </c:pt>
                <c:pt idx="648">
                  <c:v>367.92951109365822</c:v>
                </c:pt>
                <c:pt idx="649">
                  <c:v>363.36049479678013</c:v>
                </c:pt>
                <c:pt idx="650">
                  <c:v>368.70901236991978</c:v>
                </c:pt>
                <c:pt idx="651">
                  <c:v>369.64853720793269</c:v>
                </c:pt>
                <c:pt idx="652">
                  <c:v>366.12801884940143</c:v>
                </c:pt>
                <c:pt idx="653">
                  <c:v>364.75652856862382</c:v>
                </c:pt>
                <c:pt idx="654">
                  <c:v>365.20812880424137</c:v>
                </c:pt>
                <c:pt idx="655">
                  <c:v>351.97722364029079</c:v>
                </c:pt>
                <c:pt idx="656">
                  <c:v>358.64716277243298</c:v>
                </c:pt>
                <c:pt idx="657">
                  <c:v>350.46043589240156</c:v>
                </c:pt>
                <c:pt idx="658">
                  <c:v>361.34301983114102</c:v>
                </c:pt>
                <c:pt idx="659">
                  <c:v>343.2868643235816</c:v>
                </c:pt>
                <c:pt idx="660">
                  <c:v>342.29923424307896</c:v>
                </c:pt>
                <c:pt idx="661">
                  <c:v>327.48380129589657</c:v>
                </c:pt>
                <c:pt idx="662">
                  <c:v>321.93991753387024</c:v>
                </c:pt>
                <c:pt idx="663">
                  <c:v>328.67366974278445</c:v>
                </c:pt>
                <c:pt idx="664">
                  <c:v>324.11348910269021</c:v>
                </c:pt>
                <c:pt idx="665">
                  <c:v>326.83487139210706</c:v>
                </c:pt>
                <c:pt idx="666">
                  <c:v>344.39819359905783</c:v>
                </c:pt>
                <c:pt idx="667">
                  <c:v>345.46043589240162</c:v>
                </c:pt>
                <c:pt idx="668">
                  <c:v>339.42175535048131</c:v>
                </c:pt>
                <c:pt idx="669">
                  <c:v>337.50638130767749</c:v>
                </c:pt>
                <c:pt idx="670">
                  <c:v>324.00451600235641</c:v>
                </c:pt>
                <c:pt idx="671">
                  <c:v>312.35028470449657</c:v>
                </c:pt>
                <c:pt idx="672">
                  <c:v>319.79972511290032</c:v>
                </c:pt>
                <c:pt idx="673">
                  <c:v>316.79069310818795</c:v>
                </c:pt>
                <c:pt idx="674">
                  <c:v>300.27292362065606</c:v>
                </c:pt>
                <c:pt idx="675">
                  <c:v>287.26389161594375</c:v>
                </c:pt>
                <c:pt idx="676">
                  <c:v>286.97133320243501</c:v>
                </c:pt>
                <c:pt idx="677">
                  <c:v>298.40074612212874</c:v>
                </c:pt>
                <c:pt idx="678">
                  <c:v>294.65050068721803</c:v>
                </c:pt>
                <c:pt idx="679">
                  <c:v>284.56901629687832</c:v>
                </c:pt>
                <c:pt idx="680">
                  <c:v>273.89357942273733</c:v>
                </c:pt>
                <c:pt idx="681">
                  <c:v>289.70351462792098</c:v>
                </c:pt>
                <c:pt idx="682">
                  <c:v>299.08796387198146</c:v>
                </c:pt>
                <c:pt idx="683">
                  <c:v>296.08973100333816</c:v>
                </c:pt>
                <c:pt idx="684">
                  <c:v>285.24641665030458</c:v>
                </c:pt>
                <c:pt idx="685">
                  <c:v>295.4378558806207</c:v>
                </c:pt>
                <c:pt idx="686">
                  <c:v>302.17553504810553</c:v>
                </c:pt>
                <c:pt idx="687">
                  <c:v>314.09090909090941</c:v>
                </c:pt>
                <c:pt idx="688">
                  <c:v>316.49715295503665</c:v>
                </c:pt>
                <c:pt idx="689">
                  <c:v>322.75967013548035</c:v>
                </c:pt>
                <c:pt idx="690">
                  <c:v>319.38739446298871</c:v>
                </c:pt>
                <c:pt idx="691">
                  <c:v>323.79246023954477</c:v>
                </c:pt>
                <c:pt idx="692">
                  <c:v>325.8550952287456</c:v>
                </c:pt>
                <c:pt idx="693">
                  <c:v>329.26369526801523</c:v>
                </c:pt>
                <c:pt idx="694">
                  <c:v>331.79854702532919</c:v>
                </c:pt>
                <c:pt idx="695">
                  <c:v>335.09228352640912</c:v>
                </c:pt>
                <c:pt idx="696">
                  <c:v>331.82112703711005</c:v>
                </c:pt>
                <c:pt idx="697">
                  <c:v>333.66777930492862</c:v>
                </c:pt>
                <c:pt idx="698">
                  <c:v>333.59709405065809</c:v>
                </c:pt>
                <c:pt idx="699">
                  <c:v>337.52699784017312</c:v>
                </c:pt>
                <c:pt idx="700">
                  <c:v>345.28470449636785</c:v>
                </c:pt>
                <c:pt idx="701">
                  <c:v>348.35362261928162</c:v>
                </c:pt>
                <c:pt idx="702">
                  <c:v>348.50088356567863</c:v>
                </c:pt>
                <c:pt idx="703">
                  <c:v>351.08089534655437</c:v>
                </c:pt>
                <c:pt idx="704">
                  <c:v>363.25446691537428</c:v>
                </c:pt>
                <c:pt idx="705">
                  <c:v>362.3738464559201</c:v>
                </c:pt>
                <c:pt idx="706">
                  <c:v>368.00215982721409</c:v>
                </c:pt>
                <c:pt idx="707">
                  <c:v>367.32377773414515</c:v>
                </c:pt>
                <c:pt idx="708">
                  <c:v>363.46946789711399</c:v>
                </c:pt>
                <c:pt idx="709">
                  <c:v>361.76418613783653</c:v>
                </c:pt>
                <c:pt idx="710">
                  <c:v>365.73924995091335</c:v>
                </c:pt>
                <c:pt idx="711">
                  <c:v>365.85607696838832</c:v>
                </c:pt>
                <c:pt idx="712">
                  <c:v>359.3991753387005</c:v>
                </c:pt>
                <c:pt idx="713">
                  <c:v>362.7842136265466</c:v>
                </c:pt>
                <c:pt idx="714">
                  <c:v>364.57097977616371</c:v>
                </c:pt>
                <c:pt idx="715">
                  <c:v>362.89024150795245</c:v>
                </c:pt>
                <c:pt idx="716">
                  <c:v>372.83624582760683</c:v>
                </c:pt>
                <c:pt idx="717">
                  <c:v>371.09463970155144</c:v>
                </c:pt>
                <c:pt idx="718">
                  <c:v>357.05379933241733</c:v>
                </c:pt>
                <c:pt idx="719">
                  <c:v>360.18849401138851</c:v>
                </c:pt>
                <c:pt idx="720">
                  <c:v>365.74415864912658</c:v>
                </c:pt>
                <c:pt idx="721">
                  <c:v>361.32534851757345</c:v>
                </c:pt>
                <c:pt idx="722">
                  <c:v>349.49145886510928</c:v>
                </c:pt>
                <c:pt idx="723">
                  <c:v>343.55291576673892</c:v>
                </c:pt>
                <c:pt idx="724">
                  <c:v>351.15256234046763</c:v>
                </c:pt>
                <c:pt idx="725">
                  <c:v>356.09660318083672</c:v>
                </c:pt>
                <c:pt idx="726">
                  <c:v>351.14470842332645</c:v>
                </c:pt>
                <c:pt idx="727">
                  <c:v>356.30669546436314</c:v>
                </c:pt>
                <c:pt idx="728">
                  <c:v>362.37286471627755</c:v>
                </c:pt>
                <c:pt idx="729">
                  <c:v>363.79246023954477</c:v>
                </c:pt>
                <c:pt idx="730">
                  <c:v>360.75692126448098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10-46F2-9E21-B6078C7D47AC}"/>
            </c:ext>
          </c:extLst>
        </c:ser>
        <c:ser>
          <c:idx val="5"/>
          <c:order val="2"/>
          <c:tx>
            <c:strRef>
              <c:f>Index!$U$1</c:f>
              <c:strCache>
                <c:ptCount val="1"/>
                <c:pt idx="0">
                  <c:v>Dow Jones Asia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Index!$U$2:$U$732</c:f>
              <c:numCache>
                <c:formatCode>General</c:formatCode>
                <c:ptCount val="731"/>
                <c:pt idx="0">
                  <c:v>100</c:v>
                </c:pt>
                <c:pt idx="1">
                  <c:v>103.42759715444765</c:v>
                </c:pt>
                <c:pt idx="2">
                  <c:v>103.68432398534111</c:v>
                </c:pt>
                <c:pt idx="3">
                  <c:v>103.67844474493894</c:v>
                </c:pt>
                <c:pt idx="4">
                  <c:v>101.9950222431262</c:v>
                </c:pt>
                <c:pt idx="5">
                  <c:v>101.89311540948908</c:v>
                </c:pt>
                <c:pt idx="6">
                  <c:v>102.16062084778646</c:v>
                </c:pt>
                <c:pt idx="7">
                  <c:v>103.90577537382171</c:v>
                </c:pt>
                <c:pt idx="8">
                  <c:v>106.10167166402101</c:v>
                </c:pt>
                <c:pt idx="9">
                  <c:v>104.25167068414763</c:v>
                </c:pt>
                <c:pt idx="10">
                  <c:v>99.935328355576473</c:v>
                </c:pt>
                <c:pt idx="11">
                  <c:v>99.231779254120383</c:v>
                </c:pt>
                <c:pt idx="12">
                  <c:v>103.08856095792424</c:v>
                </c:pt>
                <c:pt idx="13">
                  <c:v>101.99796186332728</c:v>
                </c:pt>
                <c:pt idx="14">
                  <c:v>106.98453759774239</c:v>
                </c:pt>
                <c:pt idx="15">
                  <c:v>106.6406020342172</c:v>
                </c:pt>
                <c:pt idx="16">
                  <c:v>108.87961275403222</c:v>
                </c:pt>
                <c:pt idx="17">
                  <c:v>112.20432320144239</c:v>
                </c:pt>
                <c:pt idx="18">
                  <c:v>115.59076567307508</c:v>
                </c:pt>
                <c:pt idx="19">
                  <c:v>118.09924157798815</c:v>
                </c:pt>
                <c:pt idx="20">
                  <c:v>122.84182883571445</c:v>
                </c:pt>
                <c:pt idx="21">
                  <c:v>122.30387833891864</c:v>
                </c:pt>
                <c:pt idx="22">
                  <c:v>123.77172869265294</c:v>
                </c:pt>
                <c:pt idx="23">
                  <c:v>129.06206518117864</c:v>
                </c:pt>
                <c:pt idx="24">
                  <c:v>126.52517294765521</c:v>
                </c:pt>
                <c:pt idx="25">
                  <c:v>127.60793305504933</c:v>
                </c:pt>
                <c:pt idx="26">
                  <c:v>126.95729711721251</c:v>
                </c:pt>
                <c:pt idx="27">
                  <c:v>124.64773551257181</c:v>
                </c:pt>
                <c:pt idx="28">
                  <c:v>121.48372430282012</c:v>
                </c:pt>
                <c:pt idx="29">
                  <c:v>123.59437160718839</c:v>
                </c:pt>
                <c:pt idx="30">
                  <c:v>123.20732161404753</c:v>
                </c:pt>
                <c:pt idx="31">
                  <c:v>124.94463715287989</c:v>
                </c:pt>
                <c:pt idx="32">
                  <c:v>125.24839790699046</c:v>
                </c:pt>
                <c:pt idx="33">
                  <c:v>123.95006565151787</c:v>
                </c:pt>
                <c:pt idx="34">
                  <c:v>121.97464087639881</c:v>
                </c:pt>
                <c:pt idx="35">
                  <c:v>123.18870401944072</c:v>
                </c:pt>
                <c:pt idx="36">
                  <c:v>125.58253473651205</c:v>
                </c:pt>
                <c:pt idx="37">
                  <c:v>127.59225508064361</c:v>
                </c:pt>
                <c:pt idx="38">
                  <c:v>129.06696454818041</c:v>
                </c:pt>
                <c:pt idx="39">
                  <c:v>133.75957826248853</c:v>
                </c:pt>
                <c:pt idx="40">
                  <c:v>136.6443255531386</c:v>
                </c:pt>
                <c:pt idx="41">
                  <c:v>133.97025104356524</c:v>
                </c:pt>
                <c:pt idx="42">
                  <c:v>136.69135947635573</c:v>
                </c:pt>
                <c:pt idx="43">
                  <c:v>136.35134340643197</c:v>
                </c:pt>
                <c:pt idx="44">
                  <c:v>134.18092382464192</c:v>
                </c:pt>
                <c:pt idx="45">
                  <c:v>137.05685225468878</c:v>
                </c:pt>
                <c:pt idx="46">
                  <c:v>140.57851725557066</c:v>
                </c:pt>
                <c:pt idx="47">
                  <c:v>140.59909459697812</c:v>
                </c:pt>
                <c:pt idx="48">
                  <c:v>146.23630626923008</c:v>
                </c:pt>
                <c:pt idx="49">
                  <c:v>146.05404981676372</c:v>
                </c:pt>
                <c:pt idx="50">
                  <c:v>146.84480765085155</c:v>
                </c:pt>
                <c:pt idx="51">
                  <c:v>147.16620612616856</c:v>
                </c:pt>
                <c:pt idx="52">
                  <c:v>152.8455523546358</c:v>
                </c:pt>
                <c:pt idx="53">
                  <c:v>151.24345934505266</c:v>
                </c:pt>
                <c:pt idx="54">
                  <c:v>150.59870264761798</c:v>
                </c:pt>
                <c:pt idx="55">
                  <c:v>153.26591804338887</c:v>
                </c:pt>
                <c:pt idx="56">
                  <c:v>147.89523193603392</c:v>
                </c:pt>
                <c:pt idx="57">
                  <c:v>147.69533776236116</c:v>
                </c:pt>
                <c:pt idx="58">
                  <c:v>149.83832088894124</c:v>
                </c:pt>
                <c:pt idx="59">
                  <c:v>148.83395065357564</c:v>
                </c:pt>
                <c:pt idx="60">
                  <c:v>149.6080506398574</c:v>
                </c:pt>
                <c:pt idx="61">
                  <c:v>149.21218178611329</c:v>
                </c:pt>
                <c:pt idx="62">
                  <c:v>142.84496443059561</c:v>
                </c:pt>
                <c:pt idx="63">
                  <c:v>146.76151841182124</c:v>
                </c:pt>
                <c:pt idx="64">
                  <c:v>146.14419816959654</c:v>
                </c:pt>
                <c:pt idx="65">
                  <c:v>148.69186901052387</c:v>
                </c:pt>
                <c:pt idx="66">
                  <c:v>148.03927332588631</c:v>
                </c:pt>
                <c:pt idx="67">
                  <c:v>144.19816959648816</c:v>
                </c:pt>
                <c:pt idx="68">
                  <c:v>142.8655417720031</c:v>
                </c:pt>
                <c:pt idx="69">
                  <c:v>136.86185744801776</c:v>
                </c:pt>
                <c:pt idx="70">
                  <c:v>140.38254257549929</c:v>
                </c:pt>
                <c:pt idx="71">
                  <c:v>134.03394281458839</c:v>
                </c:pt>
                <c:pt idx="72">
                  <c:v>139.25274854488805</c:v>
                </c:pt>
                <c:pt idx="73">
                  <c:v>144.26382111431207</c:v>
                </c:pt>
                <c:pt idx="74">
                  <c:v>141.53879318792016</c:v>
                </c:pt>
                <c:pt idx="75">
                  <c:v>145.85219589629025</c:v>
                </c:pt>
                <c:pt idx="76">
                  <c:v>144.44313794657734</c:v>
                </c:pt>
                <c:pt idx="77">
                  <c:v>146.89380132086939</c:v>
                </c:pt>
                <c:pt idx="78">
                  <c:v>154.11546828149807</c:v>
                </c:pt>
                <c:pt idx="79">
                  <c:v>158.56409351911736</c:v>
                </c:pt>
                <c:pt idx="80">
                  <c:v>158.71989338977409</c:v>
                </c:pt>
                <c:pt idx="81">
                  <c:v>155.51962686420922</c:v>
                </c:pt>
                <c:pt idx="82">
                  <c:v>156.20553824445886</c:v>
                </c:pt>
                <c:pt idx="83">
                  <c:v>158.16234542497111</c:v>
                </c:pt>
                <c:pt idx="84">
                  <c:v>157.77431555842989</c:v>
                </c:pt>
                <c:pt idx="85">
                  <c:v>162.81674407666534</c:v>
                </c:pt>
                <c:pt idx="86">
                  <c:v>163.85540988104341</c:v>
                </c:pt>
                <c:pt idx="87">
                  <c:v>159.92807729241386</c:v>
                </c:pt>
                <c:pt idx="88">
                  <c:v>161.70458776726051</c:v>
                </c:pt>
                <c:pt idx="89">
                  <c:v>162.0348051031807</c:v>
                </c:pt>
                <c:pt idx="90">
                  <c:v>167.89934740431536</c:v>
                </c:pt>
                <c:pt idx="91">
                  <c:v>169.55239383071705</c:v>
                </c:pt>
                <c:pt idx="92">
                  <c:v>172.48417504458422</c:v>
                </c:pt>
                <c:pt idx="93">
                  <c:v>176.17241852352674</c:v>
                </c:pt>
                <c:pt idx="94">
                  <c:v>178.91998353812684</c:v>
                </c:pt>
                <c:pt idx="95">
                  <c:v>179.9498304819017</c:v>
                </c:pt>
                <c:pt idx="96">
                  <c:v>183.77329649009343</c:v>
                </c:pt>
                <c:pt idx="97">
                  <c:v>186.51890175789282</c:v>
                </c:pt>
                <c:pt idx="98">
                  <c:v>190.81270699825578</c:v>
                </c:pt>
                <c:pt idx="99">
                  <c:v>195.99231779254117</c:v>
                </c:pt>
                <c:pt idx="100">
                  <c:v>198.10198522350908</c:v>
                </c:pt>
                <c:pt idx="101">
                  <c:v>188.50020577341402</c:v>
                </c:pt>
                <c:pt idx="102">
                  <c:v>195.01146451878412</c:v>
                </c:pt>
                <c:pt idx="103">
                  <c:v>199.48850608501374</c:v>
                </c:pt>
                <c:pt idx="104">
                  <c:v>202.10574793736643</c:v>
                </c:pt>
                <c:pt idx="105">
                  <c:v>200.58400454661248</c:v>
                </c:pt>
                <c:pt idx="106">
                  <c:v>204.15760283771328</c:v>
                </c:pt>
                <c:pt idx="107">
                  <c:v>208.22701706939452</c:v>
                </c:pt>
                <c:pt idx="108">
                  <c:v>211.96523409175524</c:v>
                </c:pt>
                <c:pt idx="109">
                  <c:v>221.01632469084984</c:v>
                </c:pt>
                <c:pt idx="110">
                  <c:v>221.9648421423951</c:v>
                </c:pt>
                <c:pt idx="111">
                  <c:v>218.81846865384983</c:v>
                </c:pt>
                <c:pt idx="112">
                  <c:v>218.10806043859125</c:v>
                </c:pt>
                <c:pt idx="113">
                  <c:v>218.93605346189264</c:v>
                </c:pt>
                <c:pt idx="114">
                  <c:v>218.37850549708969</c:v>
                </c:pt>
                <c:pt idx="115">
                  <c:v>220.2441844513688</c:v>
                </c:pt>
                <c:pt idx="116">
                  <c:v>209.36954945421044</c:v>
                </c:pt>
                <c:pt idx="117">
                  <c:v>211.60660042722478</c:v>
                </c:pt>
                <c:pt idx="118">
                  <c:v>214.59717404511332</c:v>
                </c:pt>
                <c:pt idx="119">
                  <c:v>207.06880671017296</c:v>
                </c:pt>
                <c:pt idx="120">
                  <c:v>212.89317420189303</c:v>
                </c:pt>
                <c:pt idx="121">
                  <c:v>215.40850922060861</c:v>
                </c:pt>
                <c:pt idx="122">
                  <c:v>214.08470025672676</c:v>
                </c:pt>
                <c:pt idx="123">
                  <c:v>210.51404158582704</c:v>
                </c:pt>
                <c:pt idx="124">
                  <c:v>212.45321104513289</c:v>
                </c:pt>
                <c:pt idx="125">
                  <c:v>218.56762106335853</c:v>
                </c:pt>
                <c:pt idx="126">
                  <c:v>223.0554412369921</c:v>
                </c:pt>
                <c:pt idx="127">
                  <c:v>225.72755599976472</c:v>
                </c:pt>
                <c:pt idx="128">
                  <c:v>234.52779900836799</c:v>
                </c:pt>
                <c:pt idx="129">
                  <c:v>224.61833931056097</c:v>
                </c:pt>
                <c:pt idx="130">
                  <c:v>224.28616222784004</c:v>
                </c:pt>
                <c:pt idx="131">
                  <c:v>215.45554314382571</c:v>
                </c:pt>
                <c:pt idx="132">
                  <c:v>220.32845356379946</c:v>
                </c:pt>
                <c:pt idx="133">
                  <c:v>226.74368471593465</c:v>
                </c:pt>
                <c:pt idx="134">
                  <c:v>221.20348051031797</c:v>
                </c:pt>
                <c:pt idx="135">
                  <c:v>220.05702863190066</c:v>
                </c:pt>
                <c:pt idx="136">
                  <c:v>222.30289846551815</c:v>
                </c:pt>
                <c:pt idx="137">
                  <c:v>218.57056068355956</c:v>
                </c:pt>
                <c:pt idx="138">
                  <c:v>219.27410978501567</c:v>
                </c:pt>
                <c:pt idx="139">
                  <c:v>222.18139416387388</c:v>
                </c:pt>
                <c:pt idx="140">
                  <c:v>226.10088776530054</c:v>
                </c:pt>
                <c:pt idx="141">
                  <c:v>228.1468634252453</c:v>
                </c:pt>
                <c:pt idx="142">
                  <c:v>220.06584749250385</c:v>
                </c:pt>
                <c:pt idx="143">
                  <c:v>222.26860289650566</c:v>
                </c:pt>
                <c:pt idx="144">
                  <c:v>208.58565073392504</c:v>
                </c:pt>
                <c:pt idx="145">
                  <c:v>201.97640464851929</c:v>
                </c:pt>
                <c:pt idx="146">
                  <c:v>195.92176690771541</c:v>
                </c:pt>
                <c:pt idx="147">
                  <c:v>198.34793344699855</c:v>
                </c:pt>
                <c:pt idx="148">
                  <c:v>194.27949908871764</c:v>
                </c:pt>
                <c:pt idx="149">
                  <c:v>201.00045074176407</c:v>
                </c:pt>
                <c:pt idx="150">
                  <c:v>199.5384796284319</c:v>
                </c:pt>
                <c:pt idx="151">
                  <c:v>200.68101201324782</c:v>
                </c:pt>
                <c:pt idx="152">
                  <c:v>199.73249456170254</c:v>
                </c:pt>
                <c:pt idx="153">
                  <c:v>201.35124541909175</c:v>
                </c:pt>
                <c:pt idx="154">
                  <c:v>198.82317204617155</c:v>
                </c:pt>
                <c:pt idx="155">
                  <c:v>196.54594626374262</c:v>
                </c:pt>
                <c:pt idx="156">
                  <c:v>198.11472357771368</c:v>
                </c:pt>
                <c:pt idx="157">
                  <c:v>205.64995002645648</c:v>
                </c:pt>
                <c:pt idx="158">
                  <c:v>209.70760577733347</c:v>
                </c:pt>
                <c:pt idx="159">
                  <c:v>205.74009837928929</c:v>
                </c:pt>
                <c:pt idx="160">
                  <c:v>206.03602014619702</c:v>
                </c:pt>
                <c:pt idx="161">
                  <c:v>200.68591138024959</c:v>
                </c:pt>
                <c:pt idx="162">
                  <c:v>198.24896623356256</c:v>
                </c:pt>
                <c:pt idx="163">
                  <c:v>197.30632802241942</c:v>
                </c:pt>
                <c:pt idx="164">
                  <c:v>203.51970525408109</c:v>
                </c:pt>
                <c:pt idx="165">
                  <c:v>200.85444960511097</c:v>
                </c:pt>
                <c:pt idx="166">
                  <c:v>202.51533501871552</c:v>
                </c:pt>
                <c:pt idx="167">
                  <c:v>202.73580653379577</c:v>
                </c:pt>
                <c:pt idx="168">
                  <c:v>198.12746193191833</c:v>
                </c:pt>
                <c:pt idx="169">
                  <c:v>200.64475669743464</c:v>
                </c:pt>
                <c:pt idx="170">
                  <c:v>205.70188331667541</c:v>
                </c:pt>
                <c:pt idx="171">
                  <c:v>199.55807709643904</c:v>
                </c:pt>
                <c:pt idx="172">
                  <c:v>203.6500284163285</c:v>
                </c:pt>
                <c:pt idx="173">
                  <c:v>205.38342446155946</c:v>
                </c:pt>
                <c:pt idx="174">
                  <c:v>206.06247672800663</c:v>
                </c:pt>
                <c:pt idx="175">
                  <c:v>205.60487585004012</c:v>
                </c:pt>
                <c:pt idx="176">
                  <c:v>197.76098928018493</c:v>
                </c:pt>
                <c:pt idx="177">
                  <c:v>197.46016814627544</c:v>
                </c:pt>
                <c:pt idx="178">
                  <c:v>199.88633468555855</c:v>
                </c:pt>
                <c:pt idx="179">
                  <c:v>201.87547768828256</c:v>
                </c:pt>
                <c:pt idx="180">
                  <c:v>200.38998961334184</c:v>
                </c:pt>
                <c:pt idx="181">
                  <c:v>196.66059145158434</c:v>
                </c:pt>
                <c:pt idx="182">
                  <c:v>197.80508358320091</c:v>
                </c:pt>
                <c:pt idx="183">
                  <c:v>200.16265898445906</c:v>
                </c:pt>
                <c:pt idx="184">
                  <c:v>196.01583475414964</c:v>
                </c:pt>
                <c:pt idx="185">
                  <c:v>197.07605777333555</c:v>
                </c:pt>
                <c:pt idx="186">
                  <c:v>197.55717561291067</c:v>
                </c:pt>
                <c:pt idx="187">
                  <c:v>198.60172065769089</c:v>
                </c:pt>
                <c:pt idx="188">
                  <c:v>200.79369745428878</c:v>
                </c:pt>
                <c:pt idx="189">
                  <c:v>200.32335822211761</c:v>
                </c:pt>
                <c:pt idx="190">
                  <c:v>201.14057263801504</c:v>
                </c:pt>
                <c:pt idx="191">
                  <c:v>205.19038940168923</c:v>
                </c:pt>
                <c:pt idx="192">
                  <c:v>201.66774452740697</c:v>
                </c:pt>
                <c:pt idx="193">
                  <c:v>202.22431261880959</c:v>
                </c:pt>
                <c:pt idx="194">
                  <c:v>204.82979599035795</c:v>
                </c:pt>
                <c:pt idx="195">
                  <c:v>206.52105747937361</c:v>
                </c:pt>
                <c:pt idx="196">
                  <c:v>208.88941148803571</c:v>
                </c:pt>
                <c:pt idx="197">
                  <c:v>209.47439590804862</c:v>
                </c:pt>
                <c:pt idx="198">
                  <c:v>212.47770788014182</c:v>
                </c:pt>
                <c:pt idx="199">
                  <c:v>215.64269896329387</c:v>
                </c:pt>
                <c:pt idx="200">
                  <c:v>215.60448390067998</c:v>
                </c:pt>
                <c:pt idx="201">
                  <c:v>217.26340956748388</c:v>
                </c:pt>
                <c:pt idx="202">
                  <c:v>221.34360240656903</c:v>
                </c:pt>
                <c:pt idx="203">
                  <c:v>225.56391714190522</c:v>
                </c:pt>
                <c:pt idx="204">
                  <c:v>230.8924686930448</c:v>
                </c:pt>
                <c:pt idx="205">
                  <c:v>230.28396731142331</c:v>
                </c:pt>
                <c:pt idx="206">
                  <c:v>231.64501146451875</c:v>
                </c:pt>
                <c:pt idx="207">
                  <c:v>233.10992219805195</c:v>
                </c:pt>
                <c:pt idx="208">
                  <c:v>235.4870950673172</c:v>
                </c:pt>
                <c:pt idx="209">
                  <c:v>233.02859270582232</c:v>
                </c:pt>
                <c:pt idx="210">
                  <c:v>237.48701667744521</c:v>
                </c:pt>
                <c:pt idx="211">
                  <c:v>242.54512317008638</c:v>
                </c:pt>
                <c:pt idx="212">
                  <c:v>239.77796068747915</c:v>
                </c:pt>
                <c:pt idx="213">
                  <c:v>242.33151076880864</c:v>
                </c:pt>
                <c:pt idx="214">
                  <c:v>245.62192564720635</c:v>
                </c:pt>
                <c:pt idx="215">
                  <c:v>248.27346306857152</c:v>
                </c:pt>
                <c:pt idx="216">
                  <c:v>253.23652184137808</c:v>
                </c:pt>
                <c:pt idx="217">
                  <c:v>246.02465361475296</c:v>
                </c:pt>
                <c:pt idx="218">
                  <c:v>247.57579320751756</c:v>
                </c:pt>
                <c:pt idx="219">
                  <c:v>253.85384208360273</c:v>
                </c:pt>
                <c:pt idx="220">
                  <c:v>258.88059262743252</c:v>
                </c:pt>
                <c:pt idx="221">
                  <c:v>260.20636133811513</c:v>
                </c:pt>
                <c:pt idx="222">
                  <c:v>264.95090834264209</c:v>
                </c:pt>
                <c:pt idx="223">
                  <c:v>271.9344660669841</c:v>
                </c:pt>
                <c:pt idx="224">
                  <c:v>271.50430164422755</c:v>
                </c:pt>
                <c:pt idx="225">
                  <c:v>271.10353342348168</c:v>
                </c:pt>
                <c:pt idx="226">
                  <c:v>274.97305348149024</c:v>
                </c:pt>
                <c:pt idx="227">
                  <c:v>275.6266290395281</c:v>
                </c:pt>
                <c:pt idx="228">
                  <c:v>280.41723009387186</c:v>
                </c:pt>
                <c:pt idx="229">
                  <c:v>277.78627001391419</c:v>
                </c:pt>
                <c:pt idx="230">
                  <c:v>283.15303662766769</c:v>
                </c:pt>
                <c:pt idx="231">
                  <c:v>279.9272933936935</c:v>
                </c:pt>
                <c:pt idx="232">
                  <c:v>279.93709212769704</c:v>
                </c:pt>
                <c:pt idx="233">
                  <c:v>289.99941207595975</c:v>
                </c:pt>
                <c:pt idx="234">
                  <c:v>287.12446351931328</c:v>
                </c:pt>
                <c:pt idx="235">
                  <c:v>289.10086816783269</c:v>
                </c:pt>
                <c:pt idx="236">
                  <c:v>292.51670684147609</c:v>
                </c:pt>
                <c:pt idx="237">
                  <c:v>293.90616732318182</c:v>
                </c:pt>
                <c:pt idx="238">
                  <c:v>278.92488290512864</c:v>
                </c:pt>
                <c:pt idx="239">
                  <c:v>280.06349579634309</c:v>
                </c:pt>
                <c:pt idx="240">
                  <c:v>274.39884766888116</c:v>
                </c:pt>
                <c:pt idx="241">
                  <c:v>245.43770944793931</c:v>
                </c:pt>
                <c:pt idx="242">
                  <c:v>270.25104356517136</c:v>
                </c:pt>
                <c:pt idx="243">
                  <c:v>274.99461069629803</c:v>
                </c:pt>
                <c:pt idx="244">
                  <c:v>277.96656671957987</c:v>
                </c:pt>
                <c:pt idx="245">
                  <c:v>284.67575989182205</c:v>
                </c:pt>
                <c:pt idx="246">
                  <c:v>292.46967291825905</c:v>
                </c:pt>
                <c:pt idx="247">
                  <c:v>303.99102435965284</c:v>
                </c:pt>
                <c:pt idx="248">
                  <c:v>302.94549944147229</c:v>
                </c:pt>
                <c:pt idx="249">
                  <c:v>303.26591804338892</c:v>
                </c:pt>
                <c:pt idx="250">
                  <c:v>299.43951241499616</c:v>
                </c:pt>
                <c:pt idx="251">
                  <c:v>307.32357379426594</c:v>
                </c:pt>
                <c:pt idx="252">
                  <c:v>306.23689419327036</c:v>
                </c:pt>
                <c:pt idx="253">
                  <c:v>297.50916181629344</c:v>
                </c:pt>
                <c:pt idx="254">
                  <c:v>284.07215787720241</c:v>
                </c:pt>
                <c:pt idx="255">
                  <c:v>272.94079604915055</c:v>
                </c:pt>
                <c:pt idx="256">
                  <c:v>293.4799223940268</c:v>
                </c:pt>
                <c:pt idx="257">
                  <c:v>298.81533305896892</c:v>
                </c:pt>
                <c:pt idx="258">
                  <c:v>284.04766104219345</c:v>
                </c:pt>
                <c:pt idx="259">
                  <c:v>280.19087933838961</c:v>
                </c:pt>
                <c:pt idx="260">
                  <c:v>282.39755423599286</c:v>
                </c:pt>
                <c:pt idx="261">
                  <c:v>278.80043898328353</c:v>
                </c:pt>
                <c:pt idx="262">
                  <c:v>277.04156622964331</c:v>
                </c:pt>
                <c:pt idx="263">
                  <c:v>257.26968075724631</c:v>
                </c:pt>
                <c:pt idx="264">
                  <c:v>259.67135046152055</c:v>
                </c:pt>
                <c:pt idx="265">
                  <c:v>265.68973288651119</c:v>
                </c:pt>
                <c:pt idx="266">
                  <c:v>256.54947380798416</c:v>
                </c:pt>
                <c:pt idx="267">
                  <c:v>261.29892017951295</c:v>
                </c:pt>
                <c:pt idx="268">
                  <c:v>260.87463499715852</c:v>
                </c:pt>
                <c:pt idx="269">
                  <c:v>262.04264409038365</c:v>
                </c:pt>
                <c:pt idx="270">
                  <c:v>237.62811844709677</c:v>
                </c:pt>
                <c:pt idx="271">
                  <c:v>235.72814392380513</c:v>
                </c:pt>
                <c:pt idx="272">
                  <c:v>224.02551590334539</c:v>
                </c:pt>
                <c:pt idx="273">
                  <c:v>243.99631567601477</c:v>
                </c:pt>
                <c:pt idx="274">
                  <c:v>253.38742234503312</c:v>
                </c:pt>
                <c:pt idx="275">
                  <c:v>242.65584886432683</c:v>
                </c:pt>
                <c:pt idx="276">
                  <c:v>241.44472534148596</c:v>
                </c:pt>
                <c:pt idx="277">
                  <c:v>249.07401963666305</c:v>
                </c:pt>
                <c:pt idx="278">
                  <c:v>257.08056519097744</c:v>
                </c:pt>
                <c:pt idx="279">
                  <c:v>249.61686950046064</c:v>
                </c:pt>
                <c:pt idx="280">
                  <c:v>252.37031375546286</c:v>
                </c:pt>
                <c:pt idx="281">
                  <c:v>247.53267877790199</c:v>
                </c:pt>
                <c:pt idx="282">
                  <c:v>237.20677288494335</c:v>
                </c:pt>
                <c:pt idx="283">
                  <c:v>235.83886961804544</c:v>
                </c:pt>
                <c:pt idx="284">
                  <c:v>219.70819370137386</c:v>
                </c:pt>
                <c:pt idx="285">
                  <c:v>207.48819252552576</c:v>
                </c:pt>
                <c:pt idx="286">
                  <c:v>193.9336037783919</c:v>
                </c:pt>
                <c:pt idx="287">
                  <c:v>197.84133889901432</c:v>
                </c:pt>
                <c:pt idx="288">
                  <c:v>206.18496090305138</c:v>
                </c:pt>
                <c:pt idx="289">
                  <c:v>200.38215062613918</c:v>
                </c:pt>
                <c:pt idx="290">
                  <c:v>216.89007780194802</c:v>
                </c:pt>
                <c:pt idx="291">
                  <c:v>206.77484469006609</c:v>
                </c:pt>
                <c:pt idx="292">
                  <c:v>206.18398102965105</c:v>
                </c:pt>
                <c:pt idx="293">
                  <c:v>198.48021635604687</c:v>
                </c:pt>
                <c:pt idx="294">
                  <c:v>187.04117428028306</c:v>
                </c:pt>
                <c:pt idx="295">
                  <c:v>191.15566268838074</c:v>
                </c:pt>
                <c:pt idx="296">
                  <c:v>177.26693711172524</c:v>
                </c:pt>
                <c:pt idx="297">
                  <c:v>178.9826954357498</c:v>
                </c:pt>
                <c:pt idx="298">
                  <c:v>173.74135261724197</c:v>
                </c:pt>
                <c:pt idx="299">
                  <c:v>172.48613479138507</c:v>
                </c:pt>
                <c:pt idx="300">
                  <c:v>166.14635389107738</c:v>
                </c:pt>
                <c:pt idx="301">
                  <c:v>123.83542046367617</c:v>
                </c:pt>
                <c:pt idx="302">
                  <c:v>134.55425559017786</c:v>
                </c:pt>
                <c:pt idx="303">
                  <c:v>115.95135908440639</c:v>
                </c:pt>
                <c:pt idx="304">
                  <c:v>124.80353538322861</c:v>
                </c:pt>
                <c:pt idx="305">
                  <c:v>127.90973406235923</c:v>
                </c:pt>
                <c:pt idx="306">
                  <c:v>117.24185235267612</c:v>
                </c:pt>
                <c:pt idx="307">
                  <c:v>104.31928194877229</c:v>
                </c:pt>
                <c:pt idx="308">
                  <c:v>111.26070511689899</c:v>
                </c:pt>
                <c:pt idx="309">
                  <c:v>102.29780312383649</c:v>
                </c:pt>
                <c:pt idx="310">
                  <c:v>109.92905716581426</c:v>
                </c:pt>
                <c:pt idx="311">
                  <c:v>117.62890234581704</c:v>
                </c:pt>
                <c:pt idx="312">
                  <c:v>114.16504987555618</c:v>
                </c:pt>
                <c:pt idx="313">
                  <c:v>120.58616026809348</c:v>
                </c:pt>
                <c:pt idx="314">
                  <c:v>121.74241088051436</c:v>
                </c:pt>
                <c:pt idx="315">
                  <c:v>115.33403884218168</c:v>
                </c:pt>
                <c:pt idx="316">
                  <c:v>110.53951829423646</c:v>
                </c:pt>
                <c:pt idx="317">
                  <c:v>113.78093950261636</c:v>
                </c:pt>
                <c:pt idx="318">
                  <c:v>111.79375624669302</c:v>
                </c:pt>
                <c:pt idx="319">
                  <c:v>113.34293609265691</c:v>
                </c:pt>
                <c:pt idx="320">
                  <c:v>105.38930370196178</c:v>
                </c:pt>
                <c:pt idx="321">
                  <c:v>100.87894644012</c:v>
                </c:pt>
                <c:pt idx="322">
                  <c:v>94.373566935152041</c:v>
                </c:pt>
                <c:pt idx="323">
                  <c:v>99.829502028337998</c:v>
                </c:pt>
                <c:pt idx="324">
                  <c:v>107.61361632077143</c:v>
                </c:pt>
                <c:pt idx="325">
                  <c:v>114.54132126129312</c:v>
                </c:pt>
                <c:pt idx="326">
                  <c:v>116.59611578184106</c:v>
                </c:pt>
                <c:pt idx="327">
                  <c:v>119.03208105512773</c:v>
                </c:pt>
                <c:pt idx="328">
                  <c:v>119.5171183883043</c:v>
                </c:pt>
                <c:pt idx="329">
                  <c:v>120.94871342622538</c:v>
                </c:pt>
                <c:pt idx="330">
                  <c:v>123.85795755188435</c:v>
                </c:pt>
                <c:pt idx="331">
                  <c:v>130.51129794030618</c:v>
                </c:pt>
                <c:pt idx="332">
                  <c:v>128.23505203127763</c:v>
                </c:pt>
                <c:pt idx="333">
                  <c:v>131.89193956140875</c:v>
                </c:pt>
                <c:pt idx="334">
                  <c:v>136.40327669665086</c:v>
                </c:pt>
                <c:pt idx="335">
                  <c:v>141.36829521625813</c:v>
                </c:pt>
                <c:pt idx="336">
                  <c:v>139.66037587943646</c:v>
                </c:pt>
                <c:pt idx="337">
                  <c:v>137.3753111098047</c:v>
                </c:pt>
                <c:pt idx="338">
                  <c:v>139.14692221764955</c:v>
                </c:pt>
                <c:pt idx="339">
                  <c:v>135.92999784427857</c:v>
                </c:pt>
                <c:pt idx="340">
                  <c:v>133.70274560526784</c:v>
                </c:pt>
                <c:pt idx="341">
                  <c:v>143.14284594430404</c:v>
                </c:pt>
                <c:pt idx="342">
                  <c:v>148.84570913437989</c:v>
                </c:pt>
                <c:pt idx="343">
                  <c:v>149.8814353185569</c:v>
                </c:pt>
                <c:pt idx="344">
                  <c:v>148.29012091637767</c:v>
                </c:pt>
                <c:pt idx="345">
                  <c:v>149.30037039214542</c:v>
                </c:pt>
                <c:pt idx="346">
                  <c:v>143.95124149959832</c:v>
                </c:pt>
                <c:pt idx="347">
                  <c:v>148.8643267289867</c:v>
                </c:pt>
                <c:pt idx="348">
                  <c:v>150.46739961197019</c:v>
                </c:pt>
                <c:pt idx="349">
                  <c:v>157.03157152095957</c:v>
                </c:pt>
                <c:pt idx="350">
                  <c:v>159.749740333549</c:v>
                </c:pt>
                <c:pt idx="351">
                  <c:v>159.80755286417005</c:v>
                </c:pt>
                <c:pt idx="352">
                  <c:v>161.50763321378886</c:v>
                </c:pt>
                <c:pt idx="353">
                  <c:v>163.19693495600376</c:v>
                </c:pt>
                <c:pt idx="354">
                  <c:v>169.22805573519909</c:v>
                </c:pt>
                <c:pt idx="355">
                  <c:v>171.36124012777557</c:v>
                </c:pt>
                <c:pt idx="356">
                  <c:v>167.12916691163508</c:v>
                </c:pt>
                <c:pt idx="357">
                  <c:v>170.25594293217321</c:v>
                </c:pt>
                <c:pt idx="358">
                  <c:v>174.04609324475283</c:v>
                </c:pt>
                <c:pt idx="359">
                  <c:v>169.98451800027439</c:v>
                </c:pt>
                <c:pt idx="360">
                  <c:v>165.61722225488472</c:v>
                </c:pt>
                <c:pt idx="361">
                  <c:v>171.53859721324008</c:v>
                </c:pt>
                <c:pt idx="362">
                  <c:v>170.81839026397793</c:v>
                </c:pt>
                <c:pt idx="363">
                  <c:v>170.75861798655617</c:v>
                </c:pt>
                <c:pt idx="364">
                  <c:v>172.49005428498643</c:v>
                </c:pt>
                <c:pt idx="365">
                  <c:v>177.27673584572878</c:v>
                </c:pt>
                <c:pt idx="366">
                  <c:v>184.86095596448945</c:v>
                </c:pt>
                <c:pt idx="367">
                  <c:v>181.12077919532803</c:v>
                </c:pt>
                <c:pt idx="368">
                  <c:v>174.60854057655757</c:v>
                </c:pt>
                <c:pt idx="369">
                  <c:v>167.02040096419549</c:v>
                </c:pt>
                <c:pt idx="370">
                  <c:v>161.39396789934744</c:v>
                </c:pt>
                <c:pt idx="371">
                  <c:v>165.62604111548791</c:v>
                </c:pt>
                <c:pt idx="372">
                  <c:v>167.47800184216203</c:v>
                </c:pt>
                <c:pt idx="373">
                  <c:v>171.11627177768634</c:v>
                </c:pt>
                <c:pt idx="374">
                  <c:v>176.08520979089502</c:v>
                </c:pt>
                <c:pt idx="375">
                  <c:v>177.05038509024632</c:v>
                </c:pt>
                <c:pt idx="376">
                  <c:v>177.73531659709565</c:v>
                </c:pt>
                <c:pt idx="377">
                  <c:v>175.82064397279871</c:v>
                </c:pt>
                <c:pt idx="378">
                  <c:v>181.17369235894722</c:v>
                </c:pt>
                <c:pt idx="379">
                  <c:v>185.82123189683892</c:v>
                </c:pt>
                <c:pt idx="380">
                  <c:v>184.09763458561153</c:v>
                </c:pt>
                <c:pt idx="381">
                  <c:v>183.25004409430301</c:v>
                </c:pt>
                <c:pt idx="382">
                  <c:v>180.92382464185627</c:v>
                </c:pt>
                <c:pt idx="383">
                  <c:v>168.73713916162032</c:v>
                </c:pt>
                <c:pt idx="384">
                  <c:v>173.77662805965471</c:v>
                </c:pt>
                <c:pt idx="385">
                  <c:v>157.91247770788016</c:v>
                </c:pt>
                <c:pt idx="386">
                  <c:v>161.0127971466087</c:v>
                </c:pt>
                <c:pt idx="387">
                  <c:v>158.93056617085077</c:v>
                </c:pt>
                <c:pt idx="388">
                  <c:v>161.73300409587085</c:v>
                </c:pt>
                <c:pt idx="389">
                  <c:v>170.32943343719995</c:v>
                </c:pt>
                <c:pt idx="390">
                  <c:v>168.62347384717899</c:v>
                </c:pt>
                <c:pt idx="391">
                  <c:v>165.40850922060875</c:v>
                </c:pt>
                <c:pt idx="392">
                  <c:v>172.12064201305196</c:v>
                </c:pt>
                <c:pt idx="393">
                  <c:v>173.88441413369398</c:v>
                </c:pt>
                <c:pt idx="394">
                  <c:v>178.53391341838639</c:v>
                </c:pt>
                <c:pt idx="395">
                  <c:v>179.29429517706319</c:v>
                </c:pt>
                <c:pt idx="396">
                  <c:v>183.44111940737261</c:v>
                </c:pt>
                <c:pt idx="397">
                  <c:v>177.9028749485567</c:v>
                </c:pt>
                <c:pt idx="398">
                  <c:v>176.24884864875466</c:v>
                </c:pt>
                <c:pt idx="399">
                  <c:v>177.93521077076849</c:v>
                </c:pt>
                <c:pt idx="400">
                  <c:v>185.63603582417159</c:v>
                </c:pt>
                <c:pt idx="401">
                  <c:v>189.08323044662637</c:v>
                </c:pt>
                <c:pt idx="402">
                  <c:v>191.10274952476146</c:v>
                </c:pt>
                <c:pt idx="403">
                  <c:v>191.65539812256264</c:v>
                </c:pt>
                <c:pt idx="404">
                  <c:v>193.03407999686448</c:v>
                </c:pt>
                <c:pt idx="405">
                  <c:v>194.96541046896752</c:v>
                </c:pt>
                <c:pt idx="406">
                  <c:v>195.87473298449851</c:v>
                </c:pt>
                <c:pt idx="407">
                  <c:v>195.49258235835939</c:v>
                </c:pt>
                <c:pt idx="408">
                  <c:v>195.60428792600004</c:v>
                </c:pt>
                <c:pt idx="409">
                  <c:v>204.42608814941116</c:v>
                </c:pt>
                <c:pt idx="410">
                  <c:v>202.04891528014585</c:v>
                </c:pt>
                <c:pt idx="411">
                  <c:v>196.58416132635671</c:v>
                </c:pt>
                <c:pt idx="412">
                  <c:v>193.90812706998264</c:v>
                </c:pt>
                <c:pt idx="413">
                  <c:v>197.78744586199471</c:v>
                </c:pt>
                <c:pt idx="414">
                  <c:v>193.47894252062642</c:v>
                </c:pt>
                <c:pt idx="415">
                  <c:v>191.90820545985468</c:v>
                </c:pt>
                <c:pt idx="416">
                  <c:v>192.22862406177131</c:v>
                </c:pt>
                <c:pt idx="417">
                  <c:v>195.31816489309588</c:v>
                </c:pt>
                <c:pt idx="418">
                  <c:v>195.36715856311372</c:v>
                </c:pt>
                <c:pt idx="419">
                  <c:v>195.50434083916363</c:v>
                </c:pt>
                <c:pt idx="420">
                  <c:v>193.58084935426345</c:v>
                </c:pt>
                <c:pt idx="421">
                  <c:v>193.51813745664063</c:v>
                </c:pt>
                <c:pt idx="422">
                  <c:v>196.21768867462328</c:v>
                </c:pt>
                <c:pt idx="423">
                  <c:v>189.01757892880244</c:v>
                </c:pt>
                <c:pt idx="424">
                  <c:v>194.50291022399909</c:v>
                </c:pt>
                <c:pt idx="425">
                  <c:v>191.85235267603429</c:v>
                </c:pt>
                <c:pt idx="426">
                  <c:v>195.64740235561567</c:v>
                </c:pt>
                <c:pt idx="427">
                  <c:v>190.83524408646403</c:v>
                </c:pt>
                <c:pt idx="428">
                  <c:v>188.25327767652422</c:v>
                </c:pt>
                <c:pt idx="429">
                  <c:v>196.92221764947973</c:v>
                </c:pt>
                <c:pt idx="430">
                  <c:v>199.79912595292691</c:v>
                </c:pt>
                <c:pt idx="431">
                  <c:v>202.31936033864432</c:v>
                </c:pt>
                <c:pt idx="432">
                  <c:v>202.51337527191492</c:v>
                </c:pt>
                <c:pt idx="433">
                  <c:v>207.47545417132113</c:v>
                </c:pt>
                <c:pt idx="434">
                  <c:v>205.07868383404872</c:v>
                </c:pt>
                <c:pt idx="435">
                  <c:v>204.22521410233804</c:v>
                </c:pt>
                <c:pt idx="436">
                  <c:v>203.43837576185166</c:v>
                </c:pt>
                <c:pt idx="437">
                  <c:v>204.45058498442009</c:v>
                </c:pt>
                <c:pt idx="438">
                  <c:v>203.40506006623951</c:v>
                </c:pt>
                <c:pt idx="439">
                  <c:v>200.70942834185831</c:v>
                </c:pt>
                <c:pt idx="440">
                  <c:v>198.97211280302591</c:v>
                </c:pt>
                <c:pt idx="441">
                  <c:v>194.89191996394072</c:v>
                </c:pt>
                <c:pt idx="442">
                  <c:v>193.57692986066206</c:v>
                </c:pt>
                <c:pt idx="443">
                  <c:v>200.83779175730504</c:v>
                </c:pt>
                <c:pt idx="444">
                  <c:v>204.4358868834147</c:v>
                </c:pt>
                <c:pt idx="445">
                  <c:v>199.49144570521494</c:v>
                </c:pt>
                <c:pt idx="446">
                  <c:v>203.70490132674863</c:v>
                </c:pt>
                <c:pt idx="447">
                  <c:v>202.7985184314187</c:v>
                </c:pt>
                <c:pt idx="448">
                  <c:v>188.80396652752466</c:v>
                </c:pt>
                <c:pt idx="449">
                  <c:v>184.28773002528075</c:v>
                </c:pt>
                <c:pt idx="450">
                  <c:v>184.46312736394458</c:v>
                </c:pt>
                <c:pt idx="451">
                  <c:v>189.95727751974442</c:v>
                </c:pt>
                <c:pt idx="452">
                  <c:v>192.93609265682872</c:v>
                </c:pt>
                <c:pt idx="453">
                  <c:v>195.21331843925762</c:v>
                </c:pt>
                <c:pt idx="454">
                  <c:v>192.15219393654337</c:v>
                </c:pt>
                <c:pt idx="455">
                  <c:v>179.50202833793873</c:v>
                </c:pt>
                <c:pt idx="456">
                  <c:v>181.44217767064492</c:v>
                </c:pt>
                <c:pt idx="457">
                  <c:v>181.5176279224724</c:v>
                </c:pt>
                <c:pt idx="458">
                  <c:v>186.96964352205691</c:v>
                </c:pt>
                <c:pt idx="459">
                  <c:v>188.23074058831597</c:v>
                </c:pt>
                <c:pt idx="460">
                  <c:v>198.35871205440253</c:v>
                </c:pt>
                <c:pt idx="461">
                  <c:v>193.93164403159111</c:v>
                </c:pt>
                <c:pt idx="462">
                  <c:v>194.31967389813235</c:v>
                </c:pt>
                <c:pt idx="463">
                  <c:v>190.86072079487329</c:v>
                </c:pt>
                <c:pt idx="464">
                  <c:v>184.28968977208143</c:v>
                </c:pt>
                <c:pt idx="465">
                  <c:v>196.38916651968563</c:v>
                </c:pt>
                <c:pt idx="466">
                  <c:v>193.9473220059968</c:v>
                </c:pt>
                <c:pt idx="467">
                  <c:v>194.26480098771236</c:v>
                </c:pt>
                <c:pt idx="468">
                  <c:v>195.98447880533831</c:v>
                </c:pt>
                <c:pt idx="469">
                  <c:v>197.37001979344265</c:v>
                </c:pt>
                <c:pt idx="470">
                  <c:v>197.1495482783624</c:v>
                </c:pt>
                <c:pt idx="471">
                  <c:v>198.94663609461654</c:v>
                </c:pt>
                <c:pt idx="472">
                  <c:v>199.97746291179178</c:v>
                </c:pt>
                <c:pt idx="473">
                  <c:v>204.57012953926349</c:v>
                </c:pt>
                <c:pt idx="474">
                  <c:v>206.11147039802452</c:v>
                </c:pt>
                <c:pt idx="475">
                  <c:v>208.49942187469378</c:v>
                </c:pt>
                <c:pt idx="476">
                  <c:v>209.38620730201652</c:v>
                </c:pt>
                <c:pt idx="477">
                  <c:v>208.86197503282571</c:v>
                </c:pt>
                <c:pt idx="478">
                  <c:v>210.2651537421365</c:v>
                </c:pt>
                <c:pt idx="479">
                  <c:v>210.31414741215431</c:v>
                </c:pt>
                <c:pt idx="480">
                  <c:v>213.42328571148605</c:v>
                </c:pt>
                <c:pt idx="481">
                  <c:v>212.04656358398489</c:v>
                </c:pt>
                <c:pt idx="482">
                  <c:v>212.33072687008834</c:v>
                </c:pt>
                <c:pt idx="483">
                  <c:v>212.76775040664742</c:v>
                </c:pt>
                <c:pt idx="484">
                  <c:v>212.82654281066883</c:v>
                </c:pt>
                <c:pt idx="485">
                  <c:v>212.70209888882354</c:v>
                </c:pt>
                <c:pt idx="486">
                  <c:v>212.9490269857134</c:v>
                </c:pt>
                <c:pt idx="487">
                  <c:v>213.00389989613339</c:v>
                </c:pt>
                <c:pt idx="488">
                  <c:v>209.75267995374998</c:v>
                </c:pt>
                <c:pt idx="489">
                  <c:v>201.48548807494066</c:v>
                </c:pt>
                <c:pt idx="490">
                  <c:v>200.93479922394022</c:v>
                </c:pt>
                <c:pt idx="491">
                  <c:v>202.39481059047165</c:v>
                </c:pt>
                <c:pt idx="492">
                  <c:v>201.70595959002088</c:v>
                </c:pt>
                <c:pt idx="493">
                  <c:v>206.14086660003522</c:v>
                </c:pt>
                <c:pt idx="494">
                  <c:v>204.32516118917428</c:v>
                </c:pt>
                <c:pt idx="495">
                  <c:v>209.51947008446501</c:v>
                </c:pt>
                <c:pt idx="496">
                  <c:v>214.02100848570359</c:v>
                </c:pt>
                <c:pt idx="497">
                  <c:v>214.94502910223989</c:v>
                </c:pt>
                <c:pt idx="498">
                  <c:v>219.63666294314766</c:v>
                </c:pt>
                <c:pt idx="499">
                  <c:v>219.35837889744636</c:v>
                </c:pt>
                <c:pt idx="500">
                  <c:v>221.42689164559928</c:v>
                </c:pt>
                <c:pt idx="501">
                  <c:v>220.20302976855382</c:v>
                </c:pt>
                <c:pt idx="502">
                  <c:v>222.19217277127782</c:v>
                </c:pt>
                <c:pt idx="503">
                  <c:v>224.70260842299157</c:v>
                </c:pt>
                <c:pt idx="504">
                  <c:v>225.53060144629302</c:v>
                </c:pt>
                <c:pt idx="505">
                  <c:v>227.02294863503624</c:v>
                </c:pt>
                <c:pt idx="506">
                  <c:v>229.56278048876075</c:v>
                </c:pt>
                <c:pt idx="507">
                  <c:v>230.39273325886285</c:v>
                </c:pt>
                <c:pt idx="508">
                  <c:v>230.0860328845512</c:v>
                </c:pt>
                <c:pt idx="509">
                  <c:v>230.8983479334469</c:v>
                </c:pt>
                <c:pt idx="510">
                  <c:v>229.56865972916293</c:v>
                </c:pt>
                <c:pt idx="511">
                  <c:v>232.28290904815091</c:v>
                </c:pt>
                <c:pt idx="512">
                  <c:v>230.10073098555659</c:v>
                </c:pt>
                <c:pt idx="513">
                  <c:v>232.00168538224855</c:v>
                </c:pt>
                <c:pt idx="514">
                  <c:v>230.5210966743096</c:v>
                </c:pt>
                <c:pt idx="515">
                  <c:v>227.48152938640322</c:v>
                </c:pt>
                <c:pt idx="516">
                  <c:v>232.66309992748933</c:v>
                </c:pt>
                <c:pt idx="517">
                  <c:v>235.27152291923878</c:v>
                </c:pt>
                <c:pt idx="518">
                  <c:v>237.20187351794141</c:v>
                </c:pt>
                <c:pt idx="519">
                  <c:v>237.07057048229365</c:v>
                </c:pt>
                <c:pt idx="520">
                  <c:v>234.8805534324965</c:v>
                </c:pt>
                <c:pt idx="521">
                  <c:v>233.75761851568774</c:v>
                </c:pt>
                <c:pt idx="522">
                  <c:v>235.07456836576713</c:v>
                </c:pt>
                <c:pt idx="523">
                  <c:v>236.67372175514919</c:v>
                </c:pt>
                <c:pt idx="524">
                  <c:v>239.912203343328</c:v>
                </c:pt>
                <c:pt idx="525">
                  <c:v>241.7984596390146</c:v>
                </c:pt>
                <c:pt idx="526">
                  <c:v>243.09287240088574</c:v>
                </c:pt>
                <c:pt idx="527">
                  <c:v>241.56426989632934</c:v>
                </c:pt>
                <c:pt idx="528">
                  <c:v>241.08903129715631</c:v>
                </c:pt>
                <c:pt idx="529">
                  <c:v>242.36874595802212</c:v>
                </c:pt>
                <c:pt idx="530">
                  <c:v>244.49507123679612</c:v>
                </c:pt>
                <c:pt idx="531">
                  <c:v>247.81194269700345</c:v>
                </c:pt>
                <c:pt idx="532">
                  <c:v>251.15037137201864</c:v>
                </c:pt>
                <c:pt idx="533">
                  <c:v>253.69314284594415</c:v>
                </c:pt>
                <c:pt idx="534">
                  <c:v>256.90320810551265</c:v>
                </c:pt>
                <c:pt idx="535">
                  <c:v>252.44772375409084</c:v>
                </c:pt>
                <c:pt idx="536">
                  <c:v>260.12503184588536</c:v>
                </c:pt>
                <c:pt idx="537">
                  <c:v>257.47153467771949</c:v>
                </c:pt>
                <c:pt idx="538">
                  <c:v>262.51886256295671</c:v>
                </c:pt>
                <c:pt idx="539">
                  <c:v>265.23409175534505</c:v>
                </c:pt>
                <c:pt idx="540">
                  <c:v>265.9435200972033</c:v>
                </c:pt>
                <c:pt idx="541">
                  <c:v>265.30464264017075</c:v>
                </c:pt>
                <c:pt idx="542">
                  <c:v>258.5660532659179</c:v>
                </c:pt>
                <c:pt idx="543">
                  <c:v>252.5819664099397</c:v>
                </c:pt>
                <c:pt idx="544">
                  <c:v>244.54112528661284</c:v>
                </c:pt>
                <c:pt idx="545">
                  <c:v>244.63127363944568</c:v>
                </c:pt>
                <c:pt idx="546">
                  <c:v>236.58553314911703</c:v>
                </c:pt>
                <c:pt idx="547">
                  <c:v>239.86320967331014</c:v>
                </c:pt>
                <c:pt idx="548">
                  <c:v>241.24679091461374</c:v>
                </c:pt>
                <c:pt idx="549">
                  <c:v>247.09467536794233</c:v>
                </c:pt>
                <c:pt idx="550">
                  <c:v>246.13145981539174</c:v>
                </c:pt>
                <c:pt idx="551">
                  <c:v>248.68305014992049</c:v>
                </c:pt>
                <c:pt idx="552">
                  <c:v>247.06919865953307</c:v>
                </c:pt>
                <c:pt idx="553">
                  <c:v>244.68516667646529</c:v>
                </c:pt>
                <c:pt idx="554">
                  <c:v>245.20841907225574</c:v>
                </c:pt>
                <c:pt idx="555">
                  <c:v>238.46101083739973</c:v>
                </c:pt>
                <c:pt idx="556">
                  <c:v>234.94718482372068</c:v>
                </c:pt>
                <c:pt idx="557">
                  <c:v>237.80351578576037</c:v>
                </c:pt>
                <c:pt idx="558">
                  <c:v>241.76906343700378</c:v>
                </c:pt>
                <c:pt idx="559">
                  <c:v>250.29592176690753</c:v>
                </c:pt>
                <c:pt idx="560">
                  <c:v>251.09941795520004</c:v>
                </c:pt>
                <c:pt idx="561">
                  <c:v>252.04793540674527</c:v>
                </c:pt>
                <c:pt idx="562">
                  <c:v>255.36872636055404</c:v>
                </c:pt>
                <c:pt idx="563">
                  <c:v>255.83612597252417</c:v>
                </c:pt>
                <c:pt idx="564">
                  <c:v>253.49226879887098</c:v>
                </c:pt>
                <c:pt idx="565">
                  <c:v>251.69910047621829</c:v>
                </c:pt>
                <c:pt idx="566">
                  <c:v>248.55762635467482</c:v>
                </c:pt>
                <c:pt idx="567">
                  <c:v>250.42036568875284</c:v>
                </c:pt>
                <c:pt idx="568">
                  <c:v>251.2062241558389</c:v>
                </c:pt>
                <c:pt idx="569">
                  <c:v>252.59078527054288</c:v>
                </c:pt>
                <c:pt idx="570">
                  <c:v>248.03437395888434</c:v>
                </c:pt>
                <c:pt idx="571">
                  <c:v>246.35879044427443</c:v>
                </c:pt>
                <c:pt idx="572">
                  <c:v>246.440119936504</c:v>
                </c:pt>
                <c:pt idx="573">
                  <c:v>249.06618064945988</c:v>
                </c:pt>
                <c:pt idx="574">
                  <c:v>250.46250024496814</c:v>
                </c:pt>
                <c:pt idx="575">
                  <c:v>246.57828208595424</c:v>
                </c:pt>
                <c:pt idx="576">
                  <c:v>246.70076626099882</c:v>
                </c:pt>
                <c:pt idx="577">
                  <c:v>244.40982225096496</c:v>
                </c:pt>
                <c:pt idx="578">
                  <c:v>241.07531306955119</c:v>
                </c:pt>
                <c:pt idx="579">
                  <c:v>239.98079448135277</c:v>
                </c:pt>
                <c:pt idx="580">
                  <c:v>244.88212122993687</c:v>
                </c:pt>
                <c:pt idx="581">
                  <c:v>247.36512042644071</c:v>
                </c:pt>
                <c:pt idx="582">
                  <c:v>254.19385815352635</c:v>
                </c:pt>
                <c:pt idx="583">
                  <c:v>256.59552785780056</c:v>
                </c:pt>
                <c:pt idx="584">
                  <c:v>251.41297744331413</c:v>
                </c:pt>
                <c:pt idx="585">
                  <c:v>250.2263507554822</c:v>
                </c:pt>
                <c:pt idx="586">
                  <c:v>256.38877457032538</c:v>
                </c:pt>
                <c:pt idx="587">
                  <c:v>258.16038567817026</c:v>
                </c:pt>
                <c:pt idx="588">
                  <c:v>260.46406804240877</c:v>
                </c:pt>
                <c:pt idx="589">
                  <c:v>261.02553550081313</c:v>
                </c:pt>
                <c:pt idx="590">
                  <c:v>260.22399905932139</c:v>
                </c:pt>
                <c:pt idx="591">
                  <c:v>261.07060967722953</c:v>
                </c:pt>
                <c:pt idx="592">
                  <c:v>258.73753111098029</c:v>
                </c:pt>
                <c:pt idx="593">
                  <c:v>264.02982734630672</c:v>
                </c:pt>
                <c:pt idx="594">
                  <c:v>269.99431673427779</c:v>
                </c:pt>
                <c:pt idx="595">
                  <c:v>270.01783369588634</c:v>
                </c:pt>
                <c:pt idx="596">
                  <c:v>271.92074783937903</c:v>
                </c:pt>
                <c:pt idx="597">
                  <c:v>273.99415995453376</c:v>
                </c:pt>
                <c:pt idx="598">
                  <c:v>275.23076018578394</c:v>
                </c:pt>
                <c:pt idx="599">
                  <c:v>276.09892801849992</c:v>
                </c:pt>
                <c:pt idx="600">
                  <c:v>278.57702784800199</c:v>
                </c:pt>
                <c:pt idx="601">
                  <c:v>279.9968644051188</c:v>
                </c:pt>
                <c:pt idx="602">
                  <c:v>281.50292982146698</c:v>
                </c:pt>
                <c:pt idx="603">
                  <c:v>283.36664902894535</c:v>
                </c:pt>
                <c:pt idx="604">
                  <c:v>279.99294491151733</c:v>
                </c:pt>
                <c:pt idx="605">
                  <c:v>276.92300154819986</c:v>
                </c:pt>
                <c:pt idx="606">
                  <c:v>283.10796245125118</c:v>
                </c:pt>
                <c:pt idx="607">
                  <c:v>287.10192643110497</c:v>
                </c:pt>
                <c:pt idx="608">
                  <c:v>283.49011307739033</c:v>
                </c:pt>
                <c:pt idx="609">
                  <c:v>289.16945930585763</c:v>
                </c:pt>
                <c:pt idx="610">
                  <c:v>279.79207086444421</c:v>
                </c:pt>
                <c:pt idx="611">
                  <c:v>272.68112959805586</c:v>
                </c:pt>
                <c:pt idx="612">
                  <c:v>268.40888157250072</c:v>
                </c:pt>
                <c:pt idx="613">
                  <c:v>262.26801497246549</c:v>
                </c:pt>
                <c:pt idx="614">
                  <c:v>263.14892115938608</c:v>
                </c:pt>
                <c:pt idx="615">
                  <c:v>263.55752836733484</c:v>
                </c:pt>
                <c:pt idx="616">
                  <c:v>270.38038685401835</c:v>
                </c:pt>
                <c:pt idx="617">
                  <c:v>273.34058439649584</c:v>
                </c:pt>
                <c:pt idx="618">
                  <c:v>272.88200364512886</c:v>
                </c:pt>
                <c:pt idx="619">
                  <c:v>276.02543751347304</c:v>
                </c:pt>
                <c:pt idx="620">
                  <c:v>272.7879357986946</c:v>
                </c:pt>
                <c:pt idx="621">
                  <c:v>272.85750681011996</c:v>
                </c:pt>
                <c:pt idx="622">
                  <c:v>273.13089148881949</c:v>
                </c:pt>
                <c:pt idx="623">
                  <c:v>269.60726674113687</c:v>
                </c:pt>
                <c:pt idx="624">
                  <c:v>267.73864816665673</c:v>
                </c:pt>
                <c:pt idx="625">
                  <c:v>268.59309777176776</c:v>
                </c:pt>
                <c:pt idx="626">
                  <c:v>269.04677915613291</c:v>
                </c:pt>
                <c:pt idx="627">
                  <c:v>273.56203578497644</c:v>
                </c:pt>
                <c:pt idx="628">
                  <c:v>275.89315460442498</c:v>
                </c:pt>
                <c:pt idx="629">
                  <c:v>278.9660375879435</c:v>
                </c:pt>
                <c:pt idx="630">
                  <c:v>277.28947419993318</c:v>
                </c:pt>
                <c:pt idx="631">
                  <c:v>277.10525800066608</c:v>
                </c:pt>
                <c:pt idx="632">
                  <c:v>278.32128089050877</c:v>
                </c:pt>
                <c:pt idx="633">
                  <c:v>278.9199835381267</c:v>
                </c:pt>
                <c:pt idx="634">
                  <c:v>280.07819389734829</c:v>
                </c:pt>
                <c:pt idx="635">
                  <c:v>283.00115625061227</c:v>
                </c:pt>
                <c:pt idx="636">
                  <c:v>276.92300154819986</c:v>
                </c:pt>
                <c:pt idx="637">
                  <c:v>286.09265682873763</c:v>
                </c:pt>
                <c:pt idx="638">
                  <c:v>289.08714994022762</c:v>
                </c:pt>
                <c:pt idx="639">
                  <c:v>293.17420189311531</c:v>
                </c:pt>
                <c:pt idx="640">
                  <c:v>306.05659748760451</c:v>
                </c:pt>
                <c:pt idx="641">
                  <c:v>306.00074470378422</c:v>
                </c:pt>
                <c:pt idx="642">
                  <c:v>312.77069002684846</c:v>
                </c:pt>
                <c:pt idx="643">
                  <c:v>305.5078683834048</c:v>
                </c:pt>
                <c:pt idx="644">
                  <c:v>300.52619201599146</c:v>
                </c:pt>
                <c:pt idx="645">
                  <c:v>306.49068140396253</c:v>
                </c:pt>
                <c:pt idx="646">
                  <c:v>304.04197777647119</c:v>
                </c:pt>
                <c:pt idx="647">
                  <c:v>302.81125678562324</c:v>
                </c:pt>
                <c:pt idx="648">
                  <c:v>294.44117819977652</c:v>
                </c:pt>
                <c:pt idx="649">
                  <c:v>293.38487467419208</c:v>
                </c:pt>
                <c:pt idx="650">
                  <c:v>291.47412154349655</c:v>
                </c:pt>
                <c:pt idx="651">
                  <c:v>285.69972759519464</c:v>
                </c:pt>
                <c:pt idx="652">
                  <c:v>283.40682383836008</c:v>
                </c:pt>
                <c:pt idx="653">
                  <c:v>273.20732161404743</c:v>
                </c:pt>
                <c:pt idx="654">
                  <c:v>281.07080565190972</c:v>
                </c:pt>
                <c:pt idx="655">
                  <c:v>278.2321124110764</c:v>
                </c:pt>
                <c:pt idx="656">
                  <c:v>280.74744742979198</c:v>
                </c:pt>
                <c:pt idx="657">
                  <c:v>281.16781311854498</c:v>
                </c:pt>
                <c:pt idx="658">
                  <c:v>275.88825523742327</c:v>
                </c:pt>
                <c:pt idx="659">
                  <c:v>263.71920747839374</c:v>
                </c:pt>
                <c:pt idx="660">
                  <c:v>260.5836125972524</c:v>
                </c:pt>
                <c:pt idx="661">
                  <c:v>250.16951809826165</c:v>
                </c:pt>
                <c:pt idx="662">
                  <c:v>255.56568091402588</c:v>
                </c:pt>
                <c:pt idx="663">
                  <c:v>260.49150449761885</c:v>
                </c:pt>
                <c:pt idx="664">
                  <c:v>254.34475865718144</c:v>
                </c:pt>
                <c:pt idx="665">
                  <c:v>253.67550512473784</c:v>
                </c:pt>
                <c:pt idx="666">
                  <c:v>267.28202716209057</c:v>
                </c:pt>
                <c:pt idx="667">
                  <c:v>274.55954690653959</c:v>
                </c:pt>
                <c:pt idx="668">
                  <c:v>280.02724048052988</c:v>
                </c:pt>
                <c:pt idx="669">
                  <c:v>275.39243929684278</c:v>
                </c:pt>
                <c:pt idx="670">
                  <c:v>271.4788249358183</c:v>
                </c:pt>
                <c:pt idx="671">
                  <c:v>267.08703235541969</c:v>
                </c:pt>
                <c:pt idx="672">
                  <c:v>275.54431967389814</c:v>
                </c:pt>
                <c:pt idx="673">
                  <c:v>270.25006369177106</c:v>
                </c:pt>
                <c:pt idx="674">
                  <c:v>267.5887275364023</c:v>
                </c:pt>
                <c:pt idx="675">
                  <c:v>261.37828992494167</c:v>
                </c:pt>
                <c:pt idx="676">
                  <c:v>259.58218198208789</c:v>
                </c:pt>
                <c:pt idx="677">
                  <c:v>264.7186783467576</c:v>
                </c:pt>
                <c:pt idx="678">
                  <c:v>268.24034334763951</c:v>
                </c:pt>
                <c:pt idx="679">
                  <c:v>250.05389303701963</c:v>
                </c:pt>
                <c:pt idx="680">
                  <c:v>243.40055264859782</c:v>
                </c:pt>
                <c:pt idx="681">
                  <c:v>242.16101279714661</c:v>
                </c:pt>
                <c:pt idx="682">
                  <c:v>246.23728614263035</c:v>
                </c:pt>
                <c:pt idx="683">
                  <c:v>247.12407156995317</c:v>
                </c:pt>
                <c:pt idx="684">
                  <c:v>240.49816763674136</c:v>
                </c:pt>
                <c:pt idx="685">
                  <c:v>252.51925451231702</c:v>
                </c:pt>
                <c:pt idx="686">
                  <c:v>254.32614106257472</c:v>
                </c:pt>
                <c:pt idx="687">
                  <c:v>264.3345679738178</c:v>
                </c:pt>
                <c:pt idx="688">
                  <c:v>264.12389519274109</c:v>
                </c:pt>
                <c:pt idx="689">
                  <c:v>265.62996060908938</c:v>
                </c:pt>
                <c:pt idx="690">
                  <c:v>265.78282085954504</c:v>
                </c:pt>
                <c:pt idx="691">
                  <c:v>266.98512552178272</c:v>
                </c:pt>
                <c:pt idx="692">
                  <c:v>268.19722891802388</c:v>
                </c:pt>
                <c:pt idx="693">
                  <c:v>278.43102671134903</c:v>
                </c:pt>
                <c:pt idx="694">
                  <c:v>273.32882591569182</c:v>
                </c:pt>
                <c:pt idx="695">
                  <c:v>270.22556685676227</c:v>
                </c:pt>
                <c:pt idx="696">
                  <c:v>267.50935779097352</c:v>
                </c:pt>
                <c:pt idx="697">
                  <c:v>263.34881533305906</c:v>
                </c:pt>
                <c:pt idx="698">
                  <c:v>261.07550904423158</c:v>
                </c:pt>
                <c:pt idx="699">
                  <c:v>263.70450937738855</c:v>
                </c:pt>
                <c:pt idx="700">
                  <c:v>266.10911870186385</c:v>
                </c:pt>
                <c:pt idx="701">
                  <c:v>270.86248456699411</c:v>
                </c:pt>
                <c:pt idx="702">
                  <c:v>265.98467478001857</c:v>
                </c:pt>
                <c:pt idx="703">
                  <c:v>264.55209986869716</c:v>
                </c:pt>
                <c:pt idx="704">
                  <c:v>275.96762498285244</c:v>
                </c:pt>
                <c:pt idx="705">
                  <c:v>277.4452740705903</c:v>
                </c:pt>
                <c:pt idx="706">
                  <c:v>280.22517490740216</c:v>
                </c:pt>
                <c:pt idx="707">
                  <c:v>287.25968604856274</c:v>
                </c:pt>
                <c:pt idx="708">
                  <c:v>293.35351872538087</c:v>
                </c:pt>
                <c:pt idx="709">
                  <c:v>287.67809199051499</c:v>
                </c:pt>
                <c:pt idx="710">
                  <c:v>292.53924392968446</c:v>
                </c:pt>
                <c:pt idx="711">
                  <c:v>290.02292903756853</c:v>
                </c:pt>
                <c:pt idx="712">
                  <c:v>292.54316342328588</c:v>
                </c:pt>
                <c:pt idx="713">
                  <c:v>284.0339428145885</c:v>
                </c:pt>
                <c:pt idx="714">
                  <c:v>285.26270405863579</c:v>
                </c:pt>
                <c:pt idx="715">
                  <c:v>277.11015736766831</c:v>
                </c:pt>
                <c:pt idx="716">
                  <c:v>287.02941579947895</c:v>
                </c:pt>
                <c:pt idx="717">
                  <c:v>283.54204636760954</c:v>
                </c:pt>
                <c:pt idx="718">
                  <c:v>276.28902345816942</c:v>
                </c:pt>
                <c:pt idx="719">
                  <c:v>274.83587120544047</c:v>
                </c:pt>
                <c:pt idx="720">
                  <c:v>278.60544417661259</c:v>
                </c:pt>
                <c:pt idx="721">
                  <c:v>271.48176455601953</c:v>
                </c:pt>
                <c:pt idx="722">
                  <c:v>271.32792443216357</c:v>
                </c:pt>
                <c:pt idx="723">
                  <c:v>257.16973367040993</c:v>
                </c:pt>
                <c:pt idx="724">
                  <c:v>255.35108863934795</c:v>
                </c:pt>
                <c:pt idx="725">
                  <c:v>260.42095361279337</c:v>
                </c:pt>
                <c:pt idx="726">
                  <c:v>258.17214415897479</c:v>
                </c:pt>
                <c:pt idx="727">
                  <c:v>261.29892017951295</c:v>
                </c:pt>
                <c:pt idx="728">
                  <c:v>258.74830971838458</c:v>
                </c:pt>
                <c:pt idx="729">
                  <c:v>258.44160934407296</c:v>
                </c:pt>
                <c:pt idx="730">
                  <c:v>258.93742528465344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10-46F2-9E21-B6078C7D4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86646504"/>
        <c:axId val="-2086643464"/>
      </c:lineChart>
      <c:dateAx>
        <c:axId val="-2086646504"/>
        <c:scaling>
          <c:orientation val="minMax"/>
        </c:scaling>
        <c:delete val="0"/>
        <c:axPos val="b"/>
        <c:numFmt formatCode="dd\.mm\.yyyy" sourceLinked="1"/>
        <c:majorTickMark val="out"/>
        <c:minorTickMark val="none"/>
        <c:tickLblPos val="nextTo"/>
        <c:crossAx val="-2086643464"/>
        <c:crosses val="autoZero"/>
        <c:auto val="1"/>
        <c:lblOffset val="100"/>
        <c:baseTimeUnit val="days"/>
      </c:dateAx>
      <c:valAx>
        <c:axId val="-20866434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86646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8740157499999996" r="0.78740157499999996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nb-NO"/>
              <a:t>Infrastructure sector ex.</a:t>
            </a:r>
            <a:r>
              <a:rPr lang="nb-NO" baseline="0"/>
              <a:t> communication</a:t>
            </a:r>
            <a:endParaRPr lang="nb-NO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6"/>
          <c:order val="0"/>
          <c:tx>
            <c:strRef>
              <c:f>Index!$V$1</c:f>
              <c:strCache>
                <c:ptCount val="1"/>
                <c:pt idx="0">
                  <c:v>Electricity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Index!$V$2:$V$732</c:f>
              <c:numCache>
                <c:formatCode>General</c:formatCode>
                <c:ptCount val="731"/>
                <c:pt idx="0">
                  <c:v>100</c:v>
                </c:pt>
                <c:pt idx="1">
                  <c:v>99.167023703954655</c:v>
                </c:pt>
                <c:pt idx="2">
                  <c:v>96.663112900172379</c:v>
                </c:pt>
                <c:pt idx="3">
                  <c:v>93.733746500204276</c:v>
                </c:pt>
                <c:pt idx="4">
                  <c:v>91.765889819953586</c:v>
                </c:pt>
                <c:pt idx="5">
                  <c:v>89.239062204198774</c:v>
                </c:pt>
                <c:pt idx="6">
                  <c:v>88.647210625429707</c:v>
                </c:pt>
                <c:pt idx="7">
                  <c:v>89.515060330998494</c:v>
                </c:pt>
                <c:pt idx="8">
                  <c:v>88.293494614549203</c:v>
                </c:pt>
                <c:pt idx="9">
                  <c:v>88.944132797943467</c:v>
                </c:pt>
                <c:pt idx="10">
                  <c:v>87.360880005579745</c:v>
                </c:pt>
                <c:pt idx="11">
                  <c:v>91.035540986220028</c:v>
                </c:pt>
                <c:pt idx="12">
                  <c:v>88.625290196586406</c:v>
                </c:pt>
                <c:pt idx="13">
                  <c:v>91.301575281727352</c:v>
                </c:pt>
                <c:pt idx="14">
                  <c:v>91.64632384444468</c:v>
                </c:pt>
                <c:pt idx="15">
                  <c:v>91.907376224305779</c:v>
                </c:pt>
                <c:pt idx="16">
                  <c:v>92.393611191375314</c:v>
                </c:pt>
                <c:pt idx="17">
                  <c:v>93.048234907286556</c:v>
                </c:pt>
                <c:pt idx="18">
                  <c:v>93.649053934218799</c:v>
                </c:pt>
                <c:pt idx="19">
                  <c:v>97.23105128383969</c:v>
                </c:pt>
                <c:pt idx="20">
                  <c:v>100.41250261550573</c:v>
                </c:pt>
                <c:pt idx="21">
                  <c:v>98.880065362733291</c:v>
                </c:pt>
                <c:pt idx="22">
                  <c:v>99.712045275649402</c:v>
                </c:pt>
                <c:pt idx="23">
                  <c:v>98.781423432938439</c:v>
                </c:pt>
                <c:pt idx="24">
                  <c:v>100.42944112870282</c:v>
                </c:pt>
                <c:pt idx="25">
                  <c:v>99.395195440550808</c:v>
                </c:pt>
                <c:pt idx="26">
                  <c:v>99.507786734155033</c:v>
                </c:pt>
                <c:pt idx="27">
                  <c:v>96.219722407660214</c:v>
                </c:pt>
                <c:pt idx="28">
                  <c:v>93.127945557625821</c:v>
                </c:pt>
                <c:pt idx="29">
                  <c:v>95.211382680868468</c:v>
                </c:pt>
                <c:pt idx="30">
                  <c:v>92.63872144116857</c:v>
                </c:pt>
                <c:pt idx="31">
                  <c:v>94.579675776929747</c:v>
                </c:pt>
                <c:pt idx="32">
                  <c:v>93.862279923876329</c:v>
                </c:pt>
                <c:pt idx="33">
                  <c:v>94.166176778294812</c:v>
                </c:pt>
                <c:pt idx="34">
                  <c:v>93.568346900750299</c:v>
                </c:pt>
                <c:pt idx="35">
                  <c:v>93.971882068092839</c:v>
                </c:pt>
                <c:pt idx="36">
                  <c:v>95.57008060739517</c:v>
                </c:pt>
                <c:pt idx="37">
                  <c:v>98.145730996482797</c:v>
                </c:pt>
                <c:pt idx="38">
                  <c:v>98.654882775524882</c:v>
                </c:pt>
                <c:pt idx="39">
                  <c:v>99.209868178512053</c:v>
                </c:pt>
                <c:pt idx="40">
                  <c:v>98.621005749130703</c:v>
                </c:pt>
                <c:pt idx="41">
                  <c:v>98.054063748592654</c:v>
                </c:pt>
                <c:pt idx="42">
                  <c:v>99.330430537150178</c:v>
                </c:pt>
                <c:pt idx="43">
                  <c:v>98.42970018831646</c:v>
                </c:pt>
                <c:pt idx="44">
                  <c:v>99.374271394836796</c:v>
                </c:pt>
                <c:pt idx="45">
                  <c:v>98.681785120014396</c:v>
                </c:pt>
                <c:pt idx="46">
                  <c:v>100.12952980680136</c:v>
                </c:pt>
                <c:pt idx="47">
                  <c:v>101.50154937576603</c:v>
                </c:pt>
                <c:pt idx="48">
                  <c:v>101.33913892569977</c:v>
                </c:pt>
                <c:pt idx="49">
                  <c:v>101.92700497195187</c:v>
                </c:pt>
                <c:pt idx="50">
                  <c:v>104.32231001464689</c:v>
                </c:pt>
                <c:pt idx="51">
                  <c:v>105.69831511612851</c:v>
                </c:pt>
                <c:pt idx="52">
                  <c:v>107.39615196835493</c:v>
                </c:pt>
                <c:pt idx="53">
                  <c:v>107.74090053107227</c:v>
                </c:pt>
                <c:pt idx="54">
                  <c:v>107.04841425624987</c:v>
                </c:pt>
                <c:pt idx="55">
                  <c:v>107.66417903012072</c:v>
                </c:pt>
                <c:pt idx="56">
                  <c:v>107.68510307583479</c:v>
                </c:pt>
                <c:pt idx="57">
                  <c:v>108.86183155146823</c:v>
                </c:pt>
                <c:pt idx="58">
                  <c:v>110.85957972559615</c:v>
                </c:pt>
                <c:pt idx="59">
                  <c:v>111.89581818000664</c:v>
                </c:pt>
                <c:pt idx="60">
                  <c:v>113.35651584747374</c:v>
                </c:pt>
                <c:pt idx="61">
                  <c:v>114.66078136365003</c:v>
                </c:pt>
                <c:pt idx="62">
                  <c:v>110.23285473730365</c:v>
                </c:pt>
                <c:pt idx="63">
                  <c:v>113.1482717734624</c:v>
                </c:pt>
                <c:pt idx="64">
                  <c:v>111.07878401402914</c:v>
                </c:pt>
                <c:pt idx="65">
                  <c:v>113.57173460338976</c:v>
                </c:pt>
                <c:pt idx="66">
                  <c:v>112.33621952313111</c:v>
                </c:pt>
                <c:pt idx="67">
                  <c:v>110.60649841076896</c:v>
                </c:pt>
                <c:pt idx="68">
                  <c:v>109.26337395255229</c:v>
                </c:pt>
                <c:pt idx="69">
                  <c:v>108.02586610603517</c:v>
                </c:pt>
                <c:pt idx="70">
                  <c:v>106.40375437163105</c:v>
                </c:pt>
                <c:pt idx="71">
                  <c:v>104.04830465410565</c:v>
                </c:pt>
                <c:pt idx="72">
                  <c:v>104.48073493219617</c:v>
                </c:pt>
                <c:pt idx="73">
                  <c:v>108.59679363909017</c:v>
                </c:pt>
                <c:pt idx="74">
                  <c:v>107.93718800753271</c:v>
                </c:pt>
                <c:pt idx="75">
                  <c:v>107.46589878740178</c:v>
                </c:pt>
                <c:pt idx="76">
                  <c:v>109.54036846248127</c:v>
                </c:pt>
                <c:pt idx="77">
                  <c:v>109.92098681785126</c:v>
                </c:pt>
                <c:pt idx="78">
                  <c:v>108.88474836344076</c:v>
                </c:pt>
                <c:pt idx="79">
                  <c:v>109.90803383717112</c:v>
                </c:pt>
                <c:pt idx="80">
                  <c:v>111.34083277701947</c:v>
                </c:pt>
                <c:pt idx="81">
                  <c:v>109.44471568207413</c:v>
                </c:pt>
                <c:pt idx="82">
                  <c:v>110.32252921893532</c:v>
                </c:pt>
                <c:pt idx="83">
                  <c:v>112.76366788557542</c:v>
                </c:pt>
                <c:pt idx="84">
                  <c:v>111.65070793021337</c:v>
                </c:pt>
                <c:pt idx="85">
                  <c:v>111.7822305032732</c:v>
                </c:pt>
                <c:pt idx="86">
                  <c:v>112.35714356884516</c:v>
                </c:pt>
                <c:pt idx="87">
                  <c:v>113.88360252284215</c:v>
                </c:pt>
                <c:pt idx="88">
                  <c:v>113.58169843468218</c:v>
                </c:pt>
                <c:pt idx="89">
                  <c:v>114.30905811902799</c:v>
                </c:pt>
                <c:pt idx="90">
                  <c:v>112.94999153074346</c:v>
                </c:pt>
                <c:pt idx="91">
                  <c:v>115.56649362812995</c:v>
                </c:pt>
                <c:pt idx="92">
                  <c:v>115.91921325588123</c:v>
                </c:pt>
                <c:pt idx="93">
                  <c:v>116.42936141805255</c:v>
                </c:pt>
                <c:pt idx="94">
                  <c:v>116.26097266921084</c:v>
                </c:pt>
                <c:pt idx="95">
                  <c:v>117.63996692008021</c:v>
                </c:pt>
                <c:pt idx="96">
                  <c:v>121.10339467732142</c:v>
                </c:pt>
                <c:pt idx="97">
                  <c:v>120.08210196984953</c:v>
                </c:pt>
                <c:pt idx="98">
                  <c:v>120.03527196277521</c:v>
                </c:pt>
                <c:pt idx="99">
                  <c:v>123.39906140709233</c:v>
                </c:pt>
                <c:pt idx="100">
                  <c:v>122.32894592628764</c:v>
                </c:pt>
                <c:pt idx="101">
                  <c:v>120.51453224794004</c:v>
                </c:pt>
                <c:pt idx="102">
                  <c:v>124.03973575919419</c:v>
                </c:pt>
                <c:pt idx="103">
                  <c:v>126.39518547671956</c:v>
                </c:pt>
                <c:pt idx="104">
                  <c:v>126.31946035889726</c:v>
                </c:pt>
                <c:pt idx="105">
                  <c:v>123.01844305172231</c:v>
                </c:pt>
                <c:pt idx="106">
                  <c:v>123.94109382939935</c:v>
                </c:pt>
                <c:pt idx="107">
                  <c:v>124.71329075456102</c:v>
                </c:pt>
                <c:pt idx="108">
                  <c:v>126.47190697767111</c:v>
                </c:pt>
                <c:pt idx="109">
                  <c:v>131.11106682741655</c:v>
                </c:pt>
                <c:pt idx="110">
                  <c:v>131.34222771340043</c:v>
                </c:pt>
                <c:pt idx="111">
                  <c:v>132.31170849815177</c:v>
                </c:pt>
                <c:pt idx="112">
                  <c:v>128.34510726064391</c:v>
                </c:pt>
                <c:pt idx="113">
                  <c:v>128.48858643125462</c:v>
                </c:pt>
                <c:pt idx="114">
                  <c:v>125.98567201060159</c:v>
                </c:pt>
                <c:pt idx="115">
                  <c:v>125.58114046012979</c:v>
                </c:pt>
                <c:pt idx="116">
                  <c:v>123.71491485906168</c:v>
                </c:pt>
                <c:pt idx="117">
                  <c:v>124.42732879646888</c:v>
                </c:pt>
                <c:pt idx="118">
                  <c:v>125.41574086067583</c:v>
                </c:pt>
                <c:pt idx="119">
                  <c:v>125.57316939509587</c:v>
                </c:pt>
                <c:pt idx="120">
                  <c:v>126.59246933630928</c:v>
                </c:pt>
                <c:pt idx="121">
                  <c:v>128.05715253629336</c:v>
                </c:pt>
                <c:pt idx="122">
                  <c:v>128.06412721819805</c:v>
                </c:pt>
                <c:pt idx="123">
                  <c:v>128.57128623098166</c:v>
                </c:pt>
                <c:pt idx="124">
                  <c:v>128.7685700905713</c:v>
                </c:pt>
                <c:pt idx="125">
                  <c:v>130.96260574115968</c:v>
                </c:pt>
                <c:pt idx="126">
                  <c:v>132.40536851230041</c:v>
                </c:pt>
                <c:pt idx="127">
                  <c:v>131.16287875013708</c:v>
                </c:pt>
                <c:pt idx="128">
                  <c:v>131.26849536183659</c:v>
                </c:pt>
                <c:pt idx="129">
                  <c:v>131.78163267339562</c:v>
                </c:pt>
                <c:pt idx="130">
                  <c:v>133.27919651664465</c:v>
                </c:pt>
                <c:pt idx="131">
                  <c:v>130.6347956916394</c:v>
                </c:pt>
                <c:pt idx="132">
                  <c:v>130.87592040891568</c:v>
                </c:pt>
                <c:pt idx="133">
                  <c:v>131.02836702768954</c:v>
                </c:pt>
                <c:pt idx="134">
                  <c:v>132.12339208672523</c:v>
                </c:pt>
                <c:pt idx="135">
                  <c:v>132.41832149298051</c:v>
                </c:pt>
                <c:pt idx="136">
                  <c:v>131.26351344619036</c:v>
                </c:pt>
                <c:pt idx="137">
                  <c:v>129.67428235505119</c:v>
                </c:pt>
                <c:pt idx="138">
                  <c:v>131.81351693353133</c:v>
                </c:pt>
                <c:pt idx="139">
                  <c:v>136.37695166545444</c:v>
                </c:pt>
                <c:pt idx="140">
                  <c:v>137.96120084094741</c:v>
                </c:pt>
                <c:pt idx="141">
                  <c:v>138.11564022597977</c:v>
                </c:pt>
                <c:pt idx="142">
                  <c:v>135.84488307443985</c:v>
                </c:pt>
                <c:pt idx="143">
                  <c:v>134.68210396261577</c:v>
                </c:pt>
                <c:pt idx="144">
                  <c:v>131.43190219503208</c:v>
                </c:pt>
                <c:pt idx="145">
                  <c:v>127.08667536841271</c:v>
                </c:pt>
                <c:pt idx="146">
                  <c:v>125.39581319809098</c:v>
                </c:pt>
                <c:pt idx="147">
                  <c:v>127.04383089385536</c:v>
                </c:pt>
                <c:pt idx="148">
                  <c:v>127.01892131562433</c:v>
                </c:pt>
                <c:pt idx="149">
                  <c:v>127.79211462391523</c:v>
                </c:pt>
                <c:pt idx="150">
                  <c:v>129.51685382063113</c:v>
                </c:pt>
                <c:pt idx="151">
                  <c:v>131.76070862768157</c:v>
                </c:pt>
                <c:pt idx="152">
                  <c:v>130.81613742116124</c:v>
                </c:pt>
                <c:pt idx="153">
                  <c:v>132.02076462441343</c:v>
                </c:pt>
                <c:pt idx="154">
                  <c:v>135.27096639199709</c:v>
                </c:pt>
                <c:pt idx="155">
                  <c:v>134.61733905921511</c:v>
                </c:pt>
                <c:pt idx="156">
                  <c:v>133.93182746629742</c:v>
                </c:pt>
                <c:pt idx="157">
                  <c:v>136.19062802028643</c:v>
                </c:pt>
                <c:pt idx="158">
                  <c:v>134.06135727309874</c:v>
                </c:pt>
                <c:pt idx="159">
                  <c:v>136.43673465320893</c:v>
                </c:pt>
                <c:pt idx="160">
                  <c:v>136.74860257266133</c:v>
                </c:pt>
                <c:pt idx="161">
                  <c:v>137.33547223578415</c:v>
                </c:pt>
                <c:pt idx="162">
                  <c:v>136.47758636150778</c:v>
                </c:pt>
                <c:pt idx="163">
                  <c:v>136.1886352540279</c:v>
                </c:pt>
                <c:pt idx="164">
                  <c:v>140.66837380309479</c:v>
                </c:pt>
                <c:pt idx="165">
                  <c:v>137.66427866843361</c:v>
                </c:pt>
                <c:pt idx="166">
                  <c:v>136.29923378137363</c:v>
                </c:pt>
                <c:pt idx="167">
                  <c:v>138.16545938244178</c:v>
                </c:pt>
                <c:pt idx="168">
                  <c:v>135.46725386845753</c:v>
                </c:pt>
                <c:pt idx="169">
                  <c:v>132.92448412263488</c:v>
                </c:pt>
                <c:pt idx="170">
                  <c:v>131.75373394577687</c:v>
                </c:pt>
                <c:pt idx="171">
                  <c:v>129.91441068919826</c:v>
                </c:pt>
                <c:pt idx="172">
                  <c:v>135.02784890846235</c:v>
                </c:pt>
                <c:pt idx="173">
                  <c:v>137.06545240775992</c:v>
                </c:pt>
                <c:pt idx="174">
                  <c:v>138.45042495740469</c:v>
                </c:pt>
                <c:pt idx="175">
                  <c:v>136.38890826300536</c:v>
                </c:pt>
                <c:pt idx="176">
                  <c:v>137.18103285075188</c:v>
                </c:pt>
                <c:pt idx="177">
                  <c:v>141.95171527355711</c:v>
                </c:pt>
                <c:pt idx="178">
                  <c:v>145.13217022209392</c:v>
                </c:pt>
                <c:pt idx="179">
                  <c:v>141.61892330839066</c:v>
                </c:pt>
                <c:pt idx="180">
                  <c:v>141.81122525233417</c:v>
                </c:pt>
                <c:pt idx="181">
                  <c:v>139.20468698624009</c:v>
                </c:pt>
                <c:pt idx="182">
                  <c:v>140.73513147275406</c:v>
                </c:pt>
                <c:pt idx="183">
                  <c:v>143.34964080388207</c:v>
                </c:pt>
                <c:pt idx="184">
                  <c:v>141.30805177206756</c:v>
                </c:pt>
                <c:pt idx="185">
                  <c:v>145.03253190916988</c:v>
                </c:pt>
                <c:pt idx="186">
                  <c:v>149.38373703456472</c:v>
                </c:pt>
                <c:pt idx="187">
                  <c:v>150.8563912995827</c:v>
                </c:pt>
                <c:pt idx="188">
                  <c:v>151.89462252025166</c:v>
                </c:pt>
                <c:pt idx="189">
                  <c:v>152.293175771948</c:v>
                </c:pt>
                <c:pt idx="190">
                  <c:v>153.37225870091584</c:v>
                </c:pt>
                <c:pt idx="191">
                  <c:v>156.02064505843802</c:v>
                </c:pt>
                <c:pt idx="192">
                  <c:v>152.58113049629858</c:v>
                </c:pt>
                <c:pt idx="193">
                  <c:v>154.90270318742978</c:v>
                </c:pt>
                <c:pt idx="194">
                  <c:v>155.96185845381279</c:v>
                </c:pt>
                <c:pt idx="195">
                  <c:v>157.39764654304889</c:v>
                </c:pt>
                <c:pt idx="196">
                  <c:v>159.47709813377455</c:v>
                </c:pt>
                <c:pt idx="197">
                  <c:v>159.74512519554034</c:v>
                </c:pt>
                <c:pt idx="198">
                  <c:v>161.69504697946471</c:v>
                </c:pt>
                <c:pt idx="199">
                  <c:v>162.89568865019996</c:v>
                </c:pt>
                <c:pt idx="200">
                  <c:v>162.59378456203999</c:v>
                </c:pt>
                <c:pt idx="201">
                  <c:v>167.90351025776454</c:v>
                </c:pt>
                <c:pt idx="202">
                  <c:v>171.84221276765362</c:v>
                </c:pt>
                <c:pt idx="203">
                  <c:v>173.98642926177996</c:v>
                </c:pt>
                <c:pt idx="204">
                  <c:v>174.73471299183984</c:v>
                </c:pt>
                <c:pt idx="205">
                  <c:v>176.22928768570114</c:v>
                </c:pt>
                <c:pt idx="206">
                  <c:v>179.69869374171782</c:v>
                </c:pt>
                <c:pt idx="207">
                  <c:v>177.22965634745898</c:v>
                </c:pt>
                <c:pt idx="208">
                  <c:v>177.39007403126675</c:v>
                </c:pt>
                <c:pt idx="209">
                  <c:v>171.94185108057775</c:v>
                </c:pt>
                <c:pt idx="210">
                  <c:v>174.28534420055223</c:v>
                </c:pt>
                <c:pt idx="211">
                  <c:v>175.03562069687061</c:v>
                </c:pt>
                <c:pt idx="212">
                  <c:v>177.11806143698399</c:v>
                </c:pt>
                <c:pt idx="213">
                  <c:v>182.10894453135145</c:v>
                </c:pt>
                <c:pt idx="214">
                  <c:v>185.3780775783907</c:v>
                </c:pt>
                <c:pt idx="215">
                  <c:v>185.50760738519199</c:v>
                </c:pt>
                <c:pt idx="216">
                  <c:v>186.12735769157979</c:v>
                </c:pt>
                <c:pt idx="217">
                  <c:v>180.19688530633823</c:v>
                </c:pt>
                <c:pt idx="218">
                  <c:v>182.37796797624648</c:v>
                </c:pt>
                <c:pt idx="219">
                  <c:v>182.41184500264066</c:v>
                </c:pt>
                <c:pt idx="220">
                  <c:v>188.90328108964485</c:v>
                </c:pt>
                <c:pt idx="221">
                  <c:v>190.79840180146093</c:v>
                </c:pt>
                <c:pt idx="222">
                  <c:v>194.71618026563596</c:v>
                </c:pt>
                <c:pt idx="223">
                  <c:v>193.37006665803156</c:v>
                </c:pt>
                <c:pt idx="224">
                  <c:v>193.87921843707363</c:v>
                </c:pt>
                <c:pt idx="225">
                  <c:v>192.47431822484404</c:v>
                </c:pt>
                <c:pt idx="226">
                  <c:v>192.79614997558883</c:v>
                </c:pt>
                <c:pt idx="227">
                  <c:v>190.71769476799238</c:v>
                </c:pt>
                <c:pt idx="228">
                  <c:v>190.32312704881301</c:v>
                </c:pt>
                <c:pt idx="229">
                  <c:v>187.90988710979164</c:v>
                </c:pt>
                <c:pt idx="230">
                  <c:v>190.08698424718293</c:v>
                </c:pt>
                <c:pt idx="231">
                  <c:v>177.25257315943145</c:v>
                </c:pt>
                <c:pt idx="232">
                  <c:v>181.03484351802976</c:v>
                </c:pt>
                <c:pt idx="233">
                  <c:v>175.68825164652333</c:v>
                </c:pt>
                <c:pt idx="234">
                  <c:v>179.25331048294709</c:v>
                </c:pt>
                <c:pt idx="235">
                  <c:v>178.48808823969009</c:v>
                </c:pt>
                <c:pt idx="236">
                  <c:v>179.02314598009244</c:v>
                </c:pt>
                <c:pt idx="237">
                  <c:v>180.18492870878728</c:v>
                </c:pt>
                <c:pt idx="238">
                  <c:v>172.98805336628058</c:v>
                </c:pt>
                <c:pt idx="239">
                  <c:v>174.75563703755387</c:v>
                </c:pt>
                <c:pt idx="240">
                  <c:v>177.24858762691449</c:v>
                </c:pt>
                <c:pt idx="241">
                  <c:v>173.14747466695911</c:v>
                </c:pt>
                <c:pt idx="242">
                  <c:v>178.75611530145588</c:v>
                </c:pt>
                <c:pt idx="243">
                  <c:v>179.26626346362721</c:v>
                </c:pt>
                <c:pt idx="244">
                  <c:v>176.8789294859661</c:v>
                </c:pt>
                <c:pt idx="245">
                  <c:v>181.11355778523975</c:v>
                </c:pt>
                <c:pt idx="246">
                  <c:v>185.3561571495473</c:v>
                </c:pt>
                <c:pt idx="247">
                  <c:v>189.15636240447196</c:v>
                </c:pt>
                <c:pt idx="248">
                  <c:v>190.13082510486953</c:v>
                </c:pt>
                <c:pt idx="249">
                  <c:v>192.08971433695706</c:v>
                </c:pt>
                <c:pt idx="250">
                  <c:v>190.26135129480011</c:v>
                </c:pt>
                <c:pt idx="251">
                  <c:v>195.4166376054923</c:v>
                </c:pt>
                <c:pt idx="252">
                  <c:v>197.61166963920991</c:v>
                </c:pt>
                <c:pt idx="253">
                  <c:v>198.6010780865461</c:v>
                </c:pt>
                <c:pt idx="254">
                  <c:v>197.11746360710646</c:v>
                </c:pt>
                <c:pt idx="255">
                  <c:v>197.25297171268326</c:v>
                </c:pt>
                <c:pt idx="256">
                  <c:v>201.38696531590358</c:v>
                </c:pt>
                <c:pt idx="257">
                  <c:v>204.00446379641932</c:v>
                </c:pt>
                <c:pt idx="258">
                  <c:v>204.07919253111237</c:v>
                </c:pt>
                <c:pt idx="259">
                  <c:v>201.63705748134305</c:v>
                </c:pt>
                <c:pt idx="260">
                  <c:v>203.29802815778754</c:v>
                </c:pt>
                <c:pt idx="261">
                  <c:v>199.62237079401802</c:v>
                </c:pt>
                <c:pt idx="262">
                  <c:v>198.29917399838618</c:v>
                </c:pt>
                <c:pt idx="263">
                  <c:v>193.13790938891856</c:v>
                </c:pt>
                <c:pt idx="264">
                  <c:v>186.17219493239571</c:v>
                </c:pt>
                <c:pt idx="265">
                  <c:v>189.53996990922982</c:v>
                </c:pt>
                <c:pt idx="266">
                  <c:v>185.60624931498691</c:v>
                </c:pt>
                <c:pt idx="267">
                  <c:v>186.68333947769628</c:v>
                </c:pt>
                <c:pt idx="268">
                  <c:v>183.75098392834045</c:v>
                </c:pt>
                <c:pt idx="269">
                  <c:v>181.37162101571326</c:v>
                </c:pt>
                <c:pt idx="270">
                  <c:v>179.05303747396977</c:v>
                </c:pt>
                <c:pt idx="271">
                  <c:v>179.34597411396658</c:v>
                </c:pt>
                <c:pt idx="272">
                  <c:v>175.00373643673493</c:v>
                </c:pt>
                <c:pt idx="273">
                  <c:v>174.42683060490444</c:v>
                </c:pt>
                <c:pt idx="274">
                  <c:v>182.12887219393627</c:v>
                </c:pt>
                <c:pt idx="275">
                  <c:v>180.26065382660965</c:v>
                </c:pt>
                <c:pt idx="276">
                  <c:v>181.97244004264545</c:v>
                </c:pt>
                <c:pt idx="277">
                  <c:v>181.19825035122531</c:v>
                </c:pt>
                <c:pt idx="278">
                  <c:v>182.78050676045979</c:v>
                </c:pt>
                <c:pt idx="279">
                  <c:v>179.69969012484705</c:v>
                </c:pt>
                <c:pt idx="280">
                  <c:v>182.94490997678452</c:v>
                </c:pt>
                <c:pt idx="281">
                  <c:v>185.01539411934701</c:v>
                </c:pt>
                <c:pt idx="282">
                  <c:v>187.51332662435388</c:v>
                </c:pt>
                <c:pt idx="283">
                  <c:v>181.42642208782146</c:v>
                </c:pt>
                <c:pt idx="284">
                  <c:v>179.53429052539309</c:v>
                </c:pt>
                <c:pt idx="285">
                  <c:v>176.65374689875779</c:v>
                </c:pt>
                <c:pt idx="286">
                  <c:v>170.9404860356907</c:v>
                </c:pt>
                <c:pt idx="287">
                  <c:v>170.36059105447251</c:v>
                </c:pt>
                <c:pt idx="288">
                  <c:v>170.25597082590224</c:v>
                </c:pt>
                <c:pt idx="289">
                  <c:v>171.32110439106074</c:v>
                </c:pt>
                <c:pt idx="290">
                  <c:v>171.78043701364078</c:v>
                </c:pt>
                <c:pt idx="291">
                  <c:v>168.59898568197471</c:v>
                </c:pt>
                <c:pt idx="292">
                  <c:v>172.29755985771678</c:v>
                </c:pt>
                <c:pt idx="293">
                  <c:v>171.38586929446137</c:v>
                </c:pt>
                <c:pt idx="294">
                  <c:v>174.33217420762662</c:v>
                </c:pt>
                <c:pt idx="295">
                  <c:v>171.87409702778942</c:v>
                </c:pt>
                <c:pt idx="296">
                  <c:v>162.2410649342888</c:v>
                </c:pt>
                <c:pt idx="297">
                  <c:v>169.0762532008811</c:v>
                </c:pt>
                <c:pt idx="298">
                  <c:v>171.46259079541292</c:v>
                </c:pt>
                <c:pt idx="299">
                  <c:v>169.45687155625109</c:v>
                </c:pt>
                <c:pt idx="300">
                  <c:v>163.84922730488356</c:v>
                </c:pt>
                <c:pt idx="301">
                  <c:v>127.24111475344522</c:v>
                </c:pt>
                <c:pt idx="302">
                  <c:v>143.08858842402105</c:v>
                </c:pt>
                <c:pt idx="303">
                  <c:v>136.26834590436741</c:v>
                </c:pt>
                <c:pt idx="304">
                  <c:v>149.25420722776349</c:v>
                </c:pt>
                <c:pt idx="305">
                  <c:v>148.42920199675206</c:v>
                </c:pt>
                <c:pt idx="306">
                  <c:v>143.79103853013586</c:v>
                </c:pt>
                <c:pt idx="307">
                  <c:v>134.87540228968868</c:v>
                </c:pt>
                <c:pt idx="308">
                  <c:v>143.53795721530869</c:v>
                </c:pt>
                <c:pt idx="309">
                  <c:v>132.77502665324894</c:v>
                </c:pt>
                <c:pt idx="310">
                  <c:v>139.2654663571239</c:v>
                </c:pt>
                <c:pt idx="311">
                  <c:v>141.268196446898</c:v>
                </c:pt>
                <c:pt idx="312">
                  <c:v>140.06556200990428</c:v>
                </c:pt>
                <c:pt idx="313">
                  <c:v>144.01123920169809</c:v>
                </c:pt>
                <c:pt idx="314">
                  <c:v>144.52138736386939</c:v>
                </c:pt>
                <c:pt idx="315">
                  <c:v>138.14852086924486</c:v>
                </c:pt>
                <c:pt idx="316">
                  <c:v>132.89259986249934</c:v>
                </c:pt>
                <c:pt idx="317">
                  <c:v>137.19000029891515</c:v>
                </c:pt>
                <c:pt idx="318">
                  <c:v>142.02046570947479</c:v>
                </c:pt>
                <c:pt idx="319">
                  <c:v>136.49153572531728</c:v>
                </c:pt>
                <c:pt idx="320">
                  <c:v>130.58796568456521</c:v>
                </c:pt>
                <c:pt idx="321">
                  <c:v>127.43042754800094</c:v>
                </c:pt>
                <c:pt idx="322">
                  <c:v>115.94511921724158</c:v>
                </c:pt>
                <c:pt idx="323">
                  <c:v>116.01685880254693</c:v>
                </c:pt>
                <c:pt idx="324">
                  <c:v>123.86138317906017</c:v>
                </c:pt>
                <c:pt idx="325">
                  <c:v>122.12966930043957</c:v>
                </c:pt>
                <c:pt idx="326">
                  <c:v>122.85503621852691</c:v>
                </c:pt>
                <c:pt idx="327">
                  <c:v>122.43655530424574</c:v>
                </c:pt>
                <c:pt idx="328">
                  <c:v>124.50703944680824</c:v>
                </c:pt>
                <c:pt idx="329">
                  <c:v>122.71454619730393</c:v>
                </c:pt>
                <c:pt idx="330">
                  <c:v>127.64464992078769</c:v>
                </c:pt>
                <c:pt idx="331">
                  <c:v>129.23388101192688</c:v>
                </c:pt>
                <c:pt idx="332">
                  <c:v>128.11693552404788</c:v>
                </c:pt>
                <c:pt idx="333">
                  <c:v>131.34720962904674</c:v>
                </c:pt>
                <c:pt idx="334">
                  <c:v>135.27295915825573</c:v>
                </c:pt>
                <c:pt idx="335">
                  <c:v>131.09911022986577</c:v>
                </c:pt>
                <c:pt idx="336">
                  <c:v>132.4332672399193</c:v>
                </c:pt>
                <c:pt idx="337">
                  <c:v>133.85112043282902</c:v>
                </c:pt>
                <c:pt idx="338">
                  <c:v>133.47448760997597</c:v>
                </c:pt>
                <c:pt idx="339">
                  <c:v>132.57176449488375</c:v>
                </c:pt>
                <c:pt idx="340">
                  <c:v>129.88750834470886</c:v>
                </c:pt>
                <c:pt idx="341">
                  <c:v>133.84514213405356</c:v>
                </c:pt>
                <c:pt idx="342">
                  <c:v>137.29362414435616</c:v>
                </c:pt>
                <c:pt idx="343">
                  <c:v>138.57596923168913</c:v>
                </c:pt>
                <c:pt idx="344">
                  <c:v>139.22760379821264</c:v>
                </c:pt>
                <c:pt idx="345">
                  <c:v>140.4113069557508</c:v>
                </c:pt>
                <c:pt idx="346">
                  <c:v>143.86576726482886</c:v>
                </c:pt>
                <c:pt idx="347">
                  <c:v>142.50869344280281</c:v>
                </c:pt>
                <c:pt idx="348">
                  <c:v>141.32698305152317</c:v>
                </c:pt>
                <c:pt idx="349">
                  <c:v>145.87447565337843</c:v>
                </c:pt>
                <c:pt idx="350">
                  <c:v>147.51352590097966</c:v>
                </c:pt>
                <c:pt idx="351">
                  <c:v>144.10689198210517</c:v>
                </c:pt>
                <c:pt idx="352">
                  <c:v>143.69438936659947</c:v>
                </c:pt>
                <c:pt idx="353">
                  <c:v>145.39122983569663</c:v>
                </c:pt>
                <c:pt idx="354">
                  <c:v>145.41115749828148</c:v>
                </c:pt>
                <c:pt idx="355">
                  <c:v>146.59685342207808</c:v>
                </c:pt>
                <c:pt idx="356">
                  <c:v>146.60980640275824</c:v>
                </c:pt>
                <c:pt idx="357">
                  <c:v>149.04496677062286</c:v>
                </c:pt>
                <c:pt idx="358">
                  <c:v>153.06836184649748</c:v>
                </c:pt>
                <c:pt idx="359">
                  <c:v>154.25704691968184</c:v>
                </c:pt>
                <c:pt idx="360">
                  <c:v>155.52444626007622</c:v>
                </c:pt>
                <c:pt idx="361">
                  <c:v>157.1505435269973</c:v>
                </c:pt>
                <c:pt idx="362">
                  <c:v>157.64574594223001</c:v>
                </c:pt>
                <c:pt idx="363">
                  <c:v>157.62183274712822</c:v>
                </c:pt>
                <c:pt idx="364">
                  <c:v>160.69069278519004</c:v>
                </c:pt>
                <c:pt idx="365">
                  <c:v>162.62666520530502</c:v>
                </c:pt>
                <c:pt idx="366">
                  <c:v>159.48307643255009</c:v>
                </c:pt>
                <c:pt idx="367">
                  <c:v>159.4222970616664</c:v>
                </c:pt>
                <c:pt idx="368">
                  <c:v>155.68685671014242</c:v>
                </c:pt>
                <c:pt idx="369">
                  <c:v>153.11120632105479</c:v>
                </c:pt>
                <c:pt idx="370">
                  <c:v>149.14759423293467</c:v>
                </c:pt>
                <c:pt idx="371">
                  <c:v>150.06625947809474</c:v>
                </c:pt>
                <c:pt idx="372">
                  <c:v>153.02651375506932</c:v>
                </c:pt>
                <c:pt idx="373">
                  <c:v>151.95639827426464</c:v>
                </c:pt>
                <c:pt idx="374">
                  <c:v>154.62869782688864</c:v>
                </c:pt>
                <c:pt idx="375">
                  <c:v>155.15877365164476</c:v>
                </c:pt>
                <c:pt idx="376">
                  <c:v>154.21719159451214</c:v>
                </c:pt>
                <c:pt idx="377">
                  <c:v>153.09725695724543</c:v>
                </c:pt>
                <c:pt idx="378">
                  <c:v>157.27808056754009</c:v>
                </c:pt>
                <c:pt idx="379">
                  <c:v>158.18877474766623</c:v>
                </c:pt>
                <c:pt idx="380">
                  <c:v>157.2153084303979</c:v>
                </c:pt>
                <c:pt idx="381">
                  <c:v>157.62083636399896</c:v>
                </c:pt>
                <c:pt idx="382">
                  <c:v>153.53765830036991</c:v>
                </c:pt>
                <c:pt idx="383">
                  <c:v>142.01149826131169</c:v>
                </c:pt>
                <c:pt idx="384">
                  <c:v>145.55961858453841</c:v>
                </c:pt>
                <c:pt idx="385">
                  <c:v>137.21789902653396</c:v>
                </c:pt>
                <c:pt idx="386">
                  <c:v>136.58121020694904</c:v>
                </c:pt>
                <c:pt idx="387">
                  <c:v>133.99559598656901</c:v>
                </c:pt>
                <c:pt idx="388">
                  <c:v>137.67922441537246</c:v>
                </c:pt>
                <c:pt idx="389">
                  <c:v>144.14176539162867</c:v>
                </c:pt>
                <c:pt idx="390">
                  <c:v>138.9535984376715</c:v>
                </c:pt>
                <c:pt idx="391">
                  <c:v>137.35241074898144</c:v>
                </c:pt>
                <c:pt idx="392">
                  <c:v>141.91185994838762</c:v>
                </c:pt>
                <c:pt idx="393">
                  <c:v>142.1968255233505</c:v>
                </c:pt>
                <c:pt idx="394">
                  <c:v>146.85093112003455</c:v>
                </c:pt>
                <c:pt idx="395">
                  <c:v>149.31797574803491</c:v>
                </c:pt>
                <c:pt idx="396">
                  <c:v>154.25007223777715</c:v>
                </c:pt>
                <c:pt idx="397">
                  <c:v>152.55024261929225</c:v>
                </c:pt>
                <c:pt idx="398">
                  <c:v>150.08618714067961</c:v>
                </c:pt>
                <c:pt idx="399">
                  <c:v>153.75088429002747</c:v>
                </c:pt>
                <c:pt idx="400">
                  <c:v>155.08404491695177</c:v>
                </c:pt>
                <c:pt idx="401">
                  <c:v>156.33052021163209</c:v>
                </c:pt>
                <c:pt idx="402">
                  <c:v>156.54673535067735</c:v>
                </c:pt>
                <c:pt idx="403">
                  <c:v>158.50363181650638</c:v>
                </c:pt>
                <c:pt idx="404">
                  <c:v>159.09050147962924</c:v>
                </c:pt>
                <c:pt idx="405">
                  <c:v>163.28826360312095</c:v>
                </c:pt>
                <c:pt idx="406">
                  <c:v>165.21626495820203</c:v>
                </c:pt>
                <c:pt idx="407">
                  <c:v>166.33819236172727</c:v>
                </c:pt>
                <c:pt idx="408">
                  <c:v>169.30741408686501</c:v>
                </c:pt>
                <c:pt idx="409">
                  <c:v>172.15109153771843</c:v>
                </c:pt>
                <c:pt idx="410">
                  <c:v>168.62190249394732</c:v>
                </c:pt>
                <c:pt idx="411">
                  <c:v>166.37804768689691</c:v>
                </c:pt>
                <c:pt idx="412">
                  <c:v>162.59677371142783</c:v>
                </c:pt>
                <c:pt idx="413">
                  <c:v>162.09260384803196</c:v>
                </c:pt>
                <c:pt idx="414">
                  <c:v>161.56053525701734</c:v>
                </c:pt>
                <c:pt idx="415">
                  <c:v>161.58345206898989</c:v>
                </c:pt>
                <c:pt idx="416">
                  <c:v>163.73165409563316</c:v>
                </c:pt>
                <c:pt idx="417">
                  <c:v>163.13482060121788</c:v>
                </c:pt>
                <c:pt idx="418">
                  <c:v>164.3932524934491</c:v>
                </c:pt>
                <c:pt idx="419">
                  <c:v>161.89731275470075</c:v>
                </c:pt>
                <c:pt idx="420">
                  <c:v>165.00602811793223</c:v>
                </c:pt>
                <c:pt idx="421">
                  <c:v>165.31889242051386</c:v>
                </c:pt>
                <c:pt idx="422">
                  <c:v>167.71519384633811</c:v>
                </c:pt>
                <c:pt idx="423">
                  <c:v>170.24202146209294</c:v>
                </c:pt>
                <c:pt idx="424">
                  <c:v>171.1208313820834</c:v>
                </c:pt>
                <c:pt idx="425">
                  <c:v>170.12743740223024</c:v>
                </c:pt>
                <c:pt idx="426">
                  <c:v>172.23877325309161</c:v>
                </c:pt>
                <c:pt idx="427">
                  <c:v>170.64456024630624</c:v>
                </c:pt>
                <c:pt idx="428">
                  <c:v>170.74320217610108</c:v>
                </c:pt>
                <c:pt idx="429">
                  <c:v>174.04123033388831</c:v>
                </c:pt>
                <c:pt idx="430">
                  <c:v>177.09315185875306</c:v>
                </c:pt>
                <c:pt idx="431">
                  <c:v>177.46978468160611</c:v>
                </c:pt>
                <c:pt idx="432">
                  <c:v>177.65610832677413</c:v>
                </c:pt>
                <c:pt idx="433">
                  <c:v>179.88999930253215</c:v>
                </c:pt>
                <c:pt idx="434">
                  <c:v>185.31929097376556</c:v>
                </c:pt>
                <c:pt idx="435">
                  <c:v>184.02399290575244</c:v>
                </c:pt>
                <c:pt idx="436">
                  <c:v>184.5451012823454</c:v>
                </c:pt>
                <c:pt idx="437">
                  <c:v>185.75271763498529</c:v>
                </c:pt>
                <c:pt idx="438">
                  <c:v>184.26412123989942</c:v>
                </c:pt>
                <c:pt idx="439">
                  <c:v>179.74950928130912</c:v>
                </c:pt>
                <c:pt idx="440">
                  <c:v>177.27449358827485</c:v>
                </c:pt>
                <c:pt idx="441">
                  <c:v>177.84841027071758</c:v>
                </c:pt>
                <c:pt idx="442">
                  <c:v>175.06252304136015</c:v>
                </c:pt>
                <c:pt idx="443">
                  <c:v>182.51945438059872</c:v>
                </c:pt>
                <c:pt idx="444">
                  <c:v>181.06274224564859</c:v>
                </c:pt>
                <c:pt idx="445">
                  <c:v>178.21507926227821</c:v>
                </c:pt>
                <c:pt idx="446">
                  <c:v>182.11890836264391</c:v>
                </c:pt>
                <c:pt idx="447">
                  <c:v>178.13935414445592</c:v>
                </c:pt>
                <c:pt idx="448">
                  <c:v>172.83660313063609</c:v>
                </c:pt>
                <c:pt idx="449">
                  <c:v>173.59186154260064</c:v>
                </c:pt>
                <c:pt idx="450">
                  <c:v>172.43207158016429</c:v>
                </c:pt>
                <c:pt idx="451">
                  <c:v>175.60355908053796</c:v>
                </c:pt>
                <c:pt idx="452">
                  <c:v>178.50502675288732</c:v>
                </c:pt>
                <c:pt idx="453">
                  <c:v>174.478642527625</c:v>
                </c:pt>
                <c:pt idx="454">
                  <c:v>178.1831950021425</c:v>
                </c:pt>
                <c:pt idx="455">
                  <c:v>173.67655410858612</c:v>
                </c:pt>
                <c:pt idx="456">
                  <c:v>177.37413190119895</c:v>
                </c:pt>
                <c:pt idx="457">
                  <c:v>176.6318264699145</c:v>
                </c:pt>
                <c:pt idx="458">
                  <c:v>179.61699032512013</c:v>
                </c:pt>
                <c:pt idx="459">
                  <c:v>182.65894801869248</c:v>
                </c:pt>
                <c:pt idx="460">
                  <c:v>182.74961888345342</c:v>
                </c:pt>
                <c:pt idx="461">
                  <c:v>180.65920707830608</c:v>
                </c:pt>
                <c:pt idx="462">
                  <c:v>182.5762482189655</c:v>
                </c:pt>
                <c:pt idx="463">
                  <c:v>179.74851289817994</c:v>
                </c:pt>
                <c:pt idx="464">
                  <c:v>172.51078584737434</c:v>
                </c:pt>
                <c:pt idx="465">
                  <c:v>175.68924802965267</c:v>
                </c:pt>
                <c:pt idx="466">
                  <c:v>175.13924454231173</c:v>
                </c:pt>
                <c:pt idx="467">
                  <c:v>174.68290106911942</c:v>
                </c:pt>
                <c:pt idx="468">
                  <c:v>179.58610244811371</c:v>
                </c:pt>
                <c:pt idx="469">
                  <c:v>180.23175871586176</c:v>
                </c:pt>
                <c:pt idx="470">
                  <c:v>175.38734394149273</c:v>
                </c:pt>
                <c:pt idx="471">
                  <c:v>176.6208662554929</c:v>
                </c:pt>
                <c:pt idx="472">
                  <c:v>176.62784093739759</c:v>
                </c:pt>
                <c:pt idx="473">
                  <c:v>177.89025836214574</c:v>
                </c:pt>
                <c:pt idx="474">
                  <c:v>182.35903669679101</c:v>
                </c:pt>
                <c:pt idx="475">
                  <c:v>181.30685611231266</c:v>
                </c:pt>
                <c:pt idx="476">
                  <c:v>183.60053007582511</c:v>
                </c:pt>
                <c:pt idx="477">
                  <c:v>184.04192780207879</c:v>
                </c:pt>
                <c:pt idx="478">
                  <c:v>185.09610115281563</c:v>
                </c:pt>
                <c:pt idx="479">
                  <c:v>184.70452258302399</c:v>
                </c:pt>
                <c:pt idx="480">
                  <c:v>184.69555513486083</c:v>
                </c:pt>
                <c:pt idx="481">
                  <c:v>184.18640335581875</c:v>
                </c:pt>
                <c:pt idx="482">
                  <c:v>185.32925480505801</c:v>
                </c:pt>
                <c:pt idx="483">
                  <c:v>182.94490997678463</c:v>
                </c:pt>
                <c:pt idx="484">
                  <c:v>181.82696810577639</c:v>
                </c:pt>
                <c:pt idx="485">
                  <c:v>185.74474656995145</c:v>
                </c:pt>
                <c:pt idx="486">
                  <c:v>188.96306407739942</c:v>
                </c:pt>
                <c:pt idx="487">
                  <c:v>187.68669728884188</c:v>
                </c:pt>
                <c:pt idx="488">
                  <c:v>189.07465898787439</c:v>
                </c:pt>
                <c:pt idx="489">
                  <c:v>182.40885585325307</c:v>
                </c:pt>
                <c:pt idx="490">
                  <c:v>184.54908681486245</c:v>
                </c:pt>
                <c:pt idx="491">
                  <c:v>180.08030848021718</c:v>
                </c:pt>
                <c:pt idx="492">
                  <c:v>185.50860376832136</c:v>
                </c:pt>
                <c:pt idx="493">
                  <c:v>186.93940994191124</c:v>
                </c:pt>
                <c:pt idx="494">
                  <c:v>184.39564381295935</c:v>
                </c:pt>
                <c:pt idx="495">
                  <c:v>189.64757928718788</c:v>
                </c:pt>
                <c:pt idx="496">
                  <c:v>189.0457638771264</c:v>
                </c:pt>
                <c:pt idx="497">
                  <c:v>192.09768540199116</c:v>
                </c:pt>
                <c:pt idx="498">
                  <c:v>189.06768430596969</c:v>
                </c:pt>
                <c:pt idx="499">
                  <c:v>190.72965136554345</c:v>
                </c:pt>
                <c:pt idx="500">
                  <c:v>191.92830027002017</c:v>
                </c:pt>
                <c:pt idx="501">
                  <c:v>191.61543596743851</c:v>
                </c:pt>
                <c:pt idx="502">
                  <c:v>191.54967468090865</c:v>
                </c:pt>
                <c:pt idx="503">
                  <c:v>190.33508364636404</c:v>
                </c:pt>
                <c:pt idx="504">
                  <c:v>188.97302790869179</c:v>
                </c:pt>
                <c:pt idx="505">
                  <c:v>192.00801092035942</c:v>
                </c:pt>
                <c:pt idx="506">
                  <c:v>191.97712304335295</c:v>
                </c:pt>
                <c:pt idx="507">
                  <c:v>191.72404172852578</c:v>
                </c:pt>
                <c:pt idx="508">
                  <c:v>191.24478144336092</c:v>
                </c:pt>
                <c:pt idx="509">
                  <c:v>194.83076432549876</c:v>
                </c:pt>
                <c:pt idx="510">
                  <c:v>192.27504159899595</c:v>
                </c:pt>
                <c:pt idx="511">
                  <c:v>195.06391797774114</c:v>
                </c:pt>
                <c:pt idx="512">
                  <c:v>193.06218427109627</c:v>
                </c:pt>
                <c:pt idx="513">
                  <c:v>193.13292747327233</c:v>
                </c:pt>
                <c:pt idx="514">
                  <c:v>186.66640096449919</c:v>
                </c:pt>
                <c:pt idx="515">
                  <c:v>185.31630182437783</c:v>
                </c:pt>
                <c:pt idx="516">
                  <c:v>188.17293225591135</c:v>
                </c:pt>
                <c:pt idx="517">
                  <c:v>190.33408726323478</c:v>
                </c:pt>
                <c:pt idx="518">
                  <c:v>190.61207815629297</c:v>
                </c:pt>
                <c:pt idx="519">
                  <c:v>191.76887896934159</c:v>
                </c:pt>
                <c:pt idx="520">
                  <c:v>193.1986887598022</c:v>
                </c:pt>
                <c:pt idx="521">
                  <c:v>190.61108177316368</c:v>
                </c:pt>
                <c:pt idx="522">
                  <c:v>194.69625260305119</c:v>
                </c:pt>
                <c:pt idx="523">
                  <c:v>192.03989518049505</c:v>
                </c:pt>
                <c:pt idx="524">
                  <c:v>191.19595867002806</c:v>
                </c:pt>
                <c:pt idx="525">
                  <c:v>194.11237208931604</c:v>
                </c:pt>
                <c:pt idx="526">
                  <c:v>195.1067624522984</c:v>
                </c:pt>
                <c:pt idx="527">
                  <c:v>194.24887657802202</c:v>
                </c:pt>
                <c:pt idx="528">
                  <c:v>192.25710670266955</c:v>
                </c:pt>
                <c:pt idx="529">
                  <c:v>194.89054731325314</c:v>
                </c:pt>
                <c:pt idx="530">
                  <c:v>195.38176419596888</c:v>
                </c:pt>
                <c:pt idx="531">
                  <c:v>196.26954156412251</c:v>
                </c:pt>
                <c:pt idx="532">
                  <c:v>198.5373095662747</c:v>
                </c:pt>
                <c:pt idx="533">
                  <c:v>200.61975030638808</c:v>
                </c:pt>
                <c:pt idx="534">
                  <c:v>203.25916921574711</c:v>
                </c:pt>
                <c:pt idx="535">
                  <c:v>206.87006167611597</c:v>
                </c:pt>
                <c:pt idx="536">
                  <c:v>210.52778414355916</c:v>
                </c:pt>
                <c:pt idx="537">
                  <c:v>210.55070095553168</c:v>
                </c:pt>
                <c:pt idx="538">
                  <c:v>214.25326066379068</c:v>
                </c:pt>
                <c:pt idx="539">
                  <c:v>217.22547153831613</c:v>
                </c:pt>
                <c:pt idx="540">
                  <c:v>212.49763359006826</c:v>
                </c:pt>
                <c:pt idx="541">
                  <c:v>212.67897531959014</c:v>
                </c:pt>
                <c:pt idx="542">
                  <c:v>209.22551139364131</c:v>
                </c:pt>
                <c:pt idx="543">
                  <c:v>202.12030329902478</c:v>
                </c:pt>
                <c:pt idx="544">
                  <c:v>201.63107918256753</c:v>
                </c:pt>
                <c:pt idx="545">
                  <c:v>201.91504837440115</c:v>
                </c:pt>
                <c:pt idx="546">
                  <c:v>195.17053097256976</c:v>
                </c:pt>
                <c:pt idx="547">
                  <c:v>199.08532028735709</c:v>
                </c:pt>
                <c:pt idx="548">
                  <c:v>195.44951824875719</c:v>
                </c:pt>
                <c:pt idx="549">
                  <c:v>200.98940844733636</c:v>
                </c:pt>
                <c:pt idx="550">
                  <c:v>205.71625001245499</c:v>
                </c:pt>
                <c:pt idx="551">
                  <c:v>204.9390711716471</c:v>
                </c:pt>
                <c:pt idx="552">
                  <c:v>207.14406703665713</c:v>
                </c:pt>
                <c:pt idx="553">
                  <c:v>205.40139294361487</c:v>
                </c:pt>
                <c:pt idx="554">
                  <c:v>196.92516166316292</c:v>
                </c:pt>
                <c:pt idx="555">
                  <c:v>196.15695027051822</c:v>
                </c:pt>
                <c:pt idx="556">
                  <c:v>193.64606478483125</c:v>
                </c:pt>
                <c:pt idx="557">
                  <c:v>193.41091836633041</c:v>
                </c:pt>
                <c:pt idx="558">
                  <c:v>194.67134302482009</c:v>
                </c:pt>
                <c:pt idx="559">
                  <c:v>200.04483724081604</c:v>
                </c:pt>
                <c:pt idx="560">
                  <c:v>198.42372188954118</c:v>
                </c:pt>
                <c:pt idx="561">
                  <c:v>198.29219931648137</c:v>
                </c:pt>
                <c:pt idx="562">
                  <c:v>201.36404850393095</c:v>
                </c:pt>
                <c:pt idx="563">
                  <c:v>205.30374739694929</c:v>
                </c:pt>
                <c:pt idx="564">
                  <c:v>209.59417315146047</c:v>
                </c:pt>
                <c:pt idx="565">
                  <c:v>207.61037434114189</c:v>
                </c:pt>
                <c:pt idx="566">
                  <c:v>205.95737472973136</c:v>
                </c:pt>
                <c:pt idx="567">
                  <c:v>205.78500044837267</c:v>
                </c:pt>
                <c:pt idx="568">
                  <c:v>204.19975488975044</c:v>
                </c:pt>
                <c:pt idx="569">
                  <c:v>203.66868268186505</c:v>
                </c:pt>
                <c:pt idx="570">
                  <c:v>201.57627811045924</c:v>
                </c:pt>
                <c:pt idx="571">
                  <c:v>200.30290047128943</c:v>
                </c:pt>
                <c:pt idx="572">
                  <c:v>204.99785777627235</c:v>
                </c:pt>
                <c:pt idx="573">
                  <c:v>206.7843727270012</c:v>
                </c:pt>
                <c:pt idx="574">
                  <c:v>204.68499347369075</c:v>
                </c:pt>
                <c:pt idx="575">
                  <c:v>206.88998933870073</c:v>
                </c:pt>
                <c:pt idx="576">
                  <c:v>207.06834191883485</c:v>
                </c:pt>
                <c:pt idx="577">
                  <c:v>207.34732919502233</c:v>
                </c:pt>
                <c:pt idx="578">
                  <c:v>209.10694180126166</c:v>
                </c:pt>
                <c:pt idx="579">
                  <c:v>209.24942458874312</c:v>
                </c:pt>
                <c:pt idx="580">
                  <c:v>217.25137749967647</c:v>
                </c:pt>
                <c:pt idx="581">
                  <c:v>219.29695206400791</c:v>
                </c:pt>
                <c:pt idx="582">
                  <c:v>220.16380538644748</c:v>
                </c:pt>
                <c:pt idx="583">
                  <c:v>217.58317308171365</c:v>
                </c:pt>
                <c:pt idx="584">
                  <c:v>219.22620886183182</c:v>
                </c:pt>
                <c:pt idx="585">
                  <c:v>217.59911521178151</c:v>
                </c:pt>
                <c:pt idx="586">
                  <c:v>218.59549834102239</c:v>
                </c:pt>
                <c:pt idx="587">
                  <c:v>220.16081623705978</c:v>
                </c:pt>
                <c:pt idx="588">
                  <c:v>220.56335502127308</c:v>
                </c:pt>
                <c:pt idx="589">
                  <c:v>224.00286958341249</c:v>
                </c:pt>
                <c:pt idx="590">
                  <c:v>225.71864133196524</c:v>
                </c:pt>
                <c:pt idx="591">
                  <c:v>228.18568595996561</c:v>
                </c:pt>
                <c:pt idx="592">
                  <c:v>229.1163078026766</c:v>
                </c:pt>
                <c:pt idx="593">
                  <c:v>230.44349013082544</c:v>
                </c:pt>
                <c:pt idx="594">
                  <c:v>230.58298376891912</c:v>
                </c:pt>
                <c:pt idx="595">
                  <c:v>233.35292886820872</c:v>
                </c:pt>
                <c:pt idx="596">
                  <c:v>230.68760399748942</c:v>
                </c:pt>
                <c:pt idx="597">
                  <c:v>229.42419018961201</c:v>
                </c:pt>
                <c:pt idx="598">
                  <c:v>233.61597401432829</c:v>
                </c:pt>
                <c:pt idx="599">
                  <c:v>233.42267568725555</c:v>
                </c:pt>
                <c:pt idx="600">
                  <c:v>232.06759463148799</c:v>
                </c:pt>
                <c:pt idx="601">
                  <c:v>232.65844982712787</c:v>
                </c:pt>
                <c:pt idx="602">
                  <c:v>233.92684555065151</c:v>
                </c:pt>
                <c:pt idx="603">
                  <c:v>234.30148560724606</c:v>
                </c:pt>
                <c:pt idx="604">
                  <c:v>226.6891184998459</c:v>
                </c:pt>
                <c:pt idx="605">
                  <c:v>225.74554367645484</c:v>
                </c:pt>
                <c:pt idx="606">
                  <c:v>230.1346113607608</c:v>
                </c:pt>
                <c:pt idx="607">
                  <c:v>232.01877185815528</c:v>
                </c:pt>
                <c:pt idx="608">
                  <c:v>235.48219961539647</c:v>
                </c:pt>
                <c:pt idx="609">
                  <c:v>238.11962575849702</c:v>
                </c:pt>
                <c:pt idx="610">
                  <c:v>231.42692027938617</c:v>
                </c:pt>
                <c:pt idx="611">
                  <c:v>230.85698912946037</c:v>
                </c:pt>
                <c:pt idx="612">
                  <c:v>226.78477128025301</c:v>
                </c:pt>
                <c:pt idx="613">
                  <c:v>226.98006237358422</c:v>
                </c:pt>
                <c:pt idx="614">
                  <c:v>227.12055239480716</c:v>
                </c:pt>
                <c:pt idx="615">
                  <c:v>228.69782688839547</c:v>
                </c:pt>
                <c:pt idx="616">
                  <c:v>235.34170959417349</c:v>
                </c:pt>
                <c:pt idx="617">
                  <c:v>242.75480007572548</c:v>
                </c:pt>
                <c:pt idx="618">
                  <c:v>241.22136643982378</c:v>
                </c:pt>
                <c:pt idx="619">
                  <c:v>239.76066877235669</c:v>
                </c:pt>
                <c:pt idx="620">
                  <c:v>241.69963034185943</c:v>
                </c:pt>
                <c:pt idx="621">
                  <c:v>242.89230094756073</c:v>
                </c:pt>
                <c:pt idx="622">
                  <c:v>243.05570778075622</c:v>
                </c:pt>
                <c:pt idx="623">
                  <c:v>238.20730747387017</c:v>
                </c:pt>
                <c:pt idx="624">
                  <c:v>243.25000249095817</c:v>
                </c:pt>
                <c:pt idx="625">
                  <c:v>248.32258900192338</c:v>
                </c:pt>
                <c:pt idx="626">
                  <c:v>243.01385968932811</c:v>
                </c:pt>
                <c:pt idx="627">
                  <c:v>244.21250859380481</c:v>
                </c:pt>
                <c:pt idx="628">
                  <c:v>247.54541016111554</c:v>
                </c:pt>
                <c:pt idx="629">
                  <c:v>250.74778553849566</c:v>
                </c:pt>
                <c:pt idx="630">
                  <c:v>249.15955083048573</c:v>
                </c:pt>
                <c:pt idx="631">
                  <c:v>243.01485607245735</c:v>
                </c:pt>
                <c:pt idx="632">
                  <c:v>237.43511054870854</c:v>
                </c:pt>
                <c:pt idx="633">
                  <c:v>239.63113896555541</c:v>
                </c:pt>
                <c:pt idx="634">
                  <c:v>238.29698195550185</c:v>
                </c:pt>
                <c:pt idx="635">
                  <c:v>227.70144375915459</c:v>
                </c:pt>
                <c:pt idx="636">
                  <c:v>224.19417514422673</c:v>
                </c:pt>
                <c:pt idx="637">
                  <c:v>232.74812430875946</c:v>
                </c:pt>
                <c:pt idx="638">
                  <c:v>229.45707083287692</c:v>
                </c:pt>
                <c:pt idx="639">
                  <c:v>230.7782748622503</c:v>
                </c:pt>
                <c:pt idx="640">
                  <c:v>232.09150782658978</c:v>
                </c:pt>
                <c:pt idx="641">
                  <c:v>231.91813716210183</c:v>
                </c:pt>
                <c:pt idx="642">
                  <c:v>236.46961529647407</c:v>
                </c:pt>
                <c:pt idx="643">
                  <c:v>233.67974253459965</c:v>
                </c:pt>
                <c:pt idx="644">
                  <c:v>235.03283082410871</c:v>
                </c:pt>
                <c:pt idx="645">
                  <c:v>238.20531470761156</c:v>
                </c:pt>
                <c:pt idx="646">
                  <c:v>238.21029662325782</c:v>
                </c:pt>
                <c:pt idx="647">
                  <c:v>238.21129300638705</c:v>
                </c:pt>
                <c:pt idx="648">
                  <c:v>224.89263971782452</c:v>
                </c:pt>
                <c:pt idx="649">
                  <c:v>224.9215348285725</c:v>
                </c:pt>
                <c:pt idx="650">
                  <c:v>228.44673833982668</c:v>
                </c:pt>
                <c:pt idx="651">
                  <c:v>224.58575371401835</c:v>
                </c:pt>
                <c:pt idx="652">
                  <c:v>221.63645965146537</c:v>
                </c:pt>
                <c:pt idx="653">
                  <c:v>226.19192331835461</c:v>
                </c:pt>
                <c:pt idx="654">
                  <c:v>228.42681067724186</c:v>
                </c:pt>
                <c:pt idx="655">
                  <c:v>223.36319161443981</c:v>
                </c:pt>
                <c:pt idx="656">
                  <c:v>230.5271863136816</c:v>
                </c:pt>
                <c:pt idx="657">
                  <c:v>231.49367794904526</c:v>
                </c:pt>
                <c:pt idx="658">
                  <c:v>236.44869125076005</c:v>
                </c:pt>
                <c:pt idx="659">
                  <c:v>232.39839383039595</c:v>
                </c:pt>
                <c:pt idx="660">
                  <c:v>225.71266303318981</c:v>
                </c:pt>
                <c:pt idx="661">
                  <c:v>216.39349162540006</c:v>
                </c:pt>
                <c:pt idx="662">
                  <c:v>221.10439106045087</c:v>
                </c:pt>
                <c:pt idx="663">
                  <c:v>227.30687603997521</c:v>
                </c:pt>
                <c:pt idx="664">
                  <c:v>231.36115899285625</c:v>
                </c:pt>
                <c:pt idx="665">
                  <c:v>237.38329862598795</c:v>
                </c:pt>
                <c:pt idx="666">
                  <c:v>238.13058597291857</c:v>
                </c:pt>
                <c:pt idx="667">
                  <c:v>243.13143289857842</c:v>
                </c:pt>
                <c:pt idx="668">
                  <c:v>242.50769705967366</c:v>
                </c:pt>
                <c:pt idx="669">
                  <c:v>240.91348405288829</c:v>
                </c:pt>
                <c:pt idx="670">
                  <c:v>231.20273407530689</c:v>
                </c:pt>
                <c:pt idx="671">
                  <c:v>233.08888733895978</c:v>
                </c:pt>
                <c:pt idx="672">
                  <c:v>240.33857098731627</c:v>
                </c:pt>
                <c:pt idx="673">
                  <c:v>235.45330450464834</c:v>
                </c:pt>
                <c:pt idx="674">
                  <c:v>235.58183792832043</c:v>
                </c:pt>
                <c:pt idx="675">
                  <c:v>232.29178083556712</c:v>
                </c:pt>
                <c:pt idx="676">
                  <c:v>234.34731923119105</c:v>
                </c:pt>
                <c:pt idx="677">
                  <c:v>238.79019160447604</c:v>
                </c:pt>
                <c:pt idx="678">
                  <c:v>236.62704383089414</c:v>
                </c:pt>
                <c:pt idx="679">
                  <c:v>234.45293584289055</c:v>
                </c:pt>
                <c:pt idx="680">
                  <c:v>232.91950220698888</c:v>
                </c:pt>
                <c:pt idx="681">
                  <c:v>235.26399171009257</c:v>
                </c:pt>
                <c:pt idx="682">
                  <c:v>243.4831561432004</c:v>
                </c:pt>
                <c:pt idx="683">
                  <c:v>246.03788248657395</c:v>
                </c:pt>
                <c:pt idx="684">
                  <c:v>239.50459830814165</c:v>
                </c:pt>
                <c:pt idx="685">
                  <c:v>243.19320865259135</c:v>
                </c:pt>
                <c:pt idx="686">
                  <c:v>242.05533911899829</c:v>
                </c:pt>
                <c:pt idx="687">
                  <c:v>243.44429720116005</c:v>
                </c:pt>
                <c:pt idx="688">
                  <c:v>248.84170461225773</c:v>
                </c:pt>
                <c:pt idx="689">
                  <c:v>252.86410330500311</c:v>
                </c:pt>
                <c:pt idx="690">
                  <c:v>253.76782280322453</c:v>
                </c:pt>
                <c:pt idx="691">
                  <c:v>256.55271364945276</c:v>
                </c:pt>
                <c:pt idx="692">
                  <c:v>256.28667935394543</c:v>
                </c:pt>
                <c:pt idx="693">
                  <c:v>256.94030668672741</c:v>
                </c:pt>
                <c:pt idx="694">
                  <c:v>248.64641351892649</c:v>
                </c:pt>
                <c:pt idx="695">
                  <c:v>256.32454191285655</c:v>
                </c:pt>
                <c:pt idx="696">
                  <c:v>257.16050735828958</c:v>
                </c:pt>
                <c:pt idx="697">
                  <c:v>258.42790669868396</c:v>
                </c:pt>
                <c:pt idx="698">
                  <c:v>252.83421181112578</c:v>
                </c:pt>
                <c:pt idx="699">
                  <c:v>258.39901158793595</c:v>
                </c:pt>
                <c:pt idx="700">
                  <c:v>259.00082699799742</c:v>
                </c:pt>
                <c:pt idx="701">
                  <c:v>260.70962406464548</c:v>
                </c:pt>
                <c:pt idx="702">
                  <c:v>258.92908741269207</c:v>
                </c:pt>
                <c:pt idx="703">
                  <c:v>255.87517312156882</c:v>
                </c:pt>
                <c:pt idx="704">
                  <c:v>270.21212996821549</c:v>
                </c:pt>
                <c:pt idx="705">
                  <c:v>268.23929137231863</c:v>
                </c:pt>
                <c:pt idx="706">
                  <c:v>266.84136584199371</c:v>
                </c:pt>
                <c:pt idx="707">
                  <c:v>268.79925869095194</c:v>
                </c:pt>
                <c:pt idx="708">
                  <c:v>267.71818299572561</c:v>
                </c:pt>
                <c:pt idx="709">
                  <c:v>262.35664537728059</c:v>
                </c:pt>
                <c:pt idx="710">
                  <c:v>264.94823789643601</c:v>
                </c:pt>
                <c:pt idx="711">
                  <c:v>262.31380090272319</c:v>
                </c:pt>
                <c:pt idx="712">
                  <c:v>259.32963343064682</c:v>
                </c:pt>
                <c:pt idx="713">
                  <c:v>259.45517770493115</c:v>
                </c:pt>
                <c:pt idx="714">
                  <c:v>254.13150264539726</c:v>
                </c:pt>
                <c:pt idx="715">
                  <c:v>254.48023674063157</c:v>
                </c:pt>
                <c:pt idx="716">
                  <c:v>260.7016529996115</c:v>
                </c:pt>
                <c:pt idx="717">
                  <c:v>257.23822524237028</c:v>
                </c:pt>
                <c:pt idx="718">
                  <c:v>242.8564311549078</c:v>
                </c:pt>
                <c:pt idx="719">
                  <c:v>245.58951007841546</c:v>
                </c:pt>
                <c:pt idx="720">
                  <c:v>246.44141765391643</c:v>
                </c:pt>
                <c:pt idx="721">
                  <c:v>247.08408477227675</c:v>
                </c:pt>
                <c:pt idx="722">
                  <c:v>243.84285045285628</c:v>
                </c:pt>
                <c:pt idx="723">
                  <c:v>232.21306656835699</c:v>
                </c:pt>
                <c:pt idx="724">
                  <c:v>226.82861213793942</c:v>
                </c:pt>
                <c:pt idx="725">
                  <c:v>229.74502555722739</c:v>
                </c:pt>
                <c:pt idx="726">
                  <c:v>227.53903330908815</c:v>
                </c:pt>
                <c:pt idx="727">
                  <c:v>232.32964339447818</c:v>
                </c:pt>
                <c:pt idx="728">
                  <c:v>234.4150732839793</c:v>
                </c:pt>
                <c:pt idx="729">
                  <c:v>236.54434403116707</c:v>
                </c:pt>
                <c:pt idx="730">
                  <c:v>237.39724798979722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64-4F22-B652-045BE8BA3F5D}"/>
            </c:ext>
          </c:extLst>
        </c:ser>
        <c:ser>
          <c:idx val="7"/>
          <c:order val="1"/>
          <c:tx>
            <c:strRef>
              <c:f>Index!$W$1</c:f>
              <c:strCache>
                <c:ptCount val="1"/>
                <c:pt idx="0">
                  <c:v>Airports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Index!$W$2:$W$732</c:f>
              <c:numCache>
                <c:formatCode>General</c:formatCode>
                <c:ptCount val="731"/>
                <c:pt idx="0">
                  <c:v>100</c:v>
                </c:pt>
                <c:pt idx="1">
                  <c:v>98.224167672074273</c:v>
                </c:pt>
                <c:pt idx="2">
                  <c:v>97.187185290803782</c:v>
                </c:pt>
                <c:pt idx="3">
                  <c:v>95.399387781555689</c:v>
                </c:pt>
                <c:pt idx="4">
                  <c:v>92.330318772372422</c:v>
                </c:pt>
                <c:pt idx="5">
                  <c:v>90.489675045617275</c:v>
                </c:pt>
                <c:pt idx="6">
                  <c:v>85.216021377790653</c:v>
                </c:pt>
                <c:pt idx="7">
                  <c:v>84.87501371010363</c:v>
                </c:pt>
                <c:pt idx="8">
                  <c:v>86.210128525989404</c:v>
                </c:pt>
                <c:pt idx="9">
                  <c:v>87.945079817730431</c:v>
                </c:pt>
                <c:pt idx="10">
                  <c:v>90.015056186497318</c:v>
                </c:pt>
                <c:pt idx="11">
                  <c:v>93.618569961412319</c:v>
                </c:pt>
                <c:pt idx="12">
                  <c:v>93.399208303835877</c:v>
                </c:pt>
                <c:pt idx="13">
                  <c:v>91.06599794597723</c:v>
                </c:pt>
                <c:pt idx="14">
                  <c:v>91.052038567767823</c:v>
                </c:pt>
                <c:pt idx="15">
                  <c:v>92.846815766120613</c:v>
                </c:pt>
                <c:pt idx="16">
                  <c:v>92.264510275099497</c:v>
                </c:pt>
                <c:pt idx="17">
                  <c:v>97.829316688436677</c:v>
                </c:pt>
                <c:pt idx="18">
                  <c:v>99.355874405480094</c:v>
                </c:pt>
                <c:pt idx="19">
                  <c:v>102.50371419170219</c:v>
                </c:pt>
                <c:pt idx="20">
                  <c:v>102.36511750805163</c:v>
                </c:pt>
                <c:pt idx="21">
                  <c:v>99.849438135027114</c:v>
                </c:pt>
                <c:pt idx="22">
                  <c:v>103.85777387801501</c:v>
                </c:pt>
                <c:pt idx="23">
                  <c:v>104.20576123480674</c:v>
                </c:pt>
                <c:pt idx="24">
                  <c:v>103.6603483861962</c:v>
                </c:pt>
                <c:pt idx="25">
                  <c:v>102.67621222243277</c:v>
                </c:pt>
                <c:pt idx="26">
                  <c:v>106.59680330239009</c:v>
                </c:pt>
                <c:pt idx="27">
                  <c:v>106.17403356233365</c:v>
                </c:pt>
                <c:pt idx="28">
                  <c:v>98.809464458426021</c:v>
                </c:pt>
                <c:pt idx="29">
                  <c:v>103.2993987496386</c:v>
                </c:pt>
                <c:pt idx="30">
                  <c:v>96.90002093906736</c:v>
                </c:pt>
                <c:pt idx="31">
                  <c:v>99.576233161500085</c:v>
                </c:pt>
                <c:pt idx="32">
                  <c:v>98.537256583342526</c:v>
                </c:pt>
                <c:pt idx="33">
                  <c:v>96.531094514961509</c:v>
                </c:pt>
                <c:pt idx="34">
                  <c:v>95.043423637215753</c:v>
                </c:pt>
                <c:pt idx="35">
                  <c:v>98.689812645202508</c:v>
                </c:pt>
                <c:pt idx="36">
                  <c:v>101.00607232952115</c:v>
                </c:pt>
                <c:pt idx="37">
                  <c:v>105.26467978183493</c:v>
                </c:pt>
                <c:pt idx="38">
                  <c:v>104.25362196009618</c:v>
                </c:pt>
                <c:pt idx="39">
                  <c:v>103.97842278968209</c:v>
                </c:pt>
                <c:pt idx="40">
                  <c:v>106.3245954273066</c:v>
                </c:pt>
                <c:pt idx="41">
                  <c:v>106.55592226620543</c:v>
                </c:pt>
                <c:pt idx="42">
                  <c:v>106.53697739577837</c:v>
                </c:pt>
                <c:pt idx="43">
                  <c:v>106.46817760317484</c:v>
                </c:pt>
                <c:pt idx="44">
                  <c:v>107.67865511361944</c:v>
                </c:pt>
                <c:pt idx="45">
                  <c:v>109.93209759599573</c:v>
                </c:pt>
                <c:pt idx="46">
                  <c:v>107.69361159027237</c:v>
                </c:pt>
                <c:pt idx="47">
                  <c:v>108.79839666570288</c:v>
                </c:pt>
                <c:pt idx="48">
                  <c:v>109.19723604311461</c:v>
                </c:pt>
                <c:pt idx="49">
                  <c:v>111.09471438115092</c:v>
                </c:pt>
                <c:pt idx="50">
                  <c:v>112.92638422191429</c:v>
                </c:pt>
                <c:pt idx="51">
                  <c:v>115.29748432062705</c:v>
                </c:pt>
                <c:pt idx="52">
                  <c:v>117.66858441933979</c:v>
                </c:pt>
                <c:pt idx="53">
                  <c:v>119.97686731611019</c:v>
                </c:pt>
                <c:pt idx="54">
                  <c:v>122.46462793271586</c:v>
                </c:pt>
                <c:pt idx="55">
                  <c:v>124.61038378319097</c:v>
                </c:pt>
                <c:pt idx="56">
                  <c:v>123.56143622059813</c:v>
                </c:pt>
                <c:pt idx="57">
                  <c:v>127.16694419240017</c:v>
                </c:pt>
                <c:pt idx="58">
                  <c:v>129.93389237319406</c:v>
                </c:pt>
                <c:pt idx="59">
                  <c:v>128.3205870915636</c:v>
                </c:pt>
                <c:pt idx="60">
                  <c:v>126.70329341615903</c:v>
                </c:pt>
                <c:pt idx="61">
                  <c:v>129.66866418721526</c:v>
                </c:pt>
                <c:pt idx="62">
                  <c:v>122.90335124786874</c:v>
                </c:pt>
                <c:pt idx="63">
                  <c:v>122.87642958989345</c:v>
                </c:pt>
                <c:pt idx="64">
                  <c:v>120.25804907718542</c:v>
                </c:pt>
                <c:pt idx="65">
                  <c:v>124.37407145207447</c:v>
                </c:pt>
                <c:pt idx="66">
                  <c:v>124.99127538861913</c:v>
                </c:pt>
                <c:pt idx="67">
                  <c:v>121.98602067982175</c:v>
                </c:pt>
                <c:pt idx="68">
                  <c:v>123.60231725678278</c:v>
                </c:pt>
                <c:pt idx="69">
                  <c:v>121.49644534404885</c:v>
                </c:pt>
                <c:pt idx="70">
                  <c:v>121.71580700162532</c:v>
                </c:pt>
                <c:pt idx="71">
                  <c:v>120.49834980207601</c:v>
                </c:pt>
                <c:pt idx="72">
                  <c:v>124.20356761823101</c:v>
                </c:pt>
                <c:pt idx="73">
                  <c:v>128.81514791955416</c:v>
                </c:pt>
                <c:pt idx="74">
                  <c:v>129.9727792124917</c:v>
                </c:pt>
                <c:pt idx="75">
                  <c:v>127.64455434685073</c:v>
                </c:pt>
                <c:pt idx="76">
                  <c:v>131.08554107547045</c:v>
                </c:pt>
                <c:pt idx="77">
                  <c:v>129.62678605258702</c:v>
                </c:pt>
                <c:pt idx="78">
                  <c:v>133.41476303955494</c:v>
                </c:pt>
                <c:pt idx="79">
                  <c:v>134.59133920291953</c:v>
                </c:pt>
                <c:pt idx="80">
                  <c:v>136.83879909463462</c:v>
                </c:pt>
                <c:pt idx="81">
                  <c:v>132.91721091623378</c:v>
                </c:pt>
                <c:pt idx="82">
                  <c:v>134.34505588736778</c:v>
                </c:pt>
                <c:pt idx="83">
                  <c:v>136.11689982151944</c:v>
                </c:pt>
                <c:pt idx="84">
                  <c:v>134.67310127528896</c:v>
                </c:pt>
                <c:pt idx="85">
                  <c:v>134.06985671695369</c:v>
                </c:pt>
                <c:pt idx="86">
                  <c:v>136.18669671256649</c:v>
                </c:pt>
                <c:pt idx="87">
                  <c:v>133.67600283175966</c:v>
                </c:pt>
                <c:pt idx="88">
                  <c:v>135.42591060015366</c:v>
                </c:pt>
                <c:pt idx="89">
                  <c:v>135.03803930562074</c:v>
                </c:pt>
                <c:pt idx="90">
                  <c:v>135.65225194683481</c:v>
                </c:pt>
                <c:pt idx="91">
                  <c:v>138.26764116421225</c:v>
                </c:pt>
                <c:pt idx="92">
                  <c:v>138.39227846965341</c:v>
                </c:pt>
                <c:pt idx="93">
                  <c:v>139.72639618709565</c:v>
                </c:pt>
                <c:pt idx="94">
                  <c:v>141.45137649440139</c:v>
                </c:pt>
                <c:pt idx="95">
                  <c:v>144.87640964792465</c:v>
                </c:pt>
                <c:pt idx="96">
                  <c:v>149.08615927650547</c:v>
                </c:pt>
                <c:pt idx="97">
                  <c:v>150.51599844452653</c:v>
                </c:pt>
                <c:pt idx="98">
                  <c:v>152.30379595377462</c:v>
                </c:pt>
                <c:pt idx="99">
                  <c:v>155.28013480770966</c:v>
                </c:pt>
                <c:pt idx="100">
                  <c:v>158.84476174332701</c:v>
                </c:pt>
                <c:pt idx="101">
                  <c:v>153.67081791985333</c:v>
                </c:pt>
                <c:pt idx="102">
                  <c:v>155.55134558434963</c:v>
                </c:pt>
                <c:pt idx="103">
                  <c:v>157.4029573939836</c:v>
                </c:pt>
                <c:pt idx="104">
                  <c:v>158.74704609586115</c:v>
                </c:pt>
                <c:pt idx="105">
                  <c:v>154.78657107816264</c:v>
                </c:pt>
                <c:pt idx="106">
                  <c:v>157.85663718578945</c:v>
                </c:pt>
                <c:pt idx="107">
                  <c:v>158.69719117368467</c:v>
                </c:pt>
                <c:pt idx="108">
                  <c:v>163.49124049017371</c:v>
                </c:pt>
                <c:pt idx="109">
                  <c:v>165.31991903560649</c:v>
                </c:pt>
                <c:pt idx="110">
                  <c:v>166.47156773788288</c:v>
                </c:pt>
                <c:pt idx="111">
                  <c:v>167.51353561137103</c:v>
                </c:pt>
                <c:pt idx="112">
                  <c:v>165.87929126242645</c:v>
                </c:pt>
                <c:pt idx="113">
                  <c:v>165.03873727453126</c:v>
                </c:pt>
                <c:pt idx="114">
                  <c:v>163.07744463610905</c:v>
                </c:pt>
                <c:pt idx="115">
                  <c:v>162.81022225324318</c:v>
                </c:pt>
                <c:pt idx="116">
                  <c:v>157.6233161500036</c:v>
                </c:pt>
                <c:pt idx="117">
                  <c:v>158.23453749588711</c:v>
                </c:pt>
                <c:pt idx="118">
                  <c:v>158.64434495617763</c:v>
                </c:pt>
                <c:pt idx="119">
                  <c:v>157.77088671964594</c:v>
                </c:pt>
                <c:pt idx="120">
                  <c:v>158.68024050014469</c:v>
                </c:pt>
                <c:pt idx="121">
                  <c:v>157.95335573481182</c:v>
                </c:pt>
                <c:pt idx="122">
                  <c:v>160.09811448684343</c:v>
                </c:pt>
                <c:pt idx="123">
                  <c:v>158.25148816942709</c:v>
                </c:pt>
                <c:pt idx="124">
                  <c:v>159.52079448803991</c:v>
                </c:pt>
                <c:pt idx="125">
                  <c:v>163.36261479095845</c:v>
                </c:pt>
                <c:pt idx="126">
                  <c:v>162.07835199569266</c:v>
                </c:pt>
                <c:pt idx="127">
                  <c:v>159.64742599036813</c:v>
                </c:pt>
                <c:pt idx="128">
                  <c:v>162.00157541554088</c:v>
                </c:pt>
                <c:pt idx="129">
                  <c:v>159.2276475456423</c:v>
                </c:pt>
                <c:pt idx="130">
                  <c:v>160.0093727253693</c:v>
                </c:pt>
                <c:pt idx="131">
                  <c:v>154.70082061201916</c:v>
                </c:pt>
                <c:pt idx="132">
                  <c:v>156.77179407922958</c:v>
                </c:pt>
                <c:pt idx="133">
                  <c:v>156.49061231815432</c:v>
                </c:pt>
                <c:pt idx="134">
                  <c:v>156.3679692096002</c:v>
                </c:pt>
                <c:pt idx="135">
                  <c:v>156.91637335354133</c:v>
                </c:pt>
                <c:pt idx="136">
                  <c:v>160.3633426728222</c:v>
                </c:pt>
                <c:pt idx="137">
                  <c:v>158.52269894606707</c:v>
                </c:pt>
                <c:pt idx="138">
                  <c:v>159.62150143083639</c:v>
                </c:pt>
                <c:pt idx="139">
                  <c:v>163.10436629408434</c:v>
                </c:pt>
                <c:pt idx="140">
                  <c:v>164.52024608389601</c:v>
                </c:pt>
                <c:pt idx="141">
                  <c:v>164.26698307923957</c:v>
                </c:pt>
                <c:pt idx="142">
                  <c:v>160.14298391680225</c:v>
                </c:pt>
                <c:pt idx="143">
                  <c:v>162.0554187314915</c:v>
                </c:pt>
                <c:pt idx="144">
                  <c:v>159.1897578047882</c:v>
                </c:pt>
                <c:pt idx="145">
                  <c:v>154.2670827890839</c:v>
                </c:pt>
                <c:pt idx="146">
                  <c:v>151.15414144838533</c:v>
                </c:pt>
                <c:pt idx="147">
                  <c:v>152.82527843974049</c:v>
                </c:pt>
                <c:pt idx="148">
                  <c:v>155.14353232094618</c:v>
                </c:pt>
                <c:pt idx="149">
                  <c:v>154.80053045637209</c:v>
                </c:pt>
                <c:pt idx="150">
                  <c:v>153.95399387781566</c:v>
                </c:pt>
                <c:pt idx="151">
                  <c:v>154.41066496495208</c:v>
                </c:pt>
                <c:pt idx="152">
                  <c:v>156.93332402708128</c:v>
                </c:pt>
                <c:pt idx="153">
                  <c:v>157.08887138427184</c:v>
                </c:pt>
                <c:pt idx="154">
                  <c:v>159.56067842578105</c:v>
                </c:pt>
                <c:pt idx="155">
                  <c:v>156.28620713723072</c:v>
                </c:pt>
                <c:pt idx="156">
                  <c:v>155.26118993728258</c:v>
                </c:pt>
                <c:pt idx="157">
                  <c:v>163.99876359793006</c:v>
                </c:pt>
                <c:pt idx="158">
                  <c:v>165.29698577140525</c:v>
                </c:pt>
                <c:pt idx="159">
                  <c:v>161.92679303227612</c:v>
                </c:pt>
                <c:pt idx="160">
                  <c:v>162.7324485746478</c:v>
                </c:pt>
                <c:pt idx="161">
                  <c:v>165.2451366523417</c:v>
                </c:pt>
                <c:pt idx="162">
                  <c:v>182.24765931140385</c:v>
                </c:pt>
                <c:pt idx="163">
                  <c:v>188.29207007607866</c:v>
                </c:pt>
                <c:pt idx="164">
                  <c:v>190.9822416767208</c:v>
                </c:pt>
                <c:pt idx="165">
                  <c:v>193.56472664546175</c:v>
                </c:pt>
                <c:pt idx="166">
                  <c:v>188.59020251069393</c:v>
                </c:pt>
                <c:pt idx="167">
                  <c:v>194.56481638432166</c:v>
                </c:pt>
                <c:pt idx="168">
                  <c:v>192.92558654315943</c:v>
                </c:pt>
                <c:pt idx="169">
                  <c:v>192.27946675175244</c:v>
                </c:pt>
                <c:pt idx="170">
                  <c:v>195.01450778235335</c:v>
                </c:pt>
                <c:pt idx="171">
                  <c:v>193.07216001435822</c:v>
                </c:pt>
                <c:pt idx="172">
                  <c:v>201.57441844233284</c:v>
                </c:pt>
                <c:pt idx="173">
                  <c:v>203.88968102820795</c:v>
                </c:pt>
                <c:pt idx="174">
                  <c:v>207.44732827472063</c:v>
                </c:pt>
                <c:pt idx="175">
                  <c:v>207.30972868951358</c:v>
                </c:pt>
                <c:pt idx="176">
                  <c:v>200.31009761593768</c:v>
                </c:pt>
                <c:pt idx="177">
                  <c:v>196.55901327138034</c:v>
                </c:pt>
                <c:pt idx="178">
                  <c:v>211.16451127219796</c:v>
                </c:pt>
                <c:pt idx="179">
                  <c:v>208.52319749528877</c:v>
                </c:pt>
                <c:pt idx="180">
                  <c:v>207.88605158987349</c:v>
                </c:pt>
                <c:pt idx="181">
                  <c:v>209.30891106878985</c:v>
                </c:pt>
                <c:pt idx="182">
                  <c:v>213.58048080086954</c:v>
                </c:pt>
                <c:pt idx="183">
                  <c:v>214.65535292299418</c:v>
                </c:pt>
                <c:pt idx="184">
                  <c:v>209.41560060224754</c:v>
                </c:pt>
                <c:pt idx="185">
                  <c:v>211.75778484609791</c:v>
                </c:pt>
                <c:pt idx="186">
                  <c:v>213.93245655143542</c:v>
                </c:pt>
                <c:pt idx="187">
                  <c:v>217.90988224267392</c:v>
                </c:pt>
                <c:pt idx="188">
                  <c:v>215.44904328404357</c:v>
                </c:pt>
                <c:pt idx="189">
                  <c:v>218.20302918507156</c:v>
                </c:pt>
                <c:pt idx="190">
                  <c:v>217.11320058629397</c:v>
                </c:pt>
                <c:pt idx="191">
                  <c:v>225.69223559442034</c:v>
                </c:pt>
                <c:pt idx="192">
                  <c:v>221.52536119891127</c:v>
                </c:pt>
                <c:pt idx="193">
                  <c:v>224.89056844582277</c:v>
                </c:pt>
                <c:pt idx="194">
                  <c:v>224.12778813652287</c:v>
                </c:pt>
                <c:pt idx="195">
                  <c:v>224.0041479295252</c:v>
                </c:pt>
                <c:pt idx="196">
                  <c:v>227.0223649180885</c:v>
                </c:pt>
                <c:pt idx="197">
                  <c:v>229.15416139035423</c:v>
                </c:pt>
                <c:pt idx="198">
                  <c:v>231.18724511671053</c:v>
                </c:pt>
                <c:pt idx="199">
                  <c:v>234.79375018695612</c:v>
                </c:pt>
                <c:pt idx="200">
                  <c:v>234.23338086169264</c:v>
                </c:pt>
                <c:pt idx="201">
                  <c:v>238.12804738211818</c:v>
                </c:pt>
                <c:pt idx="202">
                  <c:v>241.88112592356254</c:v>
                </c:pt>
                <c:pt idx="203">
                  <c:v>247.51473212950327</c:v>
                </c:pt>
                <c:pt idx="204">
                  <c:v>251.41936963436413</c:v>
                </c:pt>
                <c:pt idx="205">
                  <c:v>249.82600632160424</c:v>
                </c:pt>
                <c:pt idx="206">
                  <c:v>254.18930911048858</c:v>
                </c:pt>
                <c:pt idx="207">
                  <c:v>256.35899532360844</c:v>
                </c:pt>
                <c:pt idx="208">
                  <c:v>259.78303137868812</c:v>
                </c:pt>
                <c:pt idx="209">
                  <c:v>256.76381729168133</c:v>
                </c:pt>
                <c:pt idx="210">
                  <c:v>262.41237997427498</c:v>
                </c:pt>
                <c:pt idx="211">
                  <c:v>268.88654016811091</c:v>
                </c:pt>
                <c:pt idx="212">
                  <c:v>264.70171800061826</c:v>
                </c:pt>
                <c:pt idx="213">
                  <c:v>274.05649559781045</c:v>
                </c:pt>
                <c:pt idx="214">
                  <c:v>278.03591548593602</c:v>
                </c:pt>
                <c:pt idx="215">
                  <c:v>285.35262386455429</c:v>
                </c:pt>
                <c:pt idx="216">
                  <c:v>290.31418571955629</c:v>
                </c:pt>
                <c:pt idx="217">
                  <c:v>274.59692295420342</c:v>
                </c:pt>
                <c:pt idx="218">
                  <c:v>279.30522180454886</c:v>
                </c:pt>
                <c:pt idx="219">
                  <c:v>281.43901247370161</c:v>
                </c:pt>
                <c:pt idx="220">
                  <c:v>294.18292768044995</c:v>
                </c:pt>
                <c:pt idx="221">
                  <c:v>294.79215482944636</c:v>
                </c:pt>
                <c:pt idx="222">
                  <c:v>301.5135954372775</c:v>
                </c:pt>
                <c:pt idx="223">
                  <c:v>305.11810631063605</c:v>
                </c:pt>
                <c:pt idx="224">
                  <c:v>304.02528641652788</c:v>
                </c:pt>
                <c:pt idx="225">
                  <c:v>306.97869200626172</c:v>
                </c:pt>
                <c:pt idx="226">
                  <c:v>313.01811727871888</c:v>
                </c:pt>
                <c:pt idx="227">
                  <c:v>313.00714919584004</c:v>
                </c:pt>
                <c:pt idx="228">
                  <c:v>323.23438793112041</c:v>
                </c:pt>
                <c:pt idx="229">
                  <c:v>317.63468307225969</c:v>
                </c:pt>
                <c:pt idx="230">
                  <c:v>324.34615269565563</c:v>
                </c:pt>
                <c:pt idx="231">
                  <c:v>318.37353301891494</c:v>
                </c:pt>
                <c:pt idx="232">
                  <c:v>327.3952797359683</c:v>
                </c:pt>
                <c:pt idx="233">
                  <c:v>336.66231267012989</c:v>
                </c:pt>
                <c:pt idx="234">
                  <c:v>334.96026562702531</c:v>
                </c:pt>
                <c:pt idx="235">
                  <c:v>348.12495637694303</c:v>
                </c:pt>
                <c:pt idx="236">
                  <c:v>350.94973626746162</c:v>
                </c:pt>
                <c:pt idx="237">
                  <c:v>352.73853087515323</c:v>
                </c:pt>
                <c:pt idx="238">
                  <c:v>339.00948240619789</c:v>
                </c:pt>
                <c:pt idx="239">
                  <c:v>341.92898664885178</c:v>
                </c:pt>
                <c:pt idx="240">
                  <c:v>337.64744593233689</c:v>
                </c:pt>
                <c:pt idx="241">
                  <c:v>301.07287792523755</c:v>
                </c:pt>
                <c:pt idx="242">
                  <c:v>329.29275807400472</c:v>
                </c:pt>
                <c:pt idx="243">
                  <c:v>335.49271619587006</c:v>
                </c:pt>
                <c:pt idx="244">
                  <c:v>341.84622747803894</c:v>
                </c:pt>
                <c:pt idx="245">
                  <c:v>340.24787867306145</c:v>
                </c:pt>
                <c:pt idx="246">
                  <c:v>352.97584030471336</c:v>
                </c:pt>
                <c:pt idx="247">
                  <c:v>363.28384401391952</c:v>
                </c:pt>
                <c:pt idx="248">
                  <c:v>362.64171261628667</c:v>
                </c:pt>
                <c:pt idx="249">
                  <c:v>370.52078451705546</c:v>
                </c:pt>
                <c:pt idx="250">
                  <c:v>369.87466472564847</c:v>
                </c:pt>
                <c:pt idx="251">
                  <c:v>370.06311633147544</c:v>
                </c:pt>
                <c:pt idx="252">
                  <c:v>362.04744194394317</c:v>
                </c:pt>
                <c:pt idx="253">
                  <c:v>354.24215532799553</c:v>
                </c:pt>
                <c:pt idx="254">
                  <c:v>350.25974414453941</c:v>
                </c:pt>
                <c:pt idx="255">
                  <c:v>339.99262147151796</c:v>
                </c:pt>
                <c:pt idx="256">
                  <c:v>350.50901875542178</c:v>
                </c:pt>
                <c:pt idx="257">
                  <c:v>347.99533357928436</c:v>
                </c:pt>
                <c:pt idx="258">
                  <c:v>335.21851412389958</c:v>
                </c:pt>
                <c:pt idx="259">
                  <c:v>328.26674377561307</c:v>
                </c:pt>
                <c:pt idx="260">
                  <c:v>335.0250770258549</c:v>
                </c:pt>
                <c:pt idx="261">
                  <c:v>333.42772531932093</c:v>
                </c:pt>
                <c:pt idx="262">
                  <c:v>330.76746667198472</c:v>
                </c:pt>
                <c:pt idx="263">
                  <c:v>313.38205821060728</c:v>
                </c:pt>
                <c:pt idx="264">
                  <c:v>309.07359583611702</c:v>
                </c:pt>
                <c:pt idx="265">
                  <c:v>318.78234338076214</c:v>
                </c:pt>
                <c:pt idx="266">
                  <c:v>308.61393345365002</c:v>
                </c:pt>
                <c:pt idx="267">
                  <c:v>314.51875043623079</c:v>
                </c:pt>
                <c:pt idx="268">
                  <c:v>324.1158229552006</c:v>
                </c:pt>
                <c:pt idx="269">
                  <c:v>322.71489964204187</c:v>
                </c:pt>
                <c:pt idx="270">
                  <c:v>309.1314275458418</c:v>
                </c:pt>
                <c:pt idx="271">
                  <c:v>305.84798237129974</c:v>
                </c:pt>
                <c:pt idx="272">
                  <c:v>291.48677348914674</c:v>
                </c:pt>
                <c:pt idx="273">
                  <c:v>311.26422111655097</c:v>
                </c:pt>
                <c:pt idx="274">
                  <c:v>314.82685385528123</c:v>
                </c:pt>
                <c:pt idx="275">
                  <c:v>306.11121636039138</c:v>
                </c:pt>
                <c:pt idx="276">
                  <c:v>306.32858382108071</c:v>
                </c:pt>
                <c:pt idx="277">
                  <c:v>311.14357220488381</c:v>
                </c:pt>
                <c:pt idx="278">
                  <c:v>311.54340868073905</c:v>
                </c:pt>
                <c:pt idx="279">
                  <c:v>302.17766300066808</c:v>
                </c:pt>
                <c:pt idx="280">
                  <c:v>308.1682304493923</c:v>
                </c:pt>
                <c:pt idx="281">
                  <c:v>299.85342652880121</c:v>
                </c:pt>
                <c:pt idx="282">
                  <c:v>290.86558115882781</c:v>
                </c:pt>
                <c:pt idx="283">
                  <c:v>284.19698676850362</c:v>
                </c:pt>
                <c:pt idx="284">
                  <c:v>264.9051260830982</c:v>
                </c:pt>
                <c:pt idx="285">
                  <c:v>256.57237439052358</c:v>
                </c:pt>
                <c:pt idx="286">
                  <c:v>245.62423348057152</c:v>
                </c:pt>
                <c:pt idx="287">
                  <c:v>241.28286685744482</c:v>
                </c:pt>
                <c:pt idx="288">
                  <c:v>237.85783370392159</c:v>
                </c:pt>
                <c:pt idx="289">
                  <c:v>239.19294851980737</c:v>
                </c:pt>
                <c:pt idx="290">
                  <c:v>248.54772611699954</c:v>
                </c:pt>
                <c:pt idx="291">
                  <c:v>245.03395120200216</c:v>
                </c:pt>
                <c:pt idx="292">
                  <c:v>249.17190974264884</c:v>
                </c:pt>
                <c:pt idx="293">
                  <c:v>237.42609007787337</c:v>
                </c:pt>
                <c:pt idx="294">
                  <c:v>240.83018416408248</c:v>
                </c:pt>
                <c:pt idx="295">
                  <c:v>247.88964114427012</c:v>
                </c:pt>
                <c:pt idx="296">
                  <c:v>231.48238625599498</c:v>
                </c:pt>
                <c:pt idx="297">
                  <c:v>230.75151309688798</c:v>
                </c:pt>
                <c:pt idx="298">
                  <c:v>219.2410086647854</c:v>
                </c:pt>
                <c:pt idx="299">
                  <c:v>220.9001804748182</c:v>
                </c:pt>
                <c:pt idx="300">
                  <c:v>211.51748412120722</c:v>
                </c:pt>
                <c:pt idx="301">
                  <c:v>161.59475925058078</c:v>
                </c:pt>
                <c:pt idx="302">
                  <c:v>164.73163095392403</c:v>
                </c:pt>
                <c:pt idx="303">
                  <c:v>148.701279277303</c:v>
                </c:pt>
                <c:pt idx="304">
                  <c:v>152.92698248098031</c:v>
                </c:pt>
                <c:pt idx="305">
                  <c:v>157.76789542431521</c:v>
                </c:pt>
                <c:pt idx="306">
                  <c:v>146.54056695017496</c:v>
                </c:pt>
                <c:pt idx="307">
                  <c:v>134.66412738929711</c:v>
                </c:pt>
                <c:pt idx="308">
                  <c:v>149.40024528621706</c:v>
                </c:pt>
                <c:pt idx="309">
                  <c:v>138.83997567079794</c:v>
                </c:pt>
                <c:pt idx="310">
                  <c:v>153.62196009612023</c:v>
                </c:pt>
                <c:pt idx="311">
                  <c:v>162.67162556959241</c:v>
                </c:pt>
                <c:pt idx="312">
                  <c:v>160.9885233969149</c:v>
                </c:pt>
                <c:pt idx="313">
                  <c:v>169.41899073695538</c:v>
                </c:pt>
                <c:pt idx="314">
                  <c:v>166.70189747833797</c:v>
                </c:pt>
                <c:pt idx="315">
                  <c:v>152.30279885533093</c:v>
                </c:pt>
                <c:pt idx="316">
                  <c:v>138.452104376265</c:v>
                </c:pt>
                <c:pt idx="317">
                  <c:v>145.81567638172911</c:v>
                </c:pt>
                <c:pt idx="318">
                  <c:v>146.4278948260561</c:v>
                </c:pt>
                <c:pt idx="319">
                  <c:v>145.56341047551618</c:v>
                </c:pt>
                <c:pt idx="320">
                  <c:v>129.41340698567166</c:v>
                </c:pt>
                <c:pt idx="321">
                  <c:v>124.94939725399085</c:v>
                </c:pt>
                <c:pt idx="322">
                  <c:v>116.48004307465273</c:v>
                </c:pt>
                <c:pt idx="323">
                  <c:v>128.81215662422343</c:v>
                </c:pt>
                <c:pt idx="324">
                  <c:v>134.01102790878537</c:v>
                </c:pt>
                <c:pt idx="325">
                  <c:v>136.38811059815927</c:v>
                </c:pt>
                <c:pt idx="326">
                  <c:v>144.14154809504333</c:v>
                </c:pt>
                <c:pt idx="327">
                  <c:v>144.70291451875036</c:v>
                </c:pt>
                <c:pt idx="328">
                  <c:v>151.15613564527217</c:v>
                </c:pt>
                <c:pt idx="329">
                  <c:v>154.92616486025656</c:v>
                </c:pt>
                <c:pt idx="330">
                  <c:v>149.87386704689345</c:v>
                </c:pt>
                <c:pt idx="331">
                  <c:v>164.48235634304163</c:v>
                </c:pt>
                <c:pt idx="332">
                  <c:v>158.42897169237509</c:v>
                </c:pt>
                <c:pt idx="333">
                  <c:v>167.02794866937202</c:v>
                </c:pt>
                <c:pt idx="334">
                  <c:v>174.40847134837614</c:v>
                </c:pt>
                <c:pt idx="335">
                  <c:v>181.20668853635908</c:v>
                </c:pt>
                <c:pt idx="336">
                  <c:v>181.76805496006608</c:v>
                </c:pt>
                <c:pt idx="337">
                  <c:v>174.04253621960083</c:v>
                </c:pt>
                <c:pt idx="338">
                  <c:v>175.57009103508776</c:v>
                </c:pt>
                <c:pt idx="339">
                  <c:v>173.93684378458673</c:v>
                </c:pt>
                <c:pt idx="340">
                  <c:v>168.43286037630483</c:v>
                </c:pt>
                <c:pt idx="341">
                  <c:v>179.78881454966034</c:v>
                </c:pt>
                <c:pt idx="342">
                  <c:v>191.09989929305706</c:v>
                </c:pt>
                <c:pt idx="343">
                  <c:v>193.40120250072275</c:v>
                </c:pt>
                <c:pt idx="344">
                  <c:v>195.54695835119787</c:v>
                </c:pt>
                <c:pt idx="345">
                  <c:v>197.41352663748481</c:v>
                </c:pt>
                <c:pt idx="346">
                  <c:v>195.7234447757026</c:v>
                </c:pt>
                <c:pt idx="347">
                  <c:v>201.31218155168449</c:v>
                </c:pt>
                <c:pt idx="348">
                  <c:v>194.90881534733913</c:v>
                </c:pt>
                <c:pt idx="349">
                  <c:v>208.5411452672721</c:v>
                </c:pt>
                <c:pt idx="350">
                  <c:v>216.59670359254554</c:v>
                </c:pt>
                <c:pt idx="351">
                  <c:v>215.36728121167388</c:v>
                </c:pt>
                <c:pt idx="352">
                  <c:v>213.52464328803168</c:v>
                </c:pt>
                <c:pt idx="353">
                  <c:v>220.22015933633114</c:v>
                </c:pt>
                <c:pt idx="354">
                  <c:v>224.08092450967669</c:v>
                </c:pt>
                <c:pt idx="355">
                  <c:v>223.07086378638147</c:v>
                </c:pt>
                <c:pt idx="356">
                  <c:v>211.70693282547774</c:v>
                </c:pt>
                <c:pt idx="357">
                  <c:v>215.72125115912678</c:v>
                </c:pt>
                <c:pt idx="358">
                  <c:v>218.81026213718064</c:v>
                </c:pt>
                <c:pt idx="359">
                  <c:v>212.69306318612823</c:v>
                </c:pt>
                <c:pt idx="360">
                  <c:v>209.02274381549677</c:v>
                </c:pt>
                <c:pt idx="361">
                  <c:v>215.81298421593146</c:v>
                </c:pt>
                <c:pt idx="362">
                  <c:v>213.08093448066114</c:v>
                </c:pt>
                <c:pt idx="363">
                  <c:v>217.83509985940898</c:v>
                </c:pt>
                <c:pt idx="364">
                  <c:v>218.50315581657364</c:v>
                </c:pt>
                <c:pt idx="365">
                  <c:v>224.29829197036614</c:v>
                </c:pt>
                <c:pt idx="366">
                  <c:v>234.07484220917121</c:v>
                </c:pt>
                <c:pt idx="367">
                  <c:v>228.36146812774817</c:v>
                </c:pt>
                <c:pt idx="368">
                  <c:v>219.54412659161829</c:v>
                </c:pt>
                <c:pt idx="369">
                  <c:v>212.88849448106004</c:v>
                </c:pt>
                <c:pt idx="370">
                  <c:v>207.41143273075343</c:v>
                </c:pt>
                <c:pt idx="371">
                  <c:v>211.55537386206132</c:v>
                </c:pt>
                <c:pt idx="372">
                  <c:v>218.29775353720663</c:v>
                </c:pt>
                <c:pt idx="373">
                  <c:v>222.89836575565096</c:v>
                </c:pt>
                <c:pt idx="374">
                  <c:v>232.00187454507378</c:v>
                </c:pt>
                <c:pt idx="375">
                  <c:v>234.3620065609077</c:v>
                </c:pt>
                <c:pt idx="376">
                  <c:v>229.42836346232457</c:v>
                </c:pt>
                <c:pt idx="377">
                  <c:v>229.6806293685375</c:v>
                </c:pt>
                <c:pt idx="378">
                  <c:v>235.34315142934062</c:v>
                </c:pt>
                <c:pt idx="379">
                  <c:v>241.6727323488648</c:v>
                </c:pt>
                <c:pt idx="380">
                  <c:v>238.38230748521801</c:v>
                </c:pt>
                <c:pt idx="381">
                  <c:v>239.47213608399557</c:v>
                </c:pt>
                <c:pt idx="382">
                  <c:v>237.47594500004985</c:v>
                </c:pt>
                <c:pt idx="383">
                  <c:v>212.52255935228484</c:v>
                </c:pt>
                <c:pt idx="384">
                  <c:v>216.21780618400453</c:v>
                </c:pt>
                <c:pt idx="385">
                  <c:v>199.89430756498589</c:v>
                </c:pt>
                <c:pt idx="386">
                  <c:v>203.92757076906202</c:v>
                </c:pt>
                <c:pt idx="387">
                  <c:v>198.62500124637305</c:v>
                </c:pt>
                <c:pt idx="388">
                  <c:v>202.29731481389155</c:v>
                </c:pt>
                <c:pt idx="389">
                  <c:v>209.00080764973924</c:v>
                </c:pt>
                <c:pt idx="390">
                  <c:v>205.46908496275836</c:v>
                </c:pt>
                <c:pt idx="391">
                  <c:v>196.57596394492026</c:v>
                </c:pt>
                <c:pt idx="392">
                  <c:v>208.44342961980635</c:v>
                </c:pt>
                <c:pt idx="393">
                  <c:v>210.62408391580502</c:v>
                </c:pt>
                <c:pt idx="394">
                  <c:v>214.8497871194823</c:v>
                </c:pt>
                <c:pt idx="395">
                  <c:v>220.95701508609943</c:v>
                </c:pt>
                <c:pt idx="396">
                  <c:v>229.65669900589282</c:v>
                </c:pt>
                <c:pt idx="397">
                  <c:v>217.09425571586681</c:v>
                </c:pt>
                <c:pt idx="398">
                  <c:v>213.43789572344477</c:v>
                </c:pt>
                <c:pt idx="399">
                  <c:v>214.51077364868232</c:v>
                </c:pt>
                <c:pt idx="400">
                  <c:v>225.12688077693912</c:v>
                </c:pt>
                <c:pt idx="401">
                  <c:v>224.57648243611092</c:v>
                </c:pt>
                <c:pt idx="402">
                  <c:v>232.06469174701616</c:v>
                </c:pt>
                <c:pt idx="403">
                  <c:v>238.0293346362086</c:v>
                </c:pt>
                <c:pt idx="404">
                  <c:v>240.65369773957784</c:v>
                </c:pt>
                <c:pt idx="405">
                  <c:v>245.33008943973039</c:v>
                </c:pt>
                <c:pt idx="406">
                  <c:v>249.50693481967471</c:v>
                </c:pt>
                <c:pt idx="407">
                  <c:v>248.23762850106186</c:v>
                </c:pt>
                <c:pt idx="408">
                  <c:v>250.35945398889231</c:v>
                </c:pt>
                <c:pt idx="409">
                  <c:v>258.2504910709834</c:v>
                </c:pt>
                <c:pt idx="410">
                  <c:v>247.49080176685843</c:v>
                </c:pt>
                <c:pt idx="411">
                  <c:v>246.25539679532557</c:v>
                </c:pt>
                <c:pt idx="412">
                  <c:v>241.11535431893188</c:v>
                </c:pt>
                <c:pt idx="413">
                  <c:v>249.91075968930409</c:v>
                </c:pt>
                <c:pt idx="414">
                  <c:v>248.24061979639245</c:v>
                </c:pt>
                <c:pt idx="415">
                  <c:v>246.9274411462643</c:v>
                </c:pt>
                <c:pt idx="416">
                  <c:v>250.46115803013222</c:v>
                </c:pt>
                <c:pt idx="417">
                  <c:v>254.92815905714357</c:v>
                </c:pt>
                <c:pt idx="418">
                  <c:v>253.13537605567782</c:v>
                </c:pt>
                <c:pt idx="419">
                  <c:v>253.31385667706959</c:v>
                </c:pt>
                <c:pt idx="420">
                  <c:v>255.04581667348003</c:v>
                </c:pt>
                <c:pt idx="421">
                  <c:v>258.03412070873742</c:v>
                </c:pt>
                <c:pt idx="422">
                  <c:v>262.15512857584412</c:v>
                </c:pt>
                <c:pt idx="423">
                  <c:v>260.57373044440664</c:v>
                </c:pt>
                <c:pt idx="424">
                  <c:v>262.98172318552992</c:v>
                </c:pt>
                <c:pt idx="425">
                  <c:v>257.72801148657391</c:v>
                </c:pt>
                <c:pt idx="426">
                  <c:v>264.65884276754622</c:v>
                </c:pt>
                <c:pt idx="427">
                  <c:v>258.63337687329852</c:v>
                </c:pt>
                <c:pt idx="428">
                  <c:v>252.90305211833544</c:v>
                </c:pt>
                <c:pt idx="429">
                  <c:v>259.61252754484428</c:v>
                </c:pt>
                <c:pt idx="430">
                  <c:v>267.66509457478713</c:v>
                </c:pt>
                <c:pt idx="431">
                  <c:v>266.24422929275784</c:v>
                </c:pt>
                <c:pt idx="432">
                  <c:v>265.17533976129437</c:v>
                </c:pt>
                <c:pt idx="433">
                  <c:v>273.33160502936425</c:v>
                </c:pt>
                <c:pt idx="434">
                  <c:v>276.86133351945807</c:v>
                </c:pt>
                <c:pt idx="435">
                  <c:v>272.57181601539492</c:v>
                </c:pt>
                <c:pt idx="436">
                  <c:v>269.37711260232697</c:v>
                </c:pt>
                <c:pt idx="437">
                  <c:v>268.68811757784817</c:v>
                </c:pt>
                <c:pt idx="438">
                  <c:v>272.82807031538192</c:v>
                </c:pt>
                <c:pt idx="439">
                  <c:v>274.6009113479771</c:v>
                </c:pt>
                <c:pt idx="440">
                  <c:v>271.06918866099619</c:v>
                </c:pt>
                <c:pt idx="441">
                  <c:v>271.73126202749961</c:v>
                </c:pt>
                <c:pt idx="442">
                  <c:v>269.74005643577158</c:v>
                </c:pt>
                <c:pt idx="443">
                  <c:v>279.96031548194725</c:v>
                </c:pt>
                <c:pt idx="444">
                  <c:v>280.4409169317284</c:v>
                </c:pt>
                <c:pt idx="445">
                  <c:v>279.04198781545671</c:v>
                </c:pt>
                <c:pt idx="446">
                  <c:v>284.02847713154694</c:v>
                </c:pt>
                <c:pt idx="447">
                  <c:v>282.50790200516468</c:v>
                </c:pt>
                <c:pt idx="448">
                  <c:v>259.2605517942784</c:v>
                </c:pt>
                <c:pt idx="449">
                  <c:v>256.40785314734097</c:v>
                </c:pt>
                <c:pt idx="450">
                  <c:v>248.29346601389929</c:v>
                </c:pt>
                <c:pt idx="451">
                  <c:v>255.74378558395046</c:v>
                </c:pt>
                <c:pt idx="452">
                  <c:v>266.03583571806018</c:v>
                </c:pt>
                <c:pt idx="453">
                  <c:v>257.54953086518208</c:v>
                </c:pt>
                <c:pt idx="454">
                  <c:v>255.60219760496935</c:v>
                </c:pt>
                <c:pt idx="455">
                  <c:v>235.23945319121339</c:v>
                </c:pt>
                <c:pt idx="456">
                  <c:v>239.79021048748129</c:v>
                </c:pt>
                <c:pt idx="457">
                  <c:v>245.27325482844907</c:v>
                </c:pt>
                <c:pt idx="458">
                  <c:v>256.78176506366464</c:v>
                </c:pt>
                <c:pt idx="459">
                  <c:v>255.16746268359066</c:v>
                </c:pt>
                <c:pt idx="460">
                  <c:v>265.20525271460042</c:v>
                </c:pt>
                <c:pt idx="461">
                  <c:v>254.95308651823183</c:v>
                </c:pt>
                <c:pt idx="462">
                  <c:v>253.88319988832487</c:v>
                </c:pt>
                <c:pt idx="463">
                  <c:v>244.85547058061033</c:v>
                </c:pt>
                <c:pt idx="464">
                  <c:v>230.59995413347153</c:v>
                </c:pt>
                <c:pt idx="465">
                  <c:v>250.06530994805109</c:v>
                </c:pt>
                <c:pt idx="466">
                  <c:v>247.13683181940547</c:v>
                </c:pt>
                <c:pt idx="467">
                  <c:v>241.00268219481305</c:v>
                </c:pt>
                <c:pt idx="468">
                  <c:v>241.74452343679889</c:v>
                </c:pt>
                <c:pt idx="469">
                  <c:v>242.51627763209055</c:v>
                </c:pt>
                <c:pt idx="470">
                  <c:v>242.61798167333055</c:v>
                </c:pt>
                <c:pt idx="471">
                  <c:v>247.03911617193961</c:v>
                </c:pt>
                <c:pt idx="472">
                  <c:v>256.22239283684473</c:v>
                </c:pt>
                <c:pt idx="473">
                  <c:v>263.10536339252769</c:v>
                </c:pt>
                <c:pt idx="474">
                  <c:v>265.25610473522045</c:v>
                </c:pt>
                <c:pt idx="475">
                  <c:v>263.26789043882297</c:v>
                </c:pt>
                <c:pt idx="476">
                  <c:v>265.2660757196557</c:v>
                </c:pt>
                <c:pt idx="477">
                  <c:v>270.3153822376882</c:v>
                </c:pt>
                <c:pt idx="478">
                  <c:v>266.30604939625675</c:v>
                </c:pt>
                <c:pt idx="479">
                  <c:v>266.41074473282737</c:v>
                </c:pt>
                <c:pt idx="480">
                  <c:v>272.65357808776446</c:v>
                </c:pt>
                <c:pt idx="481">
                  <c:v>270.9315890757893</c:v>
                </c:pt>
                <c:pt idx="482">
                  <c:v>274.21204295500081</c:v>
                </c:pt>
                <c:pt idx="483">
                  <c:v>271.66944192400103</c:v>
                </c:pt>
                <c:pt idx="484">
                  <c:v>274.14224606395379</c:v>
                </c:pt>
                <c:pt idx="485">
                  <c:v>278.22835548553695</c:v>
                </c:pt>
                <c:pt idx="486">
                  <c:v>283.81410096618822</c:v>
                </c:pt>
                <c:pt idx="487">
                  <c:v>278.06582843924161</c:v>
                </c:pt>
                <c:pt idx="488">
                  <c:v>270.97745560419162</c:v>
                </c:pt>
                <c:pt idx="489">
                  <c:v>254.67689024937414</c:v>
                </c:pt>
                <c:pt idx="490">
                  <c:v>252.70064113429902</c:v>
                </c:pt>
                <c:pt idx="491">
                  <c:v>251.56494600711909</c:v>
                </c:pt>
                <c:pt idx="492">
                  <c:v>255.51046454816466</c:v>
                </c:pt>
                <c:pt idx="493">
                  <c:v>257.48771076168327</c:v>
                </c:pt>
                <c:pt idx="494">
                  <c:v>259.72320547207602</c:v>
                </c:pt>
                <c:pt idx="495">
                  <c:v>268.1466931230118</c:v>
                </c:pt>
                <c:pt idx="496">
                  <c:v>266.50247778963194</c:v>
                </c:pt>
                <c:pt idx="497">
                  <c:v>272.49404233679968</c:v>
                </c:pt>
                <c:pt idx="498">
                  <c:v>279.25636398081559</c:v>
                </c:pt>
                <c:pt idx="499">
                  <c:v>285.72454158399034</c:v>
                </c:pt>
                <c:pt idx="500">
                  <c:v>287.22318054461499</c:v>
                </c:pt>
                <c:pt idx="501">
                  <c:v>284.23886490313168</c:v>
                </c:pt>
                <c:pt idx="502">
                  <c:v>286.11141578007977</c:v>
                </c:pt>
                <c:pt idx="503">
                  <c:v>294.96066446640253</c:v>
                </c:pt>
                <c:pt idx="504">
                  <c:v>293.07216001435796</c:v>
                </c:pt>
                <c:pt idx="505">
                  <c:v>295.70150860994477</c:v>
                </c:pt>
                <c:pt idx="506">
                  <c:v>301.76087585127254</c:v>
                </c:pt>
                <c:pt idx="507">
                  <c:v>299.17639668564453</c:v>
                </c:pt>
                <c:pt idx="508">
                  <c:v>297.32578197445412</c:v>
                </c:pt>
                <c:pt idx="509">
                  <c:v>299.36285409458458</c:v>
                </c:pt>
                <c:pt idx="510">
                  <c:v>295.94779192549663</c:v>
                </c:pt>
                <c:pt idx="511">
                  <c:v>303.87671874844182</c:v>
                </c:pt>
                <c:pt idx="512">
                  <c:v>302.4618360570737</c:v>
                </c:pt>
                <c:pt idx="513">
                  <c:v>302.44687958042073</c:v>
                </c:pt>
                <c:pt idx="514">
                  <c:v>303.34327108115366</c:v>
                </c:pt>
                <c:pt idx="515">
                  <c:v>297.28390383982588</c:v>
                </c:pt>
                <c:pt idx="516">
                  <c:v>306.49210796581929</c:v>
                </c:pt>
                <c:pt idx="517">
                  <c:v>311.31806443250122</c:v>
                </c:pt>
                <c:pt idx="518">
                  <c:v>317.11220348785019</c:v>
                </c:pt>
                <c:pt idx="519">
                  <c:v>320.45746876589106</c:v>
                </c:pt>
                <c:pt idx="520">
                  <c:v>317.3395419329749</c:v>
                </c:pt>
                <c:pt idx="521">
                  <c:v>316.86392597541141</c:v>
                </c:pt>
                <c:pt idx="522">
                  <c:v>322.51647705177919</c:v>
                </c:pt>
                <c:pt idx="523">
                  <c:v>321.37180803860753</c:v>
                </c:pt>
                <c:pt idx="524">
                  <c:v>321.97505259694276</c:v>
                </c:pt>
                <c:pt idx="525">
                  <c:v>328.88693900748808</c:v>
                </c:pt>
                <c:pt idx="526">
                  <c:v>334.11971163913</c:v>
                </c:pt>
                <c:pt idx="527">
                  <c:v>329.37152885104337</c:v>
                </c:pt>
                <c:pt idx="528">
                  <c:v>329.37452014637392</c:v>
                </c:pt>
                <c:pt idx="529">
                  <c:v>330.25994356422797</c:v>
                </c:pt>
                <c:pt idx="530">
                  <c:v>330.75051599844443</c:v>
                </c:pt>
                <c:pt idx="531">
                  <c:v>333.15352324735005</c:v>
                </c:pt>
                <c:pt idx="532">
                  <c:v>328.38340429350575</c:v>
                </c:pt>
                <c:pt idx="533">
                  <c:v>329.95782273583853</c:v>
                </c:pt>
                <c:pt idx="534">
                  <c:v>335.05299578227346</c:v>
                </c:pt>
                <c:pt idx="535">
                  <c:v>338.76020779531552</c:v>
                </c:pt>
                <c:pt idx="536">
                  <c:v>343.35782871842929</c:v>
                </c:pt>
                <c:pt idx="537">
                  <c:v>335.99026831919105</c:v>
                </c:pt>
                <c:pt idx="538">
                  <c:v>335.50767267252286</c:v>
                </c:pt>
                <c:pt idx="539">
                  <c:v>343.52035576472451</c:v>
                </c:pt>
                <c:pt idx="540">
                  <c:v>341.34668115783057</c:v>
                </c:pt>
                <c:pt idx="541">
                  <c:v>336.28939785224981</c:v>
                </c:pt>
                <c:pt idx="542">
                  <c:v>335.88756717950753</c:v>
                </c:pt>
                <c:pt idx="543">
                  <c:v>332.47848760108076</c:v>
                </c:pt>
                <c:pt idx="544">
                  <c:v>328.15706294682462</c:v>
                </c:pt>
                <c:pt idx="545">
                  <c:v>329.25885672692459</c:v>
                </c:pt>
                <c:pt idx="546">
                  <c:v>317.03542690769854</c:v>
                </c:pt>
                <c:pt idx="547">
                  <c:v>329.66467579344101</c:v>
                </c:pt>
                <c:pt idx="548">
                  <c:v>326.69332243172363</c:v>
                </c:pt>
                <c:pt idx="549">
                  <c:v>339.05136054082612</c:v>
                </c:pt>
                <c:pt idx="550">
                  <c:v>346.51165109531252</c:v>
                </c:pt>
                <c:pt idx="551">
                  <c:v>352.87912175569085</c:v>
                </c:pt>
                <c:pt idx="552">
                  <c:v>357.81077065738691</c:v>
                </c:pt>
                <c:pt idx="553">
                  <c:v>363.68966308043582</c:v>
                </c:pt>
                <c:pt idx="554">
                  <c:v>362.65966038827003</c:v>
                </c:pt>
                <c:pt idx="555">
                  <c:v>355.73281750107179</c:v>
                </c:pt>
                <c:pt idx="556">
                  <c:v>342.0935078920341</c:v>
                </c:pt>
                <c:pt idx="557">
                  <c:v>348.90668155666998</c:v>
                </c:pt>
                <c:pt idx="558">
                  <c:v>359.45000049854917</c:v>
                </c:pt>
                <c:pt idx="559">
                  <c:v>372.12611301113759</c:v>
                </c:pt>
                <c:pt idx="560">
                  <c:v>372.05631612009051</c:v>
                </c:pt>
                <c:pt idx="561">
                  <c:v>377.00391859688307</c:v>
                </c:pt>
                <c:pt idx="562">
                  <c:v>384.03146842687772</c:v>
                </c:pt>
                <c:pt idx="563">
                  <c:v>391.00617203936537</c:v>
                </c:pt>
                <c:pt idx="564">
                  <c:v>395.00154550258736</c:v>
                </c:pt>
                <c:pt idx="565">
                  <c:v>387.79052955898322</c:v>
                </c:pt>
                <c:pt idx="566">
                  <c:v>378.86350719406511</c:v>
                </c:pt>
                <c:pt idx="567">
                  <c:v>388.547327277622</c:v>
                </c:pt>
                <c:pt idx="568">
                  <c:v>380.93846905504961</c:v>
                </c:pt>
                <c:pt idx="569">
                  <c:v>391.5625529708546</c:v>
                </c:pt>
                <c:pt idx="570">
                  <c:v>392.59056146613329</c:v>
                </c:pt>
                <c:pt idx="571">
                  <c:v>388.38878862510074</c:v>
                </c:pt>
                <c:pt idx="572">
                  <c:v>389.87546240440298</c:v>
                </c:pt>
                <c:pt idx="573">
                  <c:v>391.14975421523343</c:v>
                </c:pt>
                <c:pt idx="574">
                  <c:v>385.6018984754362</c:v>
                </c:pt>
                <c:pt idx="575">
                  <c:v>387.46846676172311</c:v>
                </c:pt>
                <c:pt idx="576">
                  <c:v>384.99665972021387</c:v>
                </c:pt>
                <c:pt idx="577">
                  <c:v>386.17124168669136</c:v>
                </c:pt>
                <c:pt idx="578">
                  <c:v>383.95768314205628</c:v>
                </c:pt>
                <c:pt idx="579">
                  <c:v>387.26306448235601</c:v>
                </c:pt>
                <c:pt idx="580">
                  <c:v>393.0223050921814</c:v>
                </c:pt>
                <c:pt idx="581">
                  <c:v>392.7760217766297</c:v>
                </c:pt>
                <c:pt idx="582">
                  <c:v>405.21582195810157</c:v>
                </c:pt>
                <c:pt idx="583">
                  <c:v>413.62535023082791</c:v>
                </c:pt>
                <c:pt idx="584">
                  <c:v>411.11266215313401</c:v>
                </c:pt>
                <c:pt idx="585">
                  <c:v>414.91160722298065</c:v>
                </c:pt>
                <c:pt idx="586">
                  <c:v>420.42456451725434</c:v>
                </c:pt>
                <c:pt idx="587">
                  <c:v>425.03813901546459</c:v>
                </c:pt>
                <c:pt idx="588">
                  <c:v>419.41151249862855</c:v>
                </c:pt>
                <c:pt idx="589">
                  <c:v>418.02554566212279</c:v>
                </c:pt>
                <c:pt idx="590">
                  <c:v>419.8990936375144</c:v>
                </c:pt>
                <c:pt idx="591">
                  <c:v>425.75405569791866</c:v>
                </c:pt>
                <c:pt idx="592">
                  <c:v>427.71235704101019</c:v>
                </c:pt>
                <c:pt idx="593">
                  <c:v>425.54267082789045</c:v>
                </c:pt>
                <c:pt idx="594">
                  <c:v>426.25459911657032</c:v>
                </c:pt>
                <c:pt idx="595">
                  <c:v>431.22912325133814</c:v>
                </c:pt>
                <c:pt idx="596">
                  <c:v>436.77299059736117</c:v>
                </c:pt>
                <c:pt idx="597">
                  <c:v>434.35702106868968</c:v>
                </c:pt>
                <c:pt idx="598">
                  <c:v>436.92554665922125</c:v>
                </c:pt>
                <c:pt idx="599">
                  <c:v>434.18950853017674</c:v>
                </c:pt>
                <c:pt idx="600">
                  <c:v>440.21597152286802</c:v>
                </c:pt>
                <c:pt idx="601">
                  <c:v>434.22041858192614</c:v>
                </c:pt>
                <c:pt idx="602">
                  <c:v>440.3505798127444</c:v>
                </c:pt>
                <c:pt idx="603">
                  <c:v>442.0915136951466</c:v>
                </c:pt>
                <c:pt idx="604">
                  <c:v>437.5437476942094</c:v>
                </c:pt>
                <c:pt idx="605">
                  <c:v>426.82593652471269</c:v>
                </c:pt>
                <c:pt idx="606">
                  <c:v>438.73428323578344</c:v>
                </c:pt>
                <c:pt idx="607">
                  <c:v>443.61009462464187</c:v>
                </c:pt>
                <c:pt idx="608">
                  <c:v>447.61743326918617</c:v>
                </c:pt>
                <c:pt idx="609">
                  <c:v>461.56684049416157</c:v>
                </c:pt>
                <c:pt idx="610">
                  <c:v>448.87477440647677</c:v>
                </c:pt>
                <c:pt idx="611">
                  <c:v>438.07619826305415</c:v>
                </c:pt>
                <c:pt idx="612">
                  <c:v>430.14428014477829</c:v>
                </c:pt>
                <c:pt idx="613">
                  <c:v>426.54076636986326</c:v>
                </c:pt>
                <c:pt idx="614">
                  <c:v>413.46581447986313</c:v>
                </c:pt>
                <c:pt idx="615">
                  <c:v>413.85567997128317</c:v>
                </c:pt>
                <c:pt idx="616">
                  <c:v>423.15262585875064</c:v>
                </c:pt>
                <c:pt idx="617">
                  <c:v>430.49127040312641</c:v>
                </c:pt>
                <c:pt idx="618">
                  <c:v>430.88013879610287</c:v>
                </c:pt>
                <c:pt idx="619">
                  <c:v>435.56749857913422</c:v>
                </c:pt>
                <c:pt idx="620">
                  <c:v>437.33335992262471</c:v>
                </c:pt>
                <c:pt idx="621">
                  <c:v>435.44684966746718</c:v>
                </c:pt>
                <c:pt idx="622">
                  <c:v>437.16485028566819</c:v>
                </c:pt>
                <c:pt idx="623">
                  <c:v>433.00794687459444</c:v>
                </c:pt>
                <c:pt idx="624">
                  <c:v>437.8069816833011</c:v>
                </c:pt>
                <c:pt idx="625">
                  <c:v>444.88737773080283</c:v>
                </c:pt>
                <c:pt idx="626">
                  <c:v>434.17754334885433</c:v>
                </c:pt>
                <c:pt idx="627">
                  <c:v>445.07981773040405</c:v>
                </c:pt>
                <c:pt idx="628">
                  <c:v>459.11098702774876</c:v>
                </c:pt>
                <c:pt idx="629">
                  <c:v>458.13781894686412</c:v>
                </c:pt>
                <c:pt idx="630">
                  <c:v>450.17399367839539</c:v>
                </c:pt>
                <c:pt idx="631">
                  <c:v>453.34277253193153</c:v>
                </c:pt>
                <c:pt idx="632">
                  <c:v>455.91628361468082</c:v>
                </c:pt>
                <c:pt idx="633">
                  <c:v>456.92933563330666</c:v>
                </c:pt>
                <c:pt idx="634">
                  <c:v>464.81638432162356</c:v>
                </c:pt>
                <c:pt idx="635">
                  <c:v>453.29192051131156</c:v>
                </c:pt>
                <c:pt idx="636">
                  <c:v>456.00901376992897</c:v>
                </c:pt>
                <c:pt idx="637">
                  <c:v>479.49666470570583</c:v>
                </c:pt>
                <c:pt idx="638">
                  <c:v>486.82932665942053</c:v>
                </c:pt>
                <c:pt idx="639">
                  <c:v>493.80702156723873</c:v>
                </c:pt>
                <c:pt idx="640">
                  <c:v>500.74882093108999</c:v>
                </c:pt>
                <c:pt idx="641">
                  <c:v>492.42304892762007</c:v>
                </c:pt>
                <c:pt idx="642">
                  <c:v>506.69551604829883</c:v>
                </c:pt>
                <c:pt idx="643">
                  <c:v>493.31345783769166</c:v>
                </c:pt>
                <c:pt idx="644">
                  <c:v>496.22997078501498</c:v>
                </c:pt>
                <c:pt idx="645">
                  <c:v>506.81616495996582</c:v>
                </c:pt>
                <c:pt idx="646">
                  <c:v>510.48349303526669</c:v>
                </c:pt>
                <c:pt idx="647">
                  <c:v>505.26069138806014</c:v>
                </c:pt>
                <c:pt idx="648">
                  <c:v>492.48088063734468</c:v>
                </c:pt>
                <c:pt idx="649">
                  <c:v>496.20604042237017</c:v>
                </c:pt>
                <c:pt idx="650">
                  <c:v>488.26514841810257</c:v>
                </c:pt>
                <c:pt idx="651">
                  <c:v>485.26487920152294</c:v>
                </c:pt>
                <c:pt idx="652">
                  <c:v>485.02956396884997</c:v>
                </c:pt>
                <c:pt idx="653">
                  <c:v>483.93076148408068</c:v>
                </c:pt>
                <c:pt idx="654">
                  <c:v>494.10315980496682</c:v>
                </c:pt>
                <c:pt idx="655">
                  <c:v>496.36457907489137</c:v>
                </c:pt>
                <c:pt idx="656">
                  <c:v>500.86847274431335</c:v>
                </c:pt>
                <c:pt idx="657">
                  <c:v>503.489844552352</c:v>
                </c:pt>
                <c:pt idx="658">
                  <c:v>504.64647874684596</c:v>
                </c:pt>
                <c:pt idx="659">
                  <c:v>485.87310925207578</c:v>
                </c:pt>
                <c:pt idx="660">
                  <c:v>486.9310307006603</c:v>
                </c:pt>
                <c:pt idx="661">
                  <c:v>467.1924699125538</c:v>
                </c:pt>
                <c:pt idx="662">
                  <c:v>476.10453580081884</c:v>
                </c:pt>
                <c:pt idx="663">
                  <c:v>486.58703173764263</c:v>
                </c:pt>
                <c:pt idx="664">
                  <c:v>475.44744792653302</c:v>
                </c:pt>
                <c:pt idx="665">
                  <c:v>484.21593163892987</c:v>
                </c:pt>
                <c:pt idx="666">
                  <c:v>500.88542341785325</c:v>
                </c:pt>
                <c:pt idx="667">
                  <c:v>516.25469882641426</c:v>
                </c:pt>
                <c:pt idx="668">
                  <c:v>516.06923851591785</c:v>
                </c:pt>
                <c:pt idx="669">
                  <c:v>516.32050732368714</c:v>
                </c:pt>
                <c:pt idx="670">
                  <c:v>510.78760806054294</c:v>
                </c:pt>
                <c:pt idx="671">
                  <c:v>502.96138237728127</c:v>
                </c:pt>
                <c:pt idx="672">
                  <c:v>515.33836535681075</c:v>
                </c:pt>
                <c:pt idx="673">
                  <c:v>502.38107108314716</c:v>
                </c:pt>
                <c:pt idx="674">
                  <c:v>503.58756019981763</c:v>
                </c:pt>
                <c:pt idx="675">
                  <c:v>496.22897368657118</c:v>
                </c:pt>
                <c:pt idx="676">
                  <c:v>504.40218962818108</c:v>
                </c:pt>
                <c:pt idx="677">
                  <c:v>503.8298551215953</c:v>
                </c:pt>
                <c:pt idx="678">
                  <c:v>504.46301263323647</c:v>
                </c:pt>
                <c:pt idx="679">
                  <c:v>477.03383155018815</c:v>
                </c:pt>
                <c:pt idx="680">
                  <c:v>459.99042785494134</c:v>
                </c:pt>
                <c:pt idx="681">
                  <c:v>469.19364648871704</c:v>
                </c:pt>
                <c:pt idx="682">
                  <c:v>479.8994924768914</c:v>
                </c:pt>
                <c:pt idx="683">
                  <c:v>476.51833165488347</c:v>
                </c:pt>
                <c:pt idx="684">
                  <c:v>462.41636836804815</c:v>
                </c:pt>
                <c:pt idx="685">
                  <c:v>489.26922655073651</c:v>
                </c:pt>
                <c:pt idx="686">
                  <c:v>488.27910779631185</c:v>
                </c:pt>
                <c:pt idx="687">
                  <c:v>501.4946505668496</c:v>
                </c:pt>
                <c:pt idx="688">
                  <c:v>515.61157033033783</c:v>
                </c:pt>
                <c:pt idx="689">
                  <c:v>528.61871952617798</c:v>
                </c:pt>
                <c:pt idx="690">
                  <c:v>523.74290813731966</c:v>
                </c:pt>
                <c:pt idx="691">
                  <c:v>529.00958211604154</c:v>
                </c:pt>
                <c:pt idx="692">
                  <c:v>541.90904467998041</c:v>
                </c:pt>
                <c:pt idx="693">
                  <c:v>546.53259016262587</c:v>
                </c:pt>
                <c:pt idx="694">
                  <c:v>537.99742748601489</c:v>
                </c:pt>
                <c:pt idx="695">
                  <c:v>556.19646827731219</c:v>
                </c:pt>
                <c:pt idx="696">
                  <c:v>548.60755202361054</c:v>
                </c:pt>
                <c:pt idx="697">
                  <c:v>545.90042974942844</c:v>
                </c:pt>
                <c:pt idx="698">
                  <c:v>543.4665124487733</c:v>
                </c:pt>
                <c:pt idx="699">
                  <c:v>544.46061959697204</c:v>
                </c:pt>
                <c:pt idx="700">
                  <c:v>543.62405400285104</c:v>
                </c:pt>
                <c:pt idx="701">
                  <c:v>542.64191203597454</c:v>
                </c:pt>
                <c:pt idx="702">
                  <c:v>533.07574956875419</c:v>
                </c:pt>
                <c:pt idx="703">
                  <c:v>521.40570938568681</c:v>
                </c:pt>
                <c:pt idx="704">
                  <c:v>544.1933972141062</c:v>
                </c:pt>
                <c:pt idx="705">
                  <c:v>549.71333419748453</c:v>
                </c:pt>
                <c:pt idx="706">
                  <c:v>553.62893978522413</c:v>
                </c:pt>
                <c:pt idx="707">
                  <c:v>565.28900898385621</c:v>
                </c:pt>
                <c:pt idx="708">
                  <c:v>579.07987755631029</c:v>
                </c:pt>
                <c:pt idx="709">
                  <c:v>567.76480441913952</c:v>
                </c:pt>
                <c:pt idx="710">
                  <c:v>578.56138636567505</c:v>
                </c:pt>
                <c:pt idx="711">
                  <c:v>581.27050283674419</c:v>
                </c:pt>
                <c:pt idx="712">
                  <c:v>574.08042596045425</c:v>
                </c:pt>
                <c:pt idx="713">
                  <c:v>573.34556440757319</c:v>
                </c:pt>
                <c:pt idx="714">
                  <c:v>569.10590182568637</c:v>
                </c:pt>
                <c:pt idx="715">
                  <c:v>545.6770796980777</c:v>
                </c:pt>
                <c:pt idx="716">
                  <c:v>560.73825168758822</c:v>
                </c:pt>
                <c:pt idx="717">
                  <c:v>564.50628670568551</c:v>
                </c:pt>
                <c:pt idx="718">
                  <c:v>545.27425192689179</c:v>
                </c:pt>
                <c:pt idx="719">
                  <c:v>545.8595487132435</c:v>
                </c:pt>
                <c:pt idx="720">
                  <c:v>558.02215552741427</c:v>
                </c:pt>
                <c:pt idx="721">
                  <c:v>549.14399098622914</c:v>
                </c:pt>
                <c:pt idx="722">
                  <c:v>539.79818727502868</c:v>
                </c:pt>
                <c:pt idx="723">
                  <c:v>506.58184682573625</c:v>
                </c:pt>
                <c:pt idx="724">
                  <c:v>508.94197884157012</c:v>
                </c:pt>
                <c:pt idx="725">
                  <c:v>515.17284701518497</c:v>
                </c:pt>
                <c:pt idx="726">
                  <c:v>506.43427625609394</c:v>
                </c:pt>
                <c:pt idx="727">
                  <c:v>518.3575794438176</c:v>
                </c:pt>
                <c:pt idx="728">
                  <c:v>521.08763498220083</c:v>
                </c:pt>
                <c:pt idx="729">
                  <c:v>516.40127229761299</c:v>
                </c:pt>
                <c:pt idx="730">
                  <c:v>514.51177074712496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64-4F22-B652-045BE8BA3F5D}"/>
            </c:ext>
          </c:extLst>
        </c:ser>
        <c:ser>
          <c:idx val="8"/>
          <c:order val="2"/>
          <c:tx>
            <c:strRef>
              <c:f>Index!$X$1</c:f>
              <c:strCache>
                <c:ptCount val="1"/>
                <c:pt idx="0">
                  <c:v>Water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Index!$X$2:$X$732</c:f>
              <c:numCache>
                <c:formatCode>General</c:formatCode>
                <c:ptCount val="731"/>
                <c:pt idx="0">
                  <c:v>100</c:v>
                </c:pt>
                <c:pt idx="1">
                  <c:v>100.34954820642483</c:v>
                </c:pt>
                <c:pt idx="2">
                  <c:v>102.09426720794592</c:v>
                </c:pt>
                <c:pt idx="3">
                  <c:v>99.69074553494977</c:v>
                </c:pt>
                <c:pt idx="4">
                  <c:v>98.91609835702269</c:v>
                </c:pt>
                <c:pt idx="5">
                  <c:v>98.874797272113696</c:v>
                </c:pt>
                <c:pt idx="6">
                  <c:v>102.31588278550635</c:v>
                </c:pt>
                <c:pt idx="7">
                  <c:v>101.49288311792969</c:v>
                </c:pt>
                <c:pt idx="8">
                  <c:v>99.56382024961971</c:v>
                </c:pt>
                <c:pt idx="9">
                  <c:v>98.891922112197918</c:v>
                </c:pt>
                <c:pt idx="10">
                  <c:v>99.384513100502673</c:v>
                </c:pt>
                <c:pt idx="11">
                  <c:v>101.88876912693537</c:v>
                </c:pt>
                <c:pt idx="12">
                  <c:v>101.94719505192856</c:v>
                </c:pt>
                <c:pt idx="13">
                  <c:v>104.34668735078722</c:v>
                </c:pt>
                <c:pt idx="14">
                  <c:v>104.07470459650855</c:v>
                </c:pt>
                <c:pt idx="15">
                  <c:v>104.36079016026835</c:v>
                </c:pt>
                <c:pt idx="16">
                  <c:v>103.06333168800556</c:v>
                </c:pt>
                <c:pt idx="17">
                  <c:v>103.31113819745947</c:v>
                </c:pt>
                <c:pt idx="18">
                  <c:v>102.92028890612566</c:v>
                </c:pt>
                <c:pt idx="19">
                  <c:v>106.2001994540198</c:v>
                </c:pt>
                <c:pt idx="20">
                  <c:v>106.52960078975732</c:v>
                </c:pt>
                <c:pt idx="21">
                  <c:v>107.44527606249558</c:v>
                </c:pt>
                <c:pt idx="22">
                  <c:v>108.27935650895026</c:v>
                </c:pt>
                <c:pt idx="23">
                  <c:v>109.28670004331579</c:v>
                </c:pt>
                <c:pt idx="24">
                  <c:v>109.95053943246265</c:v>
                </c:pt>
                <c:pt idx="25">
                  <c:v>106.61925436431586</c:v>
                </c:pt>
                <c:pt idx="26">
                  <c:v>105.99772340361233</c:v>
                </c:pt>
                <c:pt idx="27">
                  <c:v>104.6922061830746</c:v>
                </c:pt>
                <c:pt idx="28">
                  <c:v>100.63462642665027</c:v>
                </c:pt>
                <c:pt idx="29">
                  <c:v>102.56167460789152</c:v>
                </c:pt>
                <c:pt idx="30">
                  <c:v>99.502372294023417</c:v>
                </c:pt>
                <c:pt idx="31">
                  <c:v>98.201891791157536</c:v>
                </c:pt>
                <c:pt idx="32">
                  <c:v>97.259018242991402</c:v>
                </c:pt>
                <c:pt idx="33">
                  <c:v>95.012642161356283</c:v>
                </c:pt>
                <c:pt idx="34">
                  <c:v>94.762820964833637</c:v>
                </c:pt>
                <c:pt idx="35">
                  <c:v>95.391403330277726</c:v>
                </c:pt>
                <c:pt idx="36">
                  <c:v>97.132092957661342</c:v>
                </c:pt>
                <c:pt idx="37">
                  <c:v>99.220316104401064</c:v>
                </c:pt>
                <c:pt idx="38">
                  <c:v>100.6164942430317</c:v>
                </c:pt>
                <c:pt idx="39">
                  <c:v>100.41099616202112</c:v>
                </c:pt>
                <c:pt idx="40">
                  <c:v>100.36768039004342</c:v>
                </c:pt>
                <c:pt idx="41">
                  <c:v>102.15269313293913</c:v>
                </c:pt>
                <c:pt idx="42">
                  <c:v>103.86416979782615</c:v>
                </c:pt>
                <c:pt idx="43">
                  <c:v>104.71336039729628</c:v>
                </c:pt>
                <c:pt idx="44">
                  <c:v>105.71264518338688</c:v>
                </c:pt>
                <c:pt idx="45">
                  <c:v>106.30294849452507</c:v>
                </c:pt>
                <c:pt idx="46">
                  <c:v>108.47377381108278</c:v>
                </c:pt>
                <c:pt idx="47">
                  <c:v>111.02235295302759</c:v>
                </c:pt>
                <c:pt idx="48">
                  <c:v>112.08107100764576</c:v>
                </c:pt>
                <c:pt idx="49">
                  <c:v>115.49898761974798</c:v>
                </c:pt>
                <c:pt idx="50">
                  <c:v>115.56849432361921</c:v>
                </c:pt>
                <c:pt idx="51">
                  <c:v>116.13965810760448</c:v>
                </c:pt>
                <c:pt idx="52">
                  <c:v>118.97633750037777</c:v>
                </c:pt>
                <c:pt idx="53">
                  <c:v>118.35984325734607</c:v>
                </c:pt>
                <c:pt idx="54">
                  <c:v>114.29924147031863</c:v>
                </c:pt>
                <c:pt idx="55">
                  <c:v>116.6936970515055</c:v>
                </c:pt>
                <c:pt idx="56">
                  <c:v>115.35896686847117</c:v>
                </c:pt>
                <c:pt idx="57">
                  <c:v>116.9687018363873</c:v>
                </c:pt>
                <c:pt idx="58">
                  <c:v>121.04239908936147</c:v>
                </c:pt>
                <c:pt idx="59">
                  <c:v>122.43454785385464</c:v>
                </c:pt>
                <c:pt idx="60">
                  <c:v>122.41540832670169</c:v>
                </c:pt>
                <c:pt idx="61">
                  <c:v>122.70854529520206</c:v>
                </c:pt>
                <c:pt idx="62">
                  <c:v>119.78724904554203</c:v>
                </c:pt>
                <c:pt idx="63">
                  <c:v>121.85734000866317</c:v>
                </c:pt>
                <c:pt idx="64">
                  <c:v>118.39912965518631</c:v>
                </c:pt>
                <c:pt idx="65">
                  <c:v>123.72092554723939</c:v>
                </c:pt>
                <c:pt idx="66">
                  <c:v>124.02816532522087</c:v>
                </c:pt>
                <c:pt idx="67">
                  <c:v>123.19710690936931</c:v>
                </c:pt>
                <c:pt idx="68">
                  <c:v>122.61083297236858</c:v>
                </c:pt>
                <c:pt idx="69">
                  <c:v>121.46246134319188</c:v>
                </c:pt>
                <c:pt idx="70">
                  <c:v>125.8826847719878</c:v>
                </c:pt>
                <c:pt idx="71">
                  <c:v>123.58694885716875</c:v>
                </c:pt>
                <c:pt idx="72">
                  <c:v>124.88239264236282</c:v>
                </c:pt>
                <c:pt idx="73">
                  <c:v>128.47760171651339</c:v>
                </c:pt>
                <c:pt idx="74">
                  <c:v>130.39759849301407</c:v>
                </c:pt>
                <c:pt idx="75">
                  <c:v>129.25527092504359</c:v>
                </c:pt>
                <c:pt idx="76">
                  <c:v>129.26030764271542</c:v>
                </c:pt>
                <c:pt idx="77">
                  <c:v>128.48767515185705</c:v>
                </c:pt>
                <c:pt idx="78">
                  <c:v>126.19093189350366</c:v>
                </c:pt>
                <c:pt idx="79">
                  <c:v>129.0880518983389</c:v>
                </c:pt>
                <c:pt idx="80">
                  <c:v>130.3180183537992</c:v>
                </c:pt>
                <c:pt idx="81">
                  <c:v>125.79504588449798</c:v>
                </c:pt>
                <c:pt idx="82">
                  <c:v>125.04860432553312</c:v>
                </c:pt>
                <c:pt idx="83">
                  <c:v>129.27743248279961</c:v>
                </c:pt>
                <c:pt idx="84">
                  <c:v>132.26420606219341</c:v>
                </c:pt>
                <c:pt idx="85">
                  <c:v>130.85795448821912</c:v>
                </c:pt>
                <c:pt idx="86">
                  <c:v>132.5392108470752</c:v>
                </c:pt>
                <c:pt idx="87">
                  <c:v>133.23024851164993</c:v>
                </c:pt>
                <c:pt idx="88">
                  <c:v>133.32594614741464</c:v>
                </c:pt>
                <c:pt idx="89">
                  <c:v>133.32695349094899</c:v>
                </c:pt>
                <c:pt idx="90">
                  <c:v>134.93265908472765</c:v>
                </c:pt>
                <c:pt idx="91">
                  <c:v>137.43691511116032</c:v>
                </c:pt>
                <c:pt idx="92">
                  <c:v>136.67637074271434</c:v>
                </c:pt>
                <c:pt idx="93">
                  <c:v>138.3636711627766</c:v>
                </c:pt>
                <c:pt idx="94">
                  <c:v>141.29302616071158</c:v>
                </c:pt>
                <c:pt idx="95">
                  <c:v>144.44097470560385</c:v>
                </c:pt>
                <c:pt idx="96">
                  <c:v>146.69339484844517</c:v>
                </c:pt>
                <c:pt idx="97">
                  <c:v>142.15631956966286</c:v>
                </c:pt>
                <c:pt idx="98">
                  <c:v>142.06162927743247</c:v>
                </c:pt>
                <c:pt idx="99">
                  <c:v>148.13188141551913</c:v>
                </c:pt>
                <c:pt idx="100">
                  <c:v>158.2335223781366</c:v>
                </c:pt>
                <c:pt idx="101">
                  <c:v>160.12329884860634</c:v>
                </c:pt>
                <c:pt idx="102">
                  <c:v>163.12014586334377</c:v>
                </c:pt>
                <c:pt idx="103">
                  <c:v>164.17281985675572</c:v>
                </c:pt>
                <c:pt idx="104">
                  <c:v>164.92832750752987</c:v>
                </c:pt>
                <c:pt idx="105">
                  <c:v>160.27943709643296</c:v>
                </c:pt>
                <c:pt idx="106">
                  <c:v>160.70352872440083</c:v>
                </c:pt>
                <c:pt idx="107">
                  <c:v>161.33412577691365</c:v>
                </c:pt>
                <c:pt idx="108">
                  <c:v>158.99608143365126</c:v>
                </c:pt>
                <c:pt idx="109">
                  <c:v>164.47401557353098</c:v>
                </c:pt>
                <c:pt idx="110">
                  <c:v>163.26016661462052</c:v>
                </c:pt>
                <c:pt idx="111">
                  <c:v>163.98646130289808</c:v>
                </c:pt>
                <c:pt idx="112">
                  <c:v>160.55242719424601</c:v>
                </c:pt>
                <c:pt idx="113">
                  <c:v>160.89996071360213</c:v>
                </c:pt>
                <c:pt idx="114">
                  <c:v>157.6925789001823</c:v>
                </c:pt>
                <c:pt idx="115">
                  <c:v>157.48909550624046</c:v>
                </c:pt>
                <c:pt idx="116">
                  <c:v>157.19595853774007</c:v>
                </c:pt>
                <c:pt idx="117">
                  <c:v>160.45572221494689</c:v>
                </c:pt>
                <c:pt idx="118">
                  <c:v>165.27686837042029</c:v>
                </c:pt>
                <c:pt idx="119">
                  <c:v>167.21096795640213</c:v>
                </c:pt>
                <c:pt idx="120">
                  <c:v>167.66729457746973</c:v>
                </c:pt>
                <c:pt idx="121">
                  <c:v>168.97986320274802</c:v>
                </c:pt>
                <c:pt idx="122">
                  <c:v>170.06275750219095</c:v>
                </c:pt>
                <c:pt idx="123">
                  <c:v>167.04677096030056</c:v>
                </c:pt>
                <c:pt idx="124">
                  <c:v>166.40106375477228</c:v>
                </c:pt>
                <c:pt idx="125">
                  <c:v>170.1715506039024</c:v>
                </c:pt>
                <c:pt idx="126">
                  <c:v>169.57117385742055</c:v>
                </c:pt>
                <c:pt idx="127">
                  <c:v>170.86963967321773</c:v>
                </c:pt>
                <c:pt idx="128">
                  <c:v>171.10737274732799</c:v>
                </c:pt>
                <c:pt idx="129">
                  <c:v>169.88848707074573</c:v>
                </c:pt>
                <c:pt idx="130">
                  <c:v>169.97310392763242</c:v>
                </c:pt>
                <c:pt idx="131">
                  <c:v>164.11237924469381</c:v>
                </c:pt>
                <c:pt idx="132">
                  <c:v>162.47040928367798</c:v>
                </c:pt>
                <c:pt idx="133">
                  <c:v>161.93047314925809</c:v>
                </c:pt>
                <c:pt idx="134">
                  <c:v>166.66599510431041</c:v>
                </c:pt>
                <c:pt idx="135">
                  <c:v>166.67707588318842</c:v>
                </c:pt>
                <c:pt idx="136">
                  <c:v>170.04563266210675</c:v>
                </c:pt>
                <c:pt idx="137">
                  <c:v>166.15728661945585</c:v>
                </c:pt>
                <c:pt idx="138">
                  <c:v>168.44194175539687</c:v>
                </c:pt>
                <c:pt idx="139">
                  <c:v>175.23042983348611</c:v>
                </c:pt>
                <c:pt idx="140">
                  <c:v>180.34874233159735</c:v>
                </c:pt>
                <c:pt idx="141">
                  <c:v>176.28612585750119</c:v>
                </c:pt>
                <c:pt idx="142">
                  <c:v>174.13444006809644</c:v>
                </c:pt>
                <c:pt idx="143">
                  <c:v>173.96520635432302</c:v>
                </c:pt>
                <c:pt idx="144">
                  <c:v>170.65306081332915</c:v>
                </c:pt>
                <c:pt idx="145">
                  <c:v>164.37025918949138</c:v>
                </c:pt>
                <c:pt idx="146">
                  <c:v>162.429108198769</c:v>
                </c:pt>
                <c:pt idx="147">
                  <c:v>164.62410976015147</c:v>
                </c:pt>
                <c:pt idx="148">
                  <c:v>165.23455994197695</c:v>
                </c:pt>
                <c:pt idx="149">
                  <c:v>169.03728178420681</c:v>
                </c:pt>
                <c:pt idx="150">
                  <c:v>168.43690503772496</c:v>
                </c:pt>
                <c:pt idx="151">
                  <c:v>172.11068690755602</c:v>
                </c:pt>
                <c:pt idx="152">
                  <c:v>174.11832257154651</c:v>
                </c:pt>
                <c:pt idx="153">
                  <c:v>178.06710922625939</c:v>
                </c:pt>
                <c:pt idx="154">
                  <c:v>181.85572825900809</c:v>
                </c:pt>
                <c:pt idx="155">
                  <c:v>178.51436975551766</c:v>
                </c:pt>
                <c:pt idx="156">
                  <c:v>177.7598694482779</c:v>
                </c:pt>
                <c:pt idx="157">
                  <c:v>179.54991890884543</c:v>
                </c:pt>
                <c:pt idx="158">
                  <c:v>181.72074422540314</c:v>
                </c:pt>
                <c:pt idx="159">
                  <c:v>183.94294406221348</c:v>
                </c:pt>
                <c:pt idx="160">
                  <c:v>186.75746189723074</c:v>
                </c:pt>
                <c:pt idx="161">
                  <c:v>187.47469049369897</c:v>
                </c:pt>
                <c:pt idx="162">
                  <c:v>187.94209789364461</c:v>
                </c:pt>
                <c:pt idx="163">
                  <c:v>187.88367196865141</c:v>
                </c:pt>
                <c:pt idx="164">
                  <c:v>190.49067703558936</c:v>
                </c:pt>
                <c:pt idx="165">
                  <c:v>189.3533861852907</c:v>
                </c:pt>
                <c:pt idx="166">
                  <c:v>184.2985363298445</c:v>
                </c:pt>
                <c:pt idx="167">
                  <c:v>191.25525077817278</c:v>
                </c:pt>
                <c:pt idx="168">
                  <c:v>189.53370067794211</c:v>
                </c:pt>
                <c:pt idx="169">
                  <c:v>186.24371669470432</c:v>
                </c:pt>
                <c:pt idx="170">
                  <c:v>188.52736448711099</c:v>
                </c:pt>
                <c:pt idx="171">
                  <c:v>184.80220809702726</c:v>
                </c:pt>
                <c:pt idx="172">
                  <c:v>193.18330630294844</c:v>
                </c:pt>
                <c:pt idx="173">
                  <c:v>190.70927058254674</c:v>
                </c:pt>
                <c:pt idx="174">
                  <c:v>195.70569451299971</c:v>
                </c:pt>
                <c:pt idx="175">
                  <c:v>191.41138902599948</c:v>
                </c:pt>
                <c:pt idx="176">
                  <c:v>186.56405193863256</c:v>
                </c:pt>
                <c:pt idx="177">
                  <c:v>190.61458029031633</c:v>
                </c:pt>
                <c:pt idx="178">
                  <c:v>193.94888738906619</c:v>
                </c:pt>
                <c:pt idx="179">
                  <c:v>189.3936799266653</c:v>
                </c:pt>
                <c:pt idx="180">
                  <c:v>187.23494273251998</c:v>
                </c:pt>
                <c:pt idx="181">
                  <c:v>187.01433449849392</c:v>
                </c:pt>
                <c:pt idx="182">
                  <c:v>189.31309244391608</c:v>
                </c:pt>
                <c:pt idx="183">
                  <c:v>193.19841645596395</c:v>
                </c:pt>
                <c:pt idx="184">
                  <c:v>186.7363076830091</c:v>
                </c:pt>
                <c:pt idx="185">
                  <c:v>194.81721751568932</c:v>
                </c:pt>
                <c:pt idx="186">
                  <c:v>201.43244250586775</c:v>
                </c:pt>
                <c:pt idx="187">
                  <c:v>204.21875472192278</c:v>
                </c:pt>
                <c:pt idx="188">
                  <c:v>203.11873558239563</c:v>
                </c:pt>
                <c:pt idx="189">
                  <c:v>202.67147505313733</c:v>
                </c:pt>
                <c:pt idx="190">
                  <c:v>202.03382659588394</c:v>
                </c:pt>
                <c:pt idx="191">
                  <c:v>209.82965820833874</c:v>
                </c:pt>
                <c:pt idx="192">
                  <c:v>202.47605040747041</c:v>
                </c:pt>
                <c:pt idx="193">
                  <c:v>213.16698733769175</c:v>
                </c:pt>
                <c:pt idx="194">
                  <c:v>213.3865882281834</c:v>
                </c:pt>
                <c:pt idx="195">
                  <c:v>214.67296592156816</c:v>
                </c:pt>
                <c:pt idx="196">
                  <c:v>222.50002518358829</c:v>
                </c:pt>
                <c:pt idx="197">
                  <c:v>223.83677005369131</c:v>
                </c:pt>
                <c:pt idx="198">
                  <c:v>224.38476493638609</c:v>
                </c:pt>
                <c:pt idx="199">
                  <c:v>224.97003152985252</c:v>
                </c:pt>
                <c:pt idx="200">
                  <c:v>224.53082974886914</c:v>
                </c:pt>
                <c:pt idx="201">
                  <c:v>230.94357868864003</c:v>
                </c:pt>
                <c:pt idx="202">
                  <c:v>232.87969296169061</c:v>
                </c:pt>
                <c:pt idx="203">
                  <c:v>236.88086148019045</c:v>
                </c:pt>
                <c:pt idx="204">
                  <c:v>239.91296551863067</c:v>
                </c:pt>
                <c:pt idx="205">
                  <c:v>241.25373976287119</c:v>
                </c:pt>
                <c:pt idx="206">
                  <c:v>243.88794310523707</c:v>
                </c:pt>
                <c:pt idx="207">
                  <c:v>241.30813631372695</c:v>
                </c:pt>
                <c:pt idx="208">
                  <c:v>241.72719122402302</c:v>
                </c:pt>
                <c:pt idx="209">
                  <c:v>234.86113769378758</c:v>
                </c:pt>
                <c:pt idx="210">
                  <c:v>236.58369513755267</c:v>
                </c:pt>
                <c:pt idx="211">
                  <c:v>236.57966576341519</c:v>
                </c:pt>
                <c:pt idx="212">
                  <c:v>235.04951093471396</c:v>
                </c:pt>
                <c:pt idx="213">
                  <c:v>241.23057086158082</c:v>
                </c:pt>
                <c:pt idx="214">
                  <c:v>241.71812513221371</c:v>
                </c:pt>
                <c:pt idx="215">
                  <c:v>240.94952201549282</c:v>
                </c:pt>
                <c:pt idx="216">
                  <c:v>239.06075288855746</c:v>
                </c:pt>
                <c:pt idx="217">
                  <c:v>225.77086963967312</c:v>
                </c:pt>
                <c:pt idx="218">
                  <c:v>228.84427476302236</c:v>
                </c:pt>
                <c:pt idx="219">
                  <c:v>228.32650018635846</c:v>
                </c:pt>
                <c:pt idx="220">
                  <c:v>239.21789847991852</c:v>
                </c:pt>
                <c:pt idx="221">
                  <c:v>237.95569703135854</c:v>
                </c:pt>
                <c:pt idx="222">
                  <c:v>243.59379879320235</c:v>
                </c:pt>
                <c:pt idx="223">
                  <c:v>245.91270360931179</c:v>
                </c:pt>
                <c:pt idx="224">
                  <c:v>245.00005036717664</c:v>
                </c:pt>
                <c:pt idx="225">
                  <c:v>243.93730293842106</c:v>
                </c:pt>
                <c:pt idx="226">
                  <c:v>247.00869337470152</c:v>
                </c:pt>
                <c:pt idx="227">
                  <c:v>245.24987156369932</c:v>
                </c:pt>
                <c:pt idx="228">
                  <c:v>248.24067451723056</c:v>
                </c:pt>
                <c:pt idx="229">
                  <c:v>256.53211914859321</c:v>
                </c:pt>
                <c:pt idx="230">
                  <c:v>255.65573027369521</c:v>
                </c:pt>
                <c:pt idx="231">
                  <c:v>242.87153347906235</c:v>
                </c:pt>
                <c:pt idx="232">
                  <c:v>251.70996564958543</c:v>
                </c:pt>
                <c:pt idx="233">
                  <c:v>246.72361515447608</c:v>
                </c:pt>
                <c:pt idx="234">
                  <c:v>239.97038410008963</c:v>
                </c:pt>
                <c:pt idx="235">
                  <c:v>243.53638021174362</c:v>
                </c:pt>
                <c:pt idx="236">
                  <c:v>245.39492903264798</c:v>
                </c:pt>
                <c:pt idx="237">
                  <c:v>247.94048614398966</c:v>
                </c:pt>
                <c:pt idx="238">
                  <c:v>232.47474086087578</c:v>
                </c:pt>
                <c:pt idx="239">
                  <c:v>238.43922192785405</c:v>
                </c:pt>
                <c:pt idx="240">
                  <c:v>230.19915181674406</c:v>
                </c:pt>
                <c:pt idx="241">
                  <c:v>224.51571959585377</c:v>
                </c:pt>
                <c:pt idx="242">
                  <c:v>234.5307290145158</c:v>
                </c:pt>
                <c:pt idx="243">
                  <c:v>243.55149036475908</c:v>
                </c:pt>
                <c:pt idx="244">
                  <c:v>236.02562681951426</c:v>
                </c:pt>
                <c:pt idx="245">
                  <c:v>240.90519889998083</c:v>
                </c:pt>
                <c:pt idx="246">
                  <c:v>245.91774032698368</c:v>
                </c:pt>
                <c:pt idx="247">
                  <c:v>247.36126361172944</c:v>
                </c:pt>
                <c:pt idx="248">
                  <c:v>256.00124910598254</c:v>
                </c:pt>
                <c:pt idx="249">
                  <c:v>258.49240966646846</c:v>
                </c:pt>
                <c:pt idx="250">
                  <c:v>247.64432714488615</c:v>
                </c:pt>
                <c:pt idx="251">
                  <c:v>254.88712715697429</c:v>
                </c:pt>
                <c:pt idx="252">
                  <c:v>255.65472293016077</c:v>
                </c:pt>
                <c:pt idx="253">
                  <c:v>244.94565381632088</c:v>
                </c:pt>
                <c:pt idx="254">
                  <c:v>246.78506311007234</c:v>
                </c:pt>
                <c:pt idx="255">
                  <c:v>255.48750390345612</c:v>
                </c:pt>
                <c:pt idx="256">
                  <c:v>265.56093924711138</c:v>
                </c:pt>
                <c:pt idx="257">
                  <c:v>264.27254686665788</c:v>
                </c:pt>
                <c:pt idx="258">
                  <c:v>258.99708877718564</c:v>
                </c:pt>
                <c:pt idx="259">
                  <c:v>258.54076215611803</c:v>
                </c:pt>
                <c:pt idx="260">
                  <c:v>258.27280877597684</c:v>
                </c:pt>
                <c:pt idx="261">
                  <c:v>252.77774979601287</c:v>
                </c:pt>
                <c:pt idx="262">
                  <c:v>245.52286166151237</c:v>
                </c:pt>
                <c:pt idx="263">
                  <c:v>246.47077192735034</c:v>
                </c:pt>
                <c:pt idx="264">
                  <c:v>240.44786493537887</c:v>
                </c:pt>
                <c:pt idx="265">
                  <c:v>242.76173303381654</c:v>
                </c:pt>
                <c:pt idx="266">
                  <c:v>235.11095889031034</c:v>
                </c:pt>
                <c:pt idx="267">
                  <c:v>237.4862749443443</c:v>
                </c:pt>
                <c:pt idx="268">
                  <c:v>236.39733658369514</c:v>
                </c:pt>
                <c:pt idx="269">
                  <c:v>239.77999617209463</c:v>
                </c:pt>
                <c:pt idx="270">
                  <c:v>234.22651126713748</c:v>
                </c:pt>
                <c:pt idx="271">
                  <c:v>237.28581358100556</c:v>
                </c:pt>
                <c:pt idx="272">
                  <c:v>234.30810609342109</c:v>
                </c:pt>
                <c:pt idx="273">
                  <c:v>236.79523727976957</c:v>
                </c:pt>
                <c:pt idx="274">
                  <c:v>242.3658470248109</c:v>
                </c:pt>
                <c:pt idx="275">
                  <c:v>236.35905752938933</c:v>
                </c:pt>
                <c:pt idx="276">
                  <c:v>240.77122220991029</c:v>
                </c:pt>
                <c:pt idx="277">
                  <c:v>246.50602895105322</c:v>
                </c:pt>
                <c:pt idx="278">
                  <c:v>244.15791117244717</c:v>
                </c:pt>
                <c:pt idx="279">
                  <c:v>234.97295282610227</c:v>
                </c:pt>
                <c:pt idx="280">
                  <c:v>238.03024045290164</c:v>
                </c:pt>
                <c:pt idx="281">
                  <c:v>238.59737486274943</c:v>
                </c:pt>
                <c:pt idx="282">
                  <c:v>248.17620453103123</c:v>
                </c:pt>
                <c:pt idx="283">
                  <c:v>244.17604335606572</c:v>
                </c:pt>
                <c:pt idx="284">
                  <c:v>240.7782736146508</c:v>
                </c:pt>
                <c:pt idx="285">
                  <c:v>237.14780751679746</c:v>
                </c:pt>
                <c:pt idx="286">
                  <c:v>227.84096060279438</c:v>
                </c:pt>
                <c:pt idx="287">
                  <c:v>226.64222179689941</c:v>
                </c:pt>
                <c:pt idx="288">
                  <c:v>224.42606602129524</c:v>
                </c:pt>
                <c:pt idx="289">
                  <c:v>230.45602441800727</c:v>
                </c:pt>
                <c:pt idx="290">
                  <c:v>235.37891227045156</c:v>
                </c:pt>
                <c:pt idx="291">
                  <c:v>230.70786030159863</c:v>
                </c:pt>
                <c:pt idx="292">
                  <c:v>231.420052180395</c:v>
                </c:pt>
                <c:pt idx="293">
                  <c:v>227.80469623555715</c:v>
                </c:pt>
                <c:pt idx="294">
                  <c:v>230.16389479304124</c:v>
                </c:pt>
                <c:pt idx="295">
                  <c:v>222.61889172064343</c:v>
                </c:pt>
                <c:pt idx="296">
                  <c:v>204.94404206666596</c:v>
                </c:pt>
                <c:pt idx="297">
                  <c:v>209.51738171268542</c:v>
                </c:pt>
                <c:pt idx="298">
                  <c:v>219.32487836326817</c:v>
                </c:pt>
                <c:pt idx="299">
                  <c:v>210.95083156208756</c:v>
                </c:pt>
                <c:pt idx="300">
                  <c:v>200.80285279688925</c:v>
                </c:pt>
                <c:pt idx="301">
                  <c:v>158.15494958245606</c:v>
                </c:pt>
                <c:pt idx="302">
                  <c:v>187.07880448469336</c:v>
                </c:pt>
                <c:pt idx="303">
                  <c:v>160.1525118111029</c:v>
                </c:pt>
                <c:pt idx="304">
                  <c:v>187.31553021526926</c:v>
                </c:pt>
                <c:pt idx="305">
                  <c:v>185.34415891851594</c:v>
                </c:pt>
                <c:pt idx="306">
                  <c:v>172.45822042691213</c:v>
                </c:pt>
                <c:pt idx="307">
                  <c:v>156.29841544862037</c:v>
                </c:pt>
                <c:pt idx="308">
                  <c:v>164.35111966233839</c:v>
                </c:pt>
                <c:pt idx="309">
                  <c:v>148.88839640982761</c:v>
                </c:pt>
                <c:pt idx="310">
                  <c:v>156.1231376736408</c:v>
                </c:pt>
                <c:pt idx="311">
                  <c:v>158.82986975048098</c:v>
                </c:pt>
                <c:pt idx="312">
                  <c:v>158.13983942944057</c:v>
                </c:pt>
                <c:pt idx="313">
                  <c:v>164.2806056149328</c:v>
                </c:pt>
                <c:pt idx="314">
                  <c:v>164.68757240281647</c:v>
                </c:pt>
                <c:pt idx="315">
                  <c:v>157.84065839973402</c:v>
                </c:pt>
                <c:pt idx="316">
                  <c:v>148.75240503268827</c:v>
                </c:pt>
                <c:pt idx="317">
                  <c:v>149.60461766276151</c:v>
                </c:pt>
                <c:pt idx="318">
                  <c:v>155.67386245731382</c:v>
                </c:pt>
                <c:pt idx="319">
                  <c:v>151.81170734655637</c:v>
                </c:pt>
                <c:pt idx="320">
                  <c:v>143.13545748506613</c:v>
                </c:pt>
                <c:pt idx="321">
                  <c:v>139.45966092816633</c:v>
                </c:pt>
                <c:pt idx="322">
                  <c:v>129.05783159230793</c:v>
                </c:pt>
                <c:pt idx="323">
                  <c:v>130.25556305466856</c:v>
                </c:pt>
                <c:pt idx="324">
                  <c:v>138.93181291615883</c:v>
                </c:pt>
                <c:pt idx="325">
                  <c:v>136.53030593023141</c:v>
                </c:pt>
                <c:pt idx="326">
                  <c:v>141.45117909560702</c:v>
                </c:pt>
                <c:pt idx="327">
                  <c:v>142.55422026573729</c:v>
                </c:pt>
                <c:pt idx="328">
                  <c:v>143.4245650794291</c:v>
                </c:pt>
                <c:pt idx="329">
                  <c:v>141.23359289218408</c:v>
                </c:pt>
                <c:pt idx="330">
                  <c:v>146.92709854841803</c:v>
                </c:pt>
                <c:pt idx="331">
                  <c:v>153.57959524936797</c:v>
                </c:pt>
                <c:pt idx="332">
                  <c:v>151.98799246507045</c:v>
                </c:pt>
                <c:pt idx="333">
                  <c:v>156.87562329381197</c:v>
                </c:pt>
                <c:pt idx="334">
                  <c:v>158.88527364487121</c:v>
                </c:pt>
                <c:pt idx="335">
                  <c:v>157.84368043033726</c:v>
                </c:pt>
                <c:pt idx="336">
                  <c:v>165.80270169535927</c:v>
                </c:pt>
                <c:pt idx="337">
                  <c:v>158.58508527163028</c:v>
                </c:pt>
                <c:pt idx="338">
                  <c:v>160.75993996232546</c:v>
                </c:pt>
                <c:pt idx="339">
                  <c:v>156.48074462834072</c:v>
                </c:pt>
                <c:pt idx="340">
                  <c:v>152.96007897573321</c:v>
                </c:pt>
                <c:pt idx="341">
                  <c:v>158.01291414411065</c:v>
                </c:pt>
                <c:pt idx="342">
                  <c:v>156.08888799347253</c:v>
                </c:pt>
                <c:pt idx="343">
                  <c:v>154.23235385963685</c:v>
                </c:pt>
                <c:pt idx="344">
                  <c:v>152.90568242487745</c:v>
                </c:pt>
                <c:pt idx="345">
                  <c:v>149.71038873386999</c:v>
                </c:pt>
                <c:pt idx="346">
                  <c:v>153.59974212005525</c:v>
                </c:pt>
                <c:pt idx="347">
                  <c:v>153.26328937957717</c:v>
                </c:pt>
                <c:pt idx="348">
                  <c:v>152.43827502493181</c:v>
                </c:pt>
                <c:pt idx="349">
                  <c:v>158.35138157165744</c:v>
                </c:pt>
                <c:pt idx="350">
                  <c:v>159.23381450776162</c:v>
                </c:pt>
                <c:pt idx="351">
                  <c:v>151.79558985000659</c:v>
                </c:pt>
                <c:pt idx="352">
                  <c:v>152.57023702793367</c:v>
                </c:pt>
                <c:pt idx="353">
                  <c:v>153.36906045068554</c:v>
                </c:pt>
                <c:pt idx="354">
                  <c:v>153.45065527696914</c:v>
                </c:pt>
                <c:pt idx="355">
                  <c:v>151.65556909872979</c:v>
                </c:pt>
                <c:pt idx="356">
                  <c:v>150.17175207260937</c:v>
                </c:pt>
                <c:pt idx="357">
                  <c:v>152.97115975461116</c:v>
                </c:pt>
                <c:pt idx="358">
                  <c:v>158.17711114021219</c:v>
                </c:pt>
                <c:pt idx="359">
                  <c:v>158.17610379667781</c:v>
                </c:pt>
                <c:pt idx="360">
                  <c:v>161.87103988073056</c:v>
                </c:pt>
                <c:pt idx="361">
                  <c:v>165.85709824621495</c:v>
                </c:pt>
                <c:pt idx="362">
                  <c:v>164.72887348772554</c:v>
                </c:pt>
                <c:pt idx="363">
                  <c:v>163.83838180334644</c:v>
                </c:pt>
                <c:pt idx="364">
                  <c:v>165.57302736952388</c:v>
                </c:pt>
                <c:pt idx="365">
                  <c:v>167.14448328313412</c:v>
                </c:pt>
                <c:pt idx="366">
                  <c:v>166.74960461766281</c:v>
                </c:pt>
                <c:pt idx="367">
                  <c:v>167.07094720512544</c:v>
                </c:pt>
                <c:pt idx="368">
                  <c:v>168.16995900111823</c:v>
                </c:pt>
                <c:pt idx="369">
                  <c:v>165.50049863504958</c:v>
                </c:pt>
                <c:pt idx="370">
                  <c:v>162.78872984053757</c:v>
                </c:pt>
                <c:pt idx="371">
                  <c:v>164.26650280545181</c:v>
                </c:pt>
                <c:pt idx="372">
                  <c:v>166.07367710610356</c:v>
                </c:pt>
                <c:pt idx="373">
                  <c:v>163.44148845080642</c:v>
                </c:pt>
                <c:pt idx="374">
                  <c:v>164.27556889726108</c:v>
                </c:pt>
                <c:pt idx="375">
                  <c:v>164.81852706228412</c:v>
                </c:pt>
                <c:pt idx="376">
                  <c:v>164.85176939891818</c:v>
                </c:pt>
                <c:pt idx="377">
                  <c:v>161.40866919845681</c:v>
                </c:pt>
                <c:pt idx="378">
                  <c:v>170.44252601464686</c:v>
                </c:pt>
                <c:pt idx="379">
                  <c:v>173.23186026130497</c:v>
                </c:pt>
                <c:pt idx="380">
                  <c:v>172.97498766004176</c:v>
                </c:pt>
                <c:pt idx="381">
                  <c:v>170.63593597324501</c:v>
                </c:pt>
                <c:pt idx="382">
                  <c:v>167.06188111331613</c:v>
                </c:pt>
                <c:pt idx="383">
                  <c:v>152.98123318995482</c:v>
                </c:pt>
                <c:pt idx="384">
                  <c:v>157.93131931782699</c:v>
                </c:pt>
                <c:pt idx="385">
                  <c:v>153.70249116056053</c:v>
                </c:pt>
                <c:pt idx="386">
                  <c:v>159.50176788790284</c:v>
                </c:pt>
                <c:pt idx="387">
                  <c:v>161.89723081262409</c:v>
                </c:pt>
                <c:pt idx="388">
                  <c:v>163.45962063442499</c:v>
                </c:pt>
                <c:pt idx="389">
                  <c:v>167.24219560596754</c:v>
                </c:pt>
                <c:pt idx="390">
                  <c:v>167.51317101671188</c:v>
                </c:pt>
                <c:pt idx="391">
                  <c:v>166.69722275387579</c:v>
                </c:pt>
                <c:pt idx="392">
                  <c:v>173.80503873235895</c:v>
                </c:pt>
                <c:pt idx="393">
                  <c:v>173.63781970565427</c:v>
                </c:pt>
                <c:pt idx="394">
                  <c:v>177.81829537327121</c:v>
                </c:pt>
                <c:pt idx="395">
                  <c:v>182.23348208439532</c:v>
                </c:pt>
                <c:pt idx="396">
                  <c:v>188.33093249790983</c:v>
                </c:pt>
                <c:pt idx="397">
                  <c:v>183.55310211441417</c:v>
                </c:pt>
                <c:pt idx="398">
                  <c:v>177.34988062979127</c:v>
                </c:pt>
                <c:pt idx="399">
                  <c:v>181.07201498927191</c:v>
                </c:pt>
                <c:pt idx="400">
                  <c:v>184.62995235265095</c:v>
                </c:pt>
                <c:pt idx="401">
                  <c:v>187.18054618166445</c:v>
                </c:pt>
                <c:pt idx="402">
                  <c:v>186.11779875290881</c:v>
                </c:pt>
                <c:pt idx="403">
                  <c:v>187.67112248290044</c:v>
                </c:pt>
                <c:pt idx="404">
                  <c:v>188.22113205266405</c:v>
                </c:pt>
                <c:pt idx="405">
                  <c:v>191.97449406170998</c:v>
                </c:pt>
                <c:pt idx="406">
                  <c:v>193.48651670679263</c:v>
                </c:pt>
                <c:pt idx="407">
                  <c:v>193.9962325351816</c:v>
                </c:pt>
                <c:pt idx="408">
                  <c:v>198.80730525531138</c:v>
                </c:pt>
                <c:pt idx="409">
                  <c:v>206.78345136041764</c:v>
                </c:pt>
                <c:pt idx="410">
                  <c:v>203.99713914436259</c:v>
                </c:pt>
                <c:pt idx="411">
                  <c:v>201.79710086530829</c:v>
                </c:pt>
                <c:pt idx="412">
                  <c:v>200.24982119652287</c:v>
                </c:pt>
                <c:pt idx="413">
                  <c:v>197.66094831320348</c:v>
                </c:pt>
                <c:pt idx="414">
                  <c:v>198.19081101227974</c:v>
                </c:pt>
                <c:pt idx="415">
                  <c:v>197.50581740891118</c:v>
                </c:pt>
                <c:pt idx="416">
                  <c:v>201.20478286710141</c:v>
                </c:pt>
                <c:pt idx="417">
                  <c:v>201.44553797181473</c:v>
                </c:pt>
                <c:pt idx="418">
                  <c:v>202.1950015613827</c:v>
                </c:pt>
                <c:pt idx="419">
                  <c:v>200.71118453526228</c:v>
                </c:pt>
                <c:pt idx="420">
                  <c:v>195.94141290004151</c:v>
                </c:pt>
                <c:pt idx="421">
                  <c:v>193.83002085201136</c:v>
                </c:pt>
                <c:pt idx="422">
                  <c:v>201.94518036486002</c:v>
                </c:pt>
                <c:pt idx="423">
                  <c:v>201.58555872309154</c:v>
                </c:pt>
                <c:pt idx="424">
                  <c:v>208.22294527102599</c:v>
                </c:pt>
                <c:pt idx="425">
                  <c:v>204.5350605917138</c:v>
                </c:pt>
                <c:pt idx="426">
                  <c:v>208.28942994429408</c:v>
                </c:pt>
                <c:pt idx="427">
                  <c:v>203.01195716775311</c:v>
                </c:pt>
                <c:pt idx="428">
                  <c:v>202.47907243807376</c:v>
                </c:pt>
                <c:pt idx="429">
                  <c:v>206.2475446001352</c:v>
                </c:pt>
                <c:pt idx="430">
                  <c:v>211.62172235597527</c:v>
                </c:pt>
                <c:pt idx="431">
                  <c:v>211.86348480422302</c:v>
                </c:pt>
                <c:pt idx="432">
                  <c:v>214.02121465483395</c:v>
                </c:pt>
                <c:pt idx="433">
                  <c:v>215.96740236322813</c:v>
                </c:pt>
                <c:pt idx="434">
                  <c:v>221.97922857632162</c:v>
                </c:pt>
                <c:pt idx="435">
                  <c:v>219.01864592882131</c:v>
                </c:pt>
                <c:pt idx="436">
                  <c:v>217.6023209195034</c:v>
                </c:pt>
                <c:pt idx="437">
                  <c:v>219.19896042147278</c:v>
                </c:pt>
                <c:pt idx="438">
                  <c:v>222.39828348661766</c:v>
                </c:pt>
                <c:pt idx="439">
                  <c:v>217.33638222643091</c:v>
                </c:pt>
                <c:pt idx="440">
                  <c:v>213.00279034159041</c:v>
                </c:pt>
                <c:pt idx="441">
                  <c:v>212.41047234338347</c:v>
                </c:pt>
                <c:pt idx="442">
                  <c:v>208.13933575767365</c:v>
                </c:pt>
                <c:pt idx="443">
                  <c:v>221.46548337379525</c:v>
                </c:pt>
                <c:pt idx="444">
                  <c:v>222.17163119138547</c:v>
                </c:pt>
                <c:pt idx="445">
                  <c:v>218.03447129574624</c:v>
                </c:pt>
                <c:pt idx="446">
                  <c:v>221.69616504316497</c:v>
                </c:pt>
                <c:pt idx="447">
                  <c:v>218.84941221504798</c:v>
                </c:pt>
                <c:pt idx="448">
                  <c:v>213.98394294406245</c:v>
                </c:pt>
                <c:pt idx="449">
                  <c:v>215.25218845382867</c:v>
                </c:pt>
                <c:pt idx="450">
                  <c:v>209.82562883420158</c:v>
                </c:pt>
                <c:pt idx="451">
                  <c:v>213.10856141269886</c:v>
                </c:pt>
                <c:pt idx="452">
                  <c:v>215.39220920510547</c:v>
                </c:pt>
                <c:pt idx="453">
                  <c:v>211.82319106284845</c:v>
                </c:pt>
                <c:pt idx="454">
                  <c:v>215.97143173736566</c:v>
                </c:pt>
                <c:pt idx="455">
                  <c:v>207.75755255814917</c:v>
                </c:pt>
                <c:pt idx="456">
                  <c:v>214.0242366854371</c:v>
                </c:pt>
                <c:pt idx="457">
                  <c:v>215.68635351714022</c:v>
                </c:pt>
                <c:pt idx="458">
                  <c:v>216.65844002780295</c:v>
                </c:pt>
                <c:pt idx="459">
                  <c:v>220.94267207945956</c:v>
                </c:pt>
                <c:pt idx="460">
                  <c:v>223.01679241671815</c:v>
                </c:pt>
                <c:pt idx="461">
                  <c:v>223.84583614550098</c:v>
                </c:pt>
                <c:pt idx="462">
                  <c:v>229.02156722507107</c:v>
                </c:pt>
                <c:pt idx="463">
                  <c:v>222.21595430689757</c:v>
                </c:pt>
                <c:pt idx="464">
                  <c:v>211.52803940727935</c:v>
                </c:pt>
                <c:pt idx="465">
                  <c:v>218.66003163058724</c:v>
                </c:pt>
                <c:pt idx="466">
                  <c:v>215.83241832962324</c:v>
                </c:pt>
                <c:pt idx="467">
                  <c:v>214.12094166473619</c:v>
                </c:pt>
                <c:pt idx="468">
                  <c:v>218.88869861288822</c:v>
                </c:pt>
                <c:pt idx="469">
                  <c:v>219.39740709774284</c:v>
                </c:pt>
                <c:pt idx="470">
                  <c:v>220.16903224506683</c:v>
                </c:pt>
                <c:pt idx="471">
                  <c:v>218.81012581720776</c:v>
                </c:pt>
                <c:pt idx="472">
                  <c:v>222.33482084395274</c:v>
                </c:pt>
                <c:pt idx="473">
                  <c:v>225.86455258836958</c:v>
                </c:pt>
                <c:pt idx="474">
                  <c:v>230.47314925809187</c:v>
                </c:pt>
                <c:pt idx="475">
                  <c:v>228.18245006094469</c:v>
                </c:pt>
                <c:pt idx="476">
                  <c:v>233.80443432623869</c:v>
                </c:pt>
                <c:pt idx="477">
                  <c:v>233.77622870727643</c:v>
                </c:pt>
                <c:pt idx="478">
                  <c:v>237.47116479132922</c:v>
                </c:pt>
                <c:pt idx="479">
                  <c:v>235.7737909359233</c:v>
                </c:pt>
                <c:pt idx="480">
                  <c:v>236.25127177121254</c:v>
                </c:pt>
                <c:pt idx="481">
                  <c:v>234.29198859687159</c:v>
                </c:pt>
                <c:pt idx="482">
                  <c:v>235.3950297670018</c:v>
                </c:pt>
                <c:pt idx="483">
                  <c:v>232.72355471386444</c:v>
                </c:pt>
                <c:pt idx="484">
                  <c:v>231.67994681226173</c:v>
                </c:pt>
                <c:pt idx="485">
                  <c:v>244.08941181211065</c:v>
                </c:pt>
                <c:pt idx="486">
                  <c:v>246.48890411096937</c:v>
                </c:pt>
                <c:pt idx="487">
                  <c:v>243.90607528885619</c:v>
                </c:pt>
                <c:pt idx="488">
                  <c:v>246.90896636479982</c:v>
                </c:pt>
                <c:pt idx="489">
                  <c:v>234.61635321493731</c:v>
                </c:pt>
                <c:pt idx="490">
                  <c:v>239.77798148502626</c:v>
                </c:pt>
                <c:pt idx="491">
                  <c:v>240.46498977546349</c:v>
                </c:pt>
                <c:pt idx="492">
                  <c:v>245.56214805935306</c:v>
                </c:pt>
                <c:pt idx="493">
                  <c:v>244.51350344007855</c:v>
                </c:pt>
                <c:pt idx="494">
                  <c:v>240.97369826031809</c:v>
                </c:pt>
                <c:pt idx="495">
                  <c:v>249.49179518691298</c:v>
                </c:pt>
                <c:pt idx="496">
                  <c:v>251.09951546776034</c:v>
                </c:pt>
                <c:pt idx="497">
                  <c:v>255.2699177000336</c:v>
                </c:pt>
                <c:pt idx="498">
                  <c:v>260.03263793051377</c:v>
                </c:pt>
                <c:pt idx="499">
                  <c:v>261.44392622215992</c:v>
                </c:pt>
                <c:pt idx="500">
                  <c:v>261.81765067340956</c:v>
                </c:pt>
                <c:pt idx="501">
                  <c:v>262.33038853240163</c:v>
                </c:pt>
                <c:pt idx="502">
                  <c:v>267.22003404821186</c:v>
                </c:pt>
                <c:pt idx="503">
                  <c:v>265.47934442082828</c:v>
                </c:pt>
                <c:pt idx="504">
                  <c:v>262.8874495069058</c:v>
                </c:pt>
                <c:pt idx="505">
                  <c:v>264.76010113729131</c:v>
                </c:pt>
                <c:pt idx="506">
                  <c:v>257.9071430730026</c:v>
                </c:pt>
                <c:pt idx="507">
                  <c:v>263.26117395815538</c:v>
                </c:pt>
                <c:pt idx="508">
                  <c:v>262.49760755910631</c:v>
                </c:pt>
                <c:pt idx="509">
                  <c:v>268.07023199121636</c:v>
                </c:pt>
                <c:pt idx="510">
                  <c:v>263.23095365212441</c:v>
                </c:pt>
                <c:pt idx="511">
                  <c:v>264.64727866144233</c:v>
                </c:pt>
                <c:pt idx="512">
                  <c:v>262.39888789273851</c:v>
                </c:pt>
                <c:pt idx="513">
                  <c:v>253.1071511317509</c:v>
                </c:pt>
                <c:pt idx="514">
                  <c:v>247.41767484965439</c:v>
                </c:pt>
                <c:pt idx="515">
                  <c:v>244.11157336986676</c:v>
                </c:pt>
                <c:pt idx="516">
                  <c:v>250.67542383979253</c:v>
                </c:pt>
                <c:pt idx="517">
                  <c:v>254.53657160701559</c:v>
                </c:pt>
                <c:pt idx="518">
                  <c:v>252.09174884911045</c:v>
                </c:pt>
                <c:pt idx="519">
                  <c:v>254.10139920016968</c:v>
                </c:pt>
                <c:pt idx="520">
                  <c:v>255.68796526679535</c:v>
                </c:pt>
                <c:pt idx="521">
                  <c:v>253.64406523556769</c:v>
                </c:pt>
                <c:pt idx="522">
                  <c:v>258.53774012551543</c:v>
                </c:pt>
                <c:pt idx="523">
                  <c:v>261.17798752908743</c:v>
                </c:pt>
                <c:pt idx="524">
                  <c:v>261.67561523506401</c:v>
                </c:pt>
                <c:pt idx="525">
                  <c:v>267.16160812321868</c:v>
                </c:pt>
                <c:pt idx="526">
                  <c:v>267.35300339474816</c:v>
                </c:pt>
                <c:pt idx="527">
                  <c:v>269.48857168760304</c:v>
                </c:pt>
                <c:pt idx="528">
                  <c:v>265.241611346718</c:v>
                </c:pt>
                <c:pt idx="529">
                  <c:v>267.33789324173267</c:v>
                </c:pt>
                <c:pt idx="530">
                  <c:v>266.78586898490039</c:v>
                </c:pt>
                <c:pt idx="531">
                  <c:v>265.78658419880981</c:v>
                </c:pt>
                <c:pt idx="532">
                  <c:v>263.69936839560444</c:v>
                </c:pt>
                <c:pt idx="533">
                  <c:v>267.63808161497366</c:v>
                </c:pt>
                <c:pt idx="534">
                  <c:v>271.60197842270196</c:v>
                </c:pt>
                <c:pt idx="535">
                  <c:v>271.0620422882821</c:v>
                </c:pt>
                <c:pt idx="536">
                  <c:v>277.38010093582267</c:v>
                </c:pt>
                <c:pt idx="537">
                  <c:v>279.67281482003864</c:v>
                </c:pt>
                <c:pt idx="538">
                  <c:v>276.91571556648017</c:v>
                </c:pt>
                <c:pt idx="539">
                  <c:v>279.38471456921008</c:v>
                </c:pt>
                <c:pt idx="540">
                  <c:v>275.56587523043038</c:v>
                </c:pt>
                <c:pt idx="541">
                  <c:v>283.13303986058423</c:v>
                </c:pt>
                <c:pt idx="542">
                  <c:v>284.69140030824769</c:v>
                </c:pt>
                <c:pt idx="543">
                  <c:v>275.56587523043044</c:v>
                </c:pt>
                <c:pt idx="544">
                  <c:v>277.16050004533105</c:v>
                </c:pt>
                <c:pt idx="545">
                  <c:v>268.18607649766858</c:v>
                </c:pt>
                <c:pt idx="546">
                  <c:v>245.15417392793518</c:v>
                </c:pt>
                <c:pt idx="547">
                  <c:v>253.89086440148736</c:v>
                </c:pt>
                <c:pt idx="548">
                  <c:v>252.29422489951801</c:v>
                </c:pt>
                <c:pt idx="549">
                  <c:v>261.30491281441766</c:v>
                </c:pt>
                <c:pt idx="550">
                  <c:v>268.89826837646501</c:v>
                </c:pt>
                <c:pt idx="551">
                  <c:v>270.72256751720096</c:v>
                </c:pt>
                <c:pt idx="552">
                  <c:v>269.83912723756237</c:v>
                </c:pt>
                <c:pt idx="553">
                  <c:v>268.2273775825775</c:v>
                </c:pt>
                <c:pt idx="554">
                  <c:v>257.90714307300271</c:v>
                </c:pt>
                <c:pt idx="555">
                  <c:v>258.98500065477384</c:v>
                </c:pt>
                <c:pt idx="556">
                  <c:v>252.52188453828464</c:v>
                </c:pt>
                <c:pt idx="557">
                  <c:v>256.7859697192539</c:v>
                </c:pt>
                <c:pt idx="558">
                  <c:v>256.55831008048733</c:v>
                </c:pt>
                <c:pt idx="559">
                  <c:v>265.5961962708148</c:v>
                </c:pt>
                <c:pt idx="560">
                  <c:v>265.39069818980425</c:v>
                </c:pt>
                <c:pt idx="561">
                  <c:v>264.98876811959241</c:v>
                </c:pt>
                <c:pt idx="562">
                  <c:v>266.91480895729927</c:v>
                </c:pt>
                <c:pt idx="563">
                  <c:v>274.42254031892554</c:v>
                </c:pt>
                <c:pt idx="564">
                  <c:v>277.89082410774608</c:v>
                </c:pt>
                <c:pt idx="565">
                  <c:v>272.3846843489041</c:v>
                </c:pt>
                <c:pt idx="566">
                  <c:v>267.33587855466408</c:v>
                </c:pt>
                <c:pt idx="567">
                  <c:v>273.29230087336742</c:v>
                </c:pt>
                <c:pt idx="568">
                  <c:v>268.34221474549526</c:v>
                </c:pt>
                <c:pt idx="569">
                  <c:v>267.45172306111613</c:v>
                </c:pt>
                <c:pt idx="570">
                  <c:v>258.6646654108456</c:v>
                </c:pt>
                <c:pt idx="571">
                  <c:v>258.23251503460278</c:v>
                </c:pt>
                <c:pt idx="572">
                  <c:v>263.30751176073636</c:v>
                </c:pt>
                <c:pt idx="573">
                  <c:v>269.57520323155865</c:v>
                </c:pt>
                <c:pt idx="574">
                  <c:v>265.83392934492508</c:v>
                </c:pt>
                <c:pt idx="575">
                  <c:v>262.74138469442295</c:v>
                </c:pt>
                <c:pt idx="576">
                  <c:v>265.13382558854107</c:v>
                </c:pt>
                <c:pt idx="577">
                  <c:v>266.8845886512683</c:v>
                </c:pt>
                <c:pt idx="578">
                  <c:v>269.70515054749183</c:v>
                </c:pt>
                <c:pt idx="579">
                  <c:v>271.01872651630447</c:v>
                </c:pt>
                <c:pt idx="580">
                  <c:v>280.37795529409465</c:v>
                </c:pt>
                <c:pt idx="581">
                  <c:v>285.23838784740832</c:v>
                </c:pt>
                <c:pt idx="582">
                  <c:v>289.69689033051014</c:v>
                </c:pt>
                <c:pt idx="583">
                  <c:v>288.20904393025228</c:v>
                </c:pt>
                <c:pt idx="584">
                  <c:v>289.09248420989087</c:v>
                </c:pt>
                <c:pt idx="585">
                  <c:v>289.90843247272693</c:v>
                </c:pt>
                <c:pt idx="586">
                  <c:v>289.37151836891007</c:v>
                </c:pt>
                <c:pt idx="587">
                  <c:v>291.19783219671478</c:v>
                </c:pt>
                <c:pt idx="588">
                  <c:v>283.42919885968786</c:v>
                </c:pt>
                <c:pt idx="589">
                  <c:v>288.89907425129263</c:v>
                </c:pt>
                <c:pt idx="590">
                  <c:v>290.82813711960262</c:v>
                </c:pt>
                <c:pt idx="591">
                  <c:v>295.14661885142766</c:v>
                </c:pt>
                <c:pt idx="592">
                  <c:v>296.4319892012781</c:v>
                </c:pt>
                <c:pt idx="593">
                  <c:v>301.13023944555886</c:v>
                </c:pt>
                <c:pt idx="594">
                  <c:v>304.06060178702819</c:v>
                </c:pt>
                <c:pt idx="595">
                  <c:v>308.96233542525079</c:v>
                </c:pt>
                <c:pt idx="596">
                  <c:v>310.02810488460949</c:v>
                </c:pt>
                <c:pt idx="597">
                  <c:v>313.34931651741266</c:v>
                </c:pt>
                <c:pt idx="598">
                  <c:v>314.29621943971625</c:v>
                </c:pt>
                <c:pt idx="599">
                  <c:v>316.27766417181317</c:v>
                </c:pt>
                <c:pt idx="600">
                  <c:v>318.69226662368732</c:v>
                </c:pt>
                <c:pt idx="601">
                  <c:v>314.71628169354659</c:v>
                </c:pt>
                <c:pt idx="602">
                  <c:v>315.6218835309412</c:v>
                </c:pt>
                <c:pt idx="603">
                  <c:v>312.03070383092808</c:v>
                </c:pt>
                <c:pt idx="604">
                  <c:v>302.11642876570255</c:v>
                </c:pt>
                <c:pt idx="605">
                  <c:v>299.44898308670264</c:v>
                </c:pt>
                <c:pt idx="606">
                  <c:v>306.69279044232513</c:v>
                </c:pt>
                <c:pt idx="607">
                  <c:v>308.33979712101279</c:v>
                </c:pt>
                <c:pt idx="608">
                  <c:v>311.39607740427783</c:v>
                </c:pt>
                <c:pt idx="609">
                  <c:v>310.41391745827144</c:v>
                </c:pt>
                <c:pt idx="610">
                  <c:v>300.48956895770226</c:v>
                </c:pt>
                <c:pt idx="611">
                  <c:v>298.11022352953091</c:v>
                </c:pt>
                <c:pt idx="612">
                  <c:v>289.7452428201596</c:v>
                </c:pt>
                <c:pt idx="613">
                  <c:v>285.70075852968199</c:v>
                </c:pt>
                <c:pt idx="614">
                  <c:v>288.43871825608755</c:v>
                </c:pt>
                <c:pt idx="615">
                  <c:v>291.60681367166711</c:v>
                </c:pt>
                <c:pt idx="616">
                  <c:v>300.56310503571098</c:v>
                </c:pt>
                <c:pt idx="617">
                  <c:v>307.80389036073041</c:v>
                </c:pt>
                <c:pt idx="618">
                  <c:v>304.11802036848695</c:v>
                </c:pt>
                <c:pt idx="619">
                  <c:v>302.41057307773735</c:v>
                </c:pt>
                <c:pt idx="620">
                  <c:v>309.48917609372393</c:v>
                </c:pt>
                <c:pt idx="621">
                  <c:v>309.89412819453884</c:v>
                </c:pt>
                <c:pt idx="622">
                  <c:v>303.22853602764212</c:v>
                </c:pt>
                <c:pt idx="623">
                  <c:v>301.660102144635</c:v>
                </c:pt>
                <c:pt idx="624">
                  <c:v>305.67839550321906</c:v>
                </c:pt>
                <c:pt idx="625">
                  <c:v>311.26713743187895</c:v>
                </c:pt>
                <c:pt idx="626">
                  <c:v>306.97081725780998</c:v>
                </c:pt>
                <c:pt idx="627">
                  <c:v>307.76762599349308</c:v>
                </c:pt>
                <c:pt idx="628">
                  <c:v>312.87888708686381</c:v>
                </c:pt>
                <c:pt idx="629">
                  <c:v>314.36471880005297</c:v>
                </c:pt>
                <c:pt idx="630">
                  <c:v>313.10453203856167</c:v>
                </c:pt>
                <c:pt idx="631">
                  <c:v>305.67537347261595</c:v>
                </c:pt>
                <c:pt idx="632">
                  <c:v>298.97754631261955</c:v>
                </c:pt>
                <c:pt idx="633">
                  <c:v>301.79407883470554</c:v>
                </c:pt>
                <c:pt idx="634">
                  <c:v>305.61795489115707</c:v>
                </c:pt>
                <c:pt idx="635">
                  <c:v>294.07480533086249</c:v>
                </c:pt>
                <c:pt idx="636">
                  <c:v>285.41366562238767</c:v>
                </c:pt>
                <c:pt idx="637">
                  <c:v>302.85581891992678</c:v>
                </c:pt>
                <c:pt idx="638">
                  <c:v>298.94732600658853</c:v>
                </c:pt>
                <c:pt idx="639">
                  <c:v>302.50022665229574</c:v>
                </c:pt>
                <c:pt idx="640">
                  <c:v>309.12854710842089</c:v>
                </c:pt>
                <c:pt idx="641">
                  <c:v>312.41450171752126</c:v>
                </c:pt>
                <c:pt idx="642">
                  <c:v>323.79043225111116</c:v>
                </c:pt>
                <c:pt idx="643">
                  <c:v>312.28858377572556</c:v>
                </c:pt>
                <c:pt idx="644">
                  <c:v>319.99778384422495</c:v>
                </c:pt>
                <c:pt idx="645">
                  <c:v>324.0755104713366</c:v>
                </c:pt>
                <c:pt idx="646">
                  <c:v>319.27854056068799</c:v>
                </c:pt>
                <c:pt idx="647">
                  <c:v>316.25449527052263</c:v>
                </c:pt>
                <c:pt idx="648">
                  <c:v>306.67163622810341</c:v>
                </c:pt>
                <c:pt idx="649">
                  <c:v>309.7299311984371</c:v>
                </c:pt>
                <c:pt idx="650">
                  <c:v>306.13270743721785</c:v>
                </c:pt>
                <c:pt idx="651">
                  <c:v>307.81698582667701</c:v>
                </c:pt>
                <c:pt idx="652">
                  <c:v>298.92415710529815</c:v>
                </c:pt>
                <c:pt idx="653">
                  <c:v>300.6054134641542</c:v>
                </c:pt>
                <c:pt idx="654">
                  <c:v>303.9951244572942</c:v>
                </c:pt>
                <c:pt idx="655">
                  <c:v>298.91106163935143</c:v>
                </c:pt>
                <c:pt idx="656">
                  <c:v>303.1469412013584</c:v>
                </c:pt>
                <c:pt idx="657">
                  <c:v>299.70484834443141</c:v>
                </c:pt>
                <c:pt idx="658">
                  <c:v>303.20637446988599</c:v>
                </c:pt>
                <c:pt idx="659">
                  <c:v>296.92860956372004</c:v>
                </c:pt>
                <c:pt idx="660">
                  <c:v>291.76899598069986</c:v>
                </c:pt>
                <c:pt idx="661">
                  <c:v>279.44918455540943</c:v>
                </c:pt>
                <c:pt idx="662">
                  <c:v>287.18558289933674</c:v>
                </c:pt>
                <c:pt idx="663">
                  <c:v>296.26879954871072</c:v>
                </c:pt>
                <c:pt idx="664">
                  <c:v>297.66094831320385</c:v>
                </c:pt>
                <c:pt idx="665">
                  <c:v>306.15486899497398</c:v>
                </c:pt>
                <c:pt idx="666">
                  <c:v>313.49135195575815</c:v>
                </c:pt>
                <c:pt idx="667">
                  <c:v>323.37339202788394</c:v>
                </c:pt>
                <c:pt idx="668">
                  <c:v>324.09767202909279</c:v>
                </c:pt>
                <c:pt idx="669">
                  <c:v>320.76638696094602</c:v>
                </c:pt>
                <c:pt idx="670">
                  <c:v>310.89240563709512</c:v>
                </c:pt>
                <c:pt idx="671">
                  <c:v>309.12250304721488</c:v>
                </c:pt>
                <c:pt idx="672">
                  <c:v>321.95203030089419</c:v>
                </c:pt>
                <c:pt idx="673">
                  <c:v>322.1232787017363</c:v>
                </c:pt>
                <c:pt idx="674">
                  <c:v>316.24341449164473</c:v>
                </c:pt>
                <c:pt idx="675">
                  <c:v>308.63494877658189</c:v>
                </c:pt>
                <c:pt idx="676">
                  <c:v>310.60329804273215</c:v>
                </c:pt>
                <c:pt idx="677">
                  <c:v>315.68232414300314</c:v>
                </c:pt>
                <c:pt idx="678">
                  <c:v>312.45278077182724</c:v>
                </c:pt>
                <c:pt idx="679">
                  <c:v>303.82790543058962</c:v>
                </c:pt>
                <c:pt idx="680">
                  <c:v>298.25024428080769</c:v>
                </c:pt>
                <c:pt idx="681">
                  <c:v>305.03772501536258</c:v>
                </c:pt>
                <c:pt idx="682">
                  <c:v>313.92249498846655</c:v>
                </c:pt>
                <c:pt idx="683">
                  <c:v>311.16942510904556</c:v>
                </c:pt>
                <c:pt idx="684">
                  <c:v>306.91440601988558</c:v>
                </c:pt>
                <c:pt idx="685">
                  <c:v>312.83657865842048</c:v>
                </c:pt>
                <c:pt idx="686">
                  <c:v>304.27415861631351</c:v>
                </c:pt>
                <c:pt idx="687">
                  <c:v>313.91745827079467</c:v>
                </c:pt>
                <c:pt idx="688">
                  <c:v>314.61856937071309</c:v>
                </c:pt>
                <c:pt idx="689">
                  <c:v>319.25134228526014</c:v>
                </c:pt>
                <c:pt idx="690">
                  <c:v>313.82176063502999</c:v>
                </c:pt>
                <c:pt idx="691">
                  <c:v>318.5109447875015</c:v>
                </c:pt>
                <c:pt idx="692">
                  <c:v>325.39210847075236</c:v>
                </c:pt>
                <c:pt idx="693">
                  <c:v>331.16317957913247</c:v>
                </c:pt>
                <c:pt idx="694">
                  <c:v>323.11249005248322</c:v>
                </c:pt>
                <c:pt idx="695">
                  <c:v>334.24665813782536</c:v>
                </c:pt>
                <c:pt idx="696">
                  <c:v>334.83595410542921</c:v>
                </c:pt>
                <c:pt idx="697">
                  <c:v>335.52296239586656</c:v>
                </c:pt>
                <c:pt idx="698">
                  <c:v>332.63591582637497</c:v>
                </c:pt>
                <c:pt idx="699">
                  <c:v>342.16437831793843</c:v>
                </c:pt>
                <c:pt idx="700">
                  <c:v>342.72647601011442</c:v>
                </c:pt>
                <c:pt idx="701">
                  <c:v>342.28928891619978</c:v>
                </c:pt>
                <c:pt idx="702">
                  <c:v>336.87683210605377</c:v>
                </c:pt>
                <c:pt idx="703">
                  <c:v>338.60543361102498</c:v>
                </c:pt>
                <c:pt idx="704">
                  <c:v>358.61933495179932</c:v>
                </c:pt>
                <c:pt idx="705">
                  <c:v>350.35911797000199</c:v>
                </c:pt>
                <c:pt idx="706">
                  <c:v>350.75298929193889</c:v>
                </c:pt>
                <c:pt idx="707">
                  <c:v>354.2877577540275</c:v>
                </c:pt>
                <c:pt idx="708">
                  <c:v>355.32532159442394</c:v>
                </c:pt>
                <c:pt idx="709">
                  <c:v>341.80878605030733</c:v>
                </c:pt>
                <c:pt idx="710">
                  <c:v>342.55623495280656</c:v>
                </c:pt>
                <c:pt idx="711">
                  <c:v>338.21962103736297</c:v>
                </c:pt>
                <c:pt idx="712">
                  <c:v>335.30235416184041</c:v>
                </c:pt>
                <c:pt idx="713">
                  <c:v>340.24337419790339</c:v>
                </c:pt>
                <c:pt idx="714">
                  <c:v>333.85480150295723</c:v>
                </c:pt>
                <c:pt idx="715">
                  <c:v>332.85753140393535</c:v>
                </c:pt>
                <c:pt idx="716">
                  <c:v>342.49680168427909</c:v>
                </c:pt>
                <c:pt idx="717">
                  <c:v>338.25185603046276</c:v>
                </c:pt>
                <c:pt idx="718">
                  <c:v>315.32572453183775</c:v>
                </c:pt>
                <c:pt idx="719">
                  <c:v>316.96467246225046</c:v>
                </c:pt>
                <c:pt idx="720">
                  <c:v>322.11119057932399</c:v>
                </c:pt>
                <c:pt idx="721">
                  <c:v>320.38158173081837</c:v>
                </c:pt>
                <c:pt idx="722">
                  <c:v>316.58893332393217</c:v>
                </c:pt>
                <c:pt idx="723">
                  <c:v>310.69295161729076</c:v>
                </c:pt>
                <c:pt idx="724">
                  <c:v>313.48430055101761</c:v>
                </c:pt>
                <c:pt idx="725">
                  <c:v>320.60420465191322</c:v>
                </c:pt>
                <c:pt idx="726">
                  <c:v>314.26499179015093</c:v>
                </c:pt>
                <c:pt idx="727">
                  <c:v>315.98049782917542</c:v>
                </c:pt>
                <c:pt idx="728">
                  <c:v>312.7751307028243</c:v>
                </c:pt>
                <c:pt idx="729">
                  <c:v>313.91443624019172</c:v>
                </c:pt>
                <c:pt idx="730">
                  <c:v>315.70146367015616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64-4F22-B652-045BE8BA3F5D}"/>
            </c:ext>
          </c:extLst>
        </c:ser>
        <c:ser>
          <c:idx val="9"/>
          <c:order val="3"/>
          <c:tx>
            <c:strRef>
              <c:f>Index!$Y$1</c:f>
              <c:strCache>
                <c:ptCount val="1"/>
                <c:pt idx="0">
                  <c:v>Ports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Index!$Y$2:$Y$732</c:f>
              <c:numCache>
                <c:formatCode>General</c:formatCode>
                <c:ptCount val="731"/>
                <c:pt idx="0">
                  <c:v>100</c:v>
                </c:pt>
                <c:pt idx="1">
                  <c:v>101.42690626517728</c:v>
                </c:pt>
                <c:pt idx="2">
                  <c:v>101.21321029626033</c:v>
                </c:pt>
                <c:pt idx="3">
                  <c:v>100.6945118989801</c:v>
                </c:pt>
                <c:pt idx="4">
                  <c:v>95.934919864011661</c:v>
                </c:pt>
                <c:pt idx="5">
                  <c:v>92.420592520641094</c:v>
                </c:pt>
                <c:pt idx="6">
                  <c:v>93.661971830985919</c:v>
                </c:pt>
                <c:pt idx="7">
                  <c:v>95.436619718309856</c:v>
                </c:pt>
                <c:pt idx="8">
                  <c:v>95.524040796503144</c:v>
                </c:pt>
                <c:pt idx="9">
                  <c:v>98.548810101991236</c:v>
                </c:pt>
                <c:pt idx="10">
                  <c:v>92.740165128703239</c:v>
                </c:pt>
                <c:pt idx="11">
                  <c:v>94.897523069451182</c:v>
                </c:pt>
                <c:pt idx="12">
                  <c:v>94.918892666342884</c:v>
                </c:pt>
                <c:pt idx="13">
                  <c:v>95.066537153958222</c:v>
                </c:pt>
                <c:pt idx="14">
                  <c:v>97.089849441476417</c:v>
                </c:pt>
                <c:pt idx="15">
                  <c:v>97.215152986886807</c:v>
                </c:pt>
                <c:pt idx="16">
                  <c:v>95.497814473045125</c:v>
                </c:pt>
                <c:pt idx="17">
                  <c:v>99.085964060223361</c:v>
                </c:pt>
                <c:pt idx="18">
                  <c:v>100.19718309859149</c:v>
                </c:pt>
                <c:pt idx="19">
                  <c:v>102.80913064594458</c:v>
                </c:pt>
                <c:pt idx="20">
                  <c:v>102.45167557066532</c:v>
                </c:pt>
                <c:pt idx="21">
                  <c:v>97.871782418649786</c:v>
                </c:pt>
                <c:pt idx="22">
                  <c:v>106.89363768819811</c:v>
                </c:pt>
                <c:pt idx="23">
                  <c:v>104.79844584749874</c:v>
                </c:pt>
                <c:pt idx="24">
                  <c:v>106.53715395823208</c:v>
                </c:pt>
                <c:pt idx="25">
                  <c:v>105.68334142787755</c:v>
                </c:pt>
                <c:pt idx="26">
                  <c:v>106.32928606119469</c:v>
                </c:pt>
                <c:pt idx="27">
                  <c:v>103.9203496843127</c:v>
                </c:pt>
                <c:pt idx="28">
                  <c:v>100.0505099562894</c:v>
                </c:pt>
                <c:pt idx="29">
                  <c:v>101.39970859640597</c:v>
                </c:pt>
                <c:pt idx="30">
                  <c:v>99.720252549781378</c:v>
                </c:pt>
                <c:pt idx="31">
                  <c:v>100.88586692569201</c:v>
                </c:pt>
                <c:pt idx="32">
                  <c:v>103.1811559009227</c:v>
                </c:pt>
                <c:pt idx="33">
                  <c:v>101.25594949004365</c:v>
                </c:pt>
                <c:pt idx="34">
                  <c:v>102.79941719281197</c:v>
                </c:pt>
                <c:pt idx="35">
                  <c:v>106.90626517727043</c:v>
                </c:pt>
                <c:pt idx="36">
                  <c:v>109.46770276833406</c:v>
                </c:pt>
                <c:pt idx="37">
                  <c:v>113.69305488101011</c:v>
                </c:pt>
                <c:pt idx="38">
                  <c:v>114.41185041282166</c:v>
                </c:pt>
                <c:pt idx="39">
                  <c:v>113.6318601262748</c:v>
                </c:pt>
                <c:pt idx="40">
                  <c:v>113.61049052938311</c:v>
                </c:pt>
                <c:pt idx="41">
                  <c:v>116.46527440505092</c:v>
                </c:pt>
                <c:pt idx="42">
                  <c:v>117.54735308402131</c:v>
                </c:pt>
                <c:pt idx="43">
                  <c:v>119.57649344341905</c:v>
                </c:pt>
                <c:pt idx="44">
                  <c:v>121.568722680913</c:v>
                </c:pt>
                <c:pt idx="45">
                  <c:v>120.76930548810095</c:v>
                </c:pt>
                <c:pt idx="46">
                  <c:v>120.74696454589601</c:v>
                </c:pt>
                <c:pt idx="47">
                  <c:v>120.63525983487126</c:v>
                </c:pt>
                <c:pt idx="48">
                  <c:v>123.61826129188924</c:v>
                </c:pt>
                <c:pt idx="49">
                  <c:v>123.74939290917918</c:v>
                </c:pt>
                <c:pt idx="50">
                  <c:v>124.10199125789215</c:v>
                </c:pt>
                <c:pt idx="51">
                  <c:v>128.04856726566291</c:v>
                </c:pt>
                <c:pt idx="52">
                  <c:v>131.98154443904804</c:v>
                </c:pt>
                <c:pt idx="53">
                  <c:v>135.41427877610485</c:v>
                </c:pt>
                <c:pt idx="54">
                  <c:v>134.60806216610001</c:v>
                </c:pt>
                <c:pt idx="55">
                  <c:v>135.04808159300626</c:v>
                </c:pt>
                <c:pt idx="56">
                  <c:v>136.32540067994168</c:v>
                </c:pt>
                <c:pt idx="57">
                  <c:v>138.76736279747445</c:v>
                </c:pt>
                <c:pt idx="58">
                  <c:v>138.88489558037878</c:v>
                </c:pt>
                <c:pt idx="59">
                  <c:v>140.13113161728992</c:v>
                </c:pt>
                <c:pt idx="60">
                  <c:v>144.24575036425446</c:v>
                </c:pt>
                <c:pt idx="61">
                  <c:v>146.2826614861583</c:v>
                </c:pt>
                <c:pt idx="62">
                  <c:v>140.79844584749875</c:v>
                </c:pt>
                <c:pt idx="63">
                  <c:v>144.97814473045165</c:v>
                </c:pt>
                <c:pt idx="64">
                  <c:v>141.06070908207866</c:v>
                </c:pt>
                <c:pt idx="65">
                  <c:v>144.56240893637687</c:v>
                </c:pt>
                <c:pt idx="66">
                  <c:v>145.39970859640601</c:v>
                </c:pt>
                <c:pt idx="67">
                  <c:v>142.360369111219</c:v>
                </c:pt>
                <c:pt idx="68">
                  <c:v>134.22535211267601</c:v>
                </c:pt>
                <c:pt idx="69">
                  <c:v>132.89363768819811</c:v>
                </c:pt>
                <c:pt idx="70">
                  <c:v>135.57455075279256</c:v>
                </c:pt>
                <c:pt idx="71">
                  <c:v>131.50558523555117</c:v>
                </c:pt>
                <c:pt idx="72">
                  <c:v>133.53375424963571</c:v>
                </c:pt>
                <c:pt idx="73">
                  <c:v>135.62991743564834</c:v>
                </c:pt>
                <c:pt idx="74">
                  <c:v>136.68965517241375</c:v>
                </c:pt>
                <c:pt idx="75">
                  <c:v>136.01554152501208</c:v>
                </c:pt>
                <c:pt idx="76">
                  <c:v>134.60611947547349</c:v>
                </c:pt>
                <c:pt idx="77">
                  <c:v>130.43419135502668</c:v>
                </c:pt>
                <c:pt idx="78">
                  <c:v>129.75327829043223</c:v>
                </c:pt>
                <c:pt idx="79">
                  <c:v>129.22098105876637</c:v>
                </c:pt>
                <c:pt idx="80">
                  <c:v>131.59009227780476</c:v>
                </c:pt>
                <c:pt idx="81">
                  <c:v>127.36182612918893</c:v>
                </c:pt>
                <c:pt idx="82">
                  <c:v>128.26032054395338</c:v>
                </c:pt>
                <c:pt idx="83">
                  <c:v>128.30014570179699</c:v>
                </c:pt>
                <c:pt idx="84">
                  <c:v>129.88440990772222</c:v>
                </c:pt>
                <c:pt idx="85">
                  <c:v>131.69985429820301</c:v>
                </c:pt>
                <c:pt idx="86">
                  <c:v>132.27780475959204</c:v>
                </c:pt>
                <c:pt idx="87">
                  <c:v>132.16901408450707</c:v>
                </c:pt>
                <c:pt idx="88">
                  <c:v>137.62991743564839</c:v>
                </c:pt>
                <c:pt idx="89">
                  <c:v>137.20058280718797</c:v>
                </c:pt>
                <c:pt idx="90">
                  <c:v>137.86012627489072</c:v>
                </c:pt>
                <c:pt idx="91">
                  <c:v>138.2496357455075</c:v>
                </c:pt>
                <c:pt idx="92">
                  <c:v>141.2627489072365</c:v>
                </c:pt>
                <c:pt idx="93">
                  <c:v>142.64303059737733</c:v>
                </c:pt>
                <c:pt idx="94">
                  <c:v>147.38708110733359</c:v>
                </c:pt>
                <c:pt idx="95">
                  <c:v>147.29577464788727</c:v>
                </c:pt>
                <c:pt idx="96">
                  <c:v>151.2268091306459</c:v>
                </c:pt>
                <c:pt idx="97">
                  <c:v>155.86595434677025</c:v>
                </c:pt>
                <c:pt idx="98">
                  <c:v>156.97037396794556</c:v>
                </c:pt>
                <c:pt idx="99">
                  <c:v>161.29674599320052</c:v>
                </c:pt>
                <c:pt idx="100">
                  <c:v>167.24623603691106</c:v>
                </c:pt>
                <c:pt idx="101">
                  <c:v>166.60611947547349</c:v>
                </c:pt>
                <c:pt idx="102">
                  <c:v>167.26274890723647</c:v>
                </c:pt>
                <c:pt idx="103">
                  <c:v>167.55026711996112</c:v>
                </c:pt>
                <c:pt idx="104">
                  <c:v>169.1636716852841</c:v>
                </c:pt>
                <c:pt idx="105">
                  <c:v>163.25303545410392</c:v>
                </c:pt>
                <c:pt idx="106">
                  <c:v>165.71442447790187</c:v>
                </c:pt>
                <c:pt idx="107">
                  <c:v>169.06847984458472</c:v>
                </c:pt>
                <c:pt idx="108">
                  <c:v>166.5497814473045</c:v>
                </c:pt>
                <c:pt idx="109">
                  <c:v>174.93637688198152</c:v>
                </c:pt>
                <c:pt idx="110">
                  <c:v>172.96648858669255</c:v>
                </c:pt>
                <c:pt idx="111">
                  <c:v>173.67945604662455</c:v>
                </c:pt>
                <c:pt idx="112">
                  <c:v>172.20592520641085</c:v>
                </c:pt>
                <c:pt idx="113">
                  <c:v>174.99660029140355</c:v>
                </c:pt>
                <c:pt idx="114">
                  <c:v>173.27343370568232</c:v>
                </c:pt>
                <c:pt idx="115">
                  <c:v>175.01117047110245</c:v>
                </c:pt>
                <c:pt idx="116">
                  <c:v>169.13744536182608</c:v>
                </c:pt>
                <c:pt idx="117">
                  <c:v>169.28023312287513</c:v>
                </c:pt>
                <c:pt idx="118">
                  <c:v>170.93734822729473</c:v>
                </c:pt>
                <c:pt idx="119">
                  <c:v>168.05148130160265</c:v>
                </c:pt>
                <c:pt idx="120">
                  <c:v>166.48858669256916</c:v>
                </c:pt>
                <c:pt idx="121">
                  <c:v>162.24672170956771</c:v>
                </c:pt>
                <c:pt idx="122">
                  <c:v>161.80573093734819</c:v>
                </c:pt>
                <c:pt idx="123">
                  <c:v>157.37931034482756</c:v>
                </c:pt>
                <c:pt idx="124">
                  <c:v>158.76930548810097</c:v>
                </c:pt>
                <c:pt idx="125">
                  <c:v>159.7105390966488</c:v>
                </c:pt>
                <c:pt idx="126">
                  <c:v>160.36134045653225</c:v>
                </c:pt>
                <c:pt idx="127">
                  <c:v>165.69985429820298</c:v>
                </c:pt>
                <c:pt idx="128">
                  <c:v>165.67265662943171</c:v>
                </c:pt>
                <c:pt idx="129">
                  <c:v>163.58523555123841</c:v>
                </c:pt>
                <c:pt idx="130">
                  <c:v>160.47207382224377</c:v>
                </c:pt>
                <c:pt idx="131">
                  <c:v>156.6789703739679</c:v>
                </c:pt>
                <c:pt idx="132">
                  <c:v>154.53909664885862</c:v>
                </c:pt>
                <c:pt idx="133">
                  <c:v>153.62894609033506</c:v>
                </c:pt>
                <c:pt idx="134">
                  <c:v>155.63574550752787</c:v>
                </c:pt>
                <c:pt idx="135">
                  <c:v>158.2729480330257</c:v>
                </c:pt>
                <c:pt idx="136">
                  <c:v>159.86206896551718</c:v>
                </c:pt>
                <c:pt idx="137">
                  <c:v>158.84215638659538</c:v>
                </c:pt>
                <c:pt idx="138">
                  <c:v>159.04808159300626</c:v>
                </c:pt>
                <c:pt idx="139">
                  <c:v>162.27100534239915</c:v>
                </c:pt>
                <c:pt idx="140">
                  <c:v>165.28217581350162</c:v>
                </c:pt>
                <c:pt idx="141">
                  <c:v>166.44973288003877</c:v>
                </c:pt>
                <c:pt idx="142">
                  <c:v>164.90237979601741</c:v>
                </c:pt>
                <c:pt idx="143">
                  <c:v>168.97911607576486</c:v>
                </c:pt>
                <c:pt idx="144">
                  <c:v>166.56338028169006</c:v>
                </c:pt>
                <c:pt idx="145">
                  <c:v>160.994657600777</c:v>
                </c:pt>
                <c:pt idx="146">
                  <c:v>163.69111219038359</c:v>
                </c:pt>
                <c:pt idx="147">
                  <c:v>164.83632831471579</c:v>
                </c:pt>
                <c:pt idx="148">
                  <c:v>173.70859640602222</c:v>
                </c:pt>
                <c:pt idx="149">
                  <c:v>173.31228751821263</c:v>
                </c:pt>
                <c:pt idx="150">
                  <c:v>170.36619718309851</c:v>
                </c:pt>
                <c:pt idx="151">
                  <c:v>171.57066537153949</c:v>
                </c:pt>
                <c:pt idx="152">
                  <c:v>184.53715395823204</c:v>
                </c:pt>
                <c:pt idx="153">
                  <c:v>184.27780475959193</c:v>
                </c:pt>
                <c:pt idx="154">
                  <c:v>186.18941233608538</c:v>
                </c:pt>
                <c:pt idx="155">
                  <c:v>182.84507042253514</c:v>
                </c:pt>
                <c:pt idx="156">
                  <c:v>183.41816415735784</c:v>
                </c:pt>
                <c:pt idx="157">
                  <c:v>186.26517727051956</c:v>
                </c:pt>
                <c:pt idx="158">
                  <c:v>193.04419621175319</c:v>
                </c:pt>
                <c:pt idx="159">
                  <c:v>191.40165128703245</c:v>
                </c:pt>
                <c:pt idx="160">
                  <c:v>193.23069451189886</c:v>
                </c:pt>
                <c:pt idx="161">
                  <c:v>191.29286061194742</c:v>
                </c:pt>
                <c:pt idx="162">
                  <c:v>199.06070908207852</c:v>
                </c:pt>
                <c:pt idx="163">
                  <c:v>199.95240407965017</c:v>
                </c:pt>
                <c:pt idx="164">
                  <c:v>198.38271005342381</c:v>
                </c:pt>
                <c:pt idx="165">
                  <c:v>197.41136474016494</c:v>
                </c:pt>
                <c:pt idx="166">
                  <c:v>194.484701311316</c:v>
                </c:pt>
                <c:pt idx="167">
                  <c:v>201.28411850412803</c:v>
                </c:pt>
                <c:pt idx="168">
                  <c:v>214.9839728023311</c:v>
                </c:pt>
                <c:pt idx="169">
                  <c:v>220.39339485186969</c:v>
                </c:pt>
                <c:pt idx="170">
                  <c:v>222.42059252064095</c:v>
                </c:pt>
                <c:pt idx="171">
                  <c:v>217.24332200097118</c:v>
                </c:pt>
                <c:pt idx="172">
                  <c:v>227.54346770276817</c:v>
                </c:pt>
                <c:pt idx="173">
                  <c:v>229.47935891209306</c:v>
                </c:pt>
                <c:pt idx="174">
                  <c:v>233.78630403108289</c:v>
                </c:pt>
                <c:pt idx="175">
                  <c:v>235.40747935891193</c:v>
                </c:pt>
                <c:pt idx="176">
                  <c:v>221.05973773676527</c:v>
                </c:pt>
                <c:pt idx="177">
                  <c:v>240.57406508013582</c:v>
                </c:pt>
                <c:pt idx="178">
                  <c:v>245.14521612433202</c:v>
                </c:pt>
                <c:pt idx="179">
                  <c:v>237.99222923749377</c:v>
                </c:pt>
                <c:pt idx="180">
                  <c:v>264.59543467702753</c:v>
                </c:pt>
                <c:pt idx="181">
                  <c:v>273.05002428363269</c:v>
                </c:pt>
                <c:pt idx="182">
                  <c:v>273.04516755706641</c:v>
                </c:pt>
                <c:pt idx="183">
                  <c:v>272.48567265662928</c:v>
                </c:pt>
                <c:pt idx="184">
                  <c:v>268.70033997085949</c:v>
                </c:pt>
                <c:pt idx="185">
                  <c:v>272.09033511413293</c:v>
                </c:pt>
                <c:pt idx="186">
                  <c:v>273.40456532297213</c:v>
                </c:pt>
                <c:pt idx="187">
                  <c:v>280.61680427391917</c:v>
                </c:pt>
                <c:pt idx="188">
                  <c:v>280.84701311316155</c:v>
                </c:pt>
                <c:pt idx="189">
                  <c:v>280.51384167071376</c:v>
                </c:pt>
                <c:pt idx="190">
                  <c:v>291.08693540553651</c:v>
                </c:pt>
                <c:pt idx="191">
                  <c:v>294.05245264691587</c:v>
                </c:pt>
                <c:pt idx="192">
                  <c:v>288.49247207382217</c:v>
                </c:pt>
                <c:pt idx="193">
                  <c:v>273.04711024769296</c:v>
                </c:pt>
                <c:pt idx="194">
                  <c:v>276.86158329286053</c:v>
                </c:pt>
                <c:pt idx="195">
                  <c:v>294.13113161728984</c:v>
                </c:pt>
                <c:pt idx="196">
                  <c:v>291.78338999514318</c:v>
                </c:pt>
                <c:pt idx="197">
                  <c:v>286.83535696940254</c:v>
                </c:pt>
                <c:pt idx="198">
                  <c:v>286.40796503156866</c:v>
                </c:pt>
                <c:pt idx="199">
                  <c:v>290.47304516755702</c:v>
                </c:pt>
                <c:pt idx="200">
                  <c:v>287.76104905293829</c:v>
                </c:pt>
                <c:pt idx="201">
                  <c:v>300.27683341427871</c:v>
                </c:pt>
                <c:pt idx="202">
                  <c:v>299.06556580864492</c:v>
                </c:pt>
                <c:pt idx="203">
                  <c:v>321.5327829043224</c:v>
                </c:pt>
                <c:pt idx="204">
                  <c:v>343.25497814473039</c:v>
                </c:pt>
                <c:pt idx="205">
                  <c:v>350.16221466731417</c:v>
                </c:pt>
                <c:pt idx="206">
                  <c:v>341.2928606119475</c:v>
                </c:pt>
                <c:pt idx="207">
                  <c:v>344.19329771733845</c:v>
                </c:pt>
                <c:pt idx="208">
                  <c:v>342.31568722680908</c:v>
                </c:pt>
                <c:pt idx="209">
                  <c:v>338.62846041767841</c:v>
                </c:pt>
                <c:pt idx="210">
                  <c:v>333.51432734337055</c:v>
                </c:pt>
                <c:pt idx="211">
                  <c:v>345.70859640602231</c:v>
                </c:pt>
                <c:pt idx="212">
                  <c:v>340.7897037396794</c:v>
                </c:pt>
                <c:pt idx="213">
                  <c:v>341.20738222438075</c:v>
                </c:pt>
                <c:pt idx="214">
                  <c:v>343.0315687226809</c:v>
                </c:pt>
                <c:pt idx="215">
                  <c:v>350.14570179698882</c:v>
                </c:pt>
                <c:pt idx="216">
                  <c:v>347.60660514813014</c:v>
                </c:pt>
                <c:pt idx="217">
                  <c:v>326.67508499271486</c:v>
                </c:pt>
                <c:pt idx="218">
                  <c:v>332.65274405050991</c:v>
                </c:pt>
                <c:pt idx="219">
                  <c:v>329.12093249150075</c:v>
                </c:pt>
                <c:pt idx="220">
                  <c:v>335.36765420106849</c:v>
                </c:pt>
                <c:pt idx="221">
                  <c:v>334.21078193297711</c:v>
                </c:pt>
                <c:pt idx="222">
                  <c:v>340.70131131617285</c:v>
                </c:pt>
                <c:pt idx="223">
                  <c:v>336.19329771733845</c:v>
                </c:pt>
                <c:pt idx="224">
                  <c:v>342.67119961146187</c:v>
                </c:pt>
                <c:pt idx="225">
                  <c:v>333.97960174842154</c:v>
                </c:pt>
                <c:pt idx="226">
                  <c:v>337.41330743079163</c:v>
                </c:pt>
                <c:pt idx="227">
                  <c:v>331.48907236522581</c:v>
                </c:pt>
                <c:pt idx="228">
                  <c:v>336.16610004856722</c:v>
                </c:pt>
                <c:pt idx="229">
                  <c:v>341.27634774162209</c:v>
                </c:pt>
                <c:pt idx="230">
                  <c:v>340.58086449732872</c:v>
                </c:pt>
                <c:pt idx="231">
                  <c:v>323.35114133074302</c:v>
                </c:pt>
                <c:pt idx="232">
                  <c:v>326.50509956289449</c:v>
                </c:pt>
                <c:pt idx="233">
                  <c:v>337.89120932491488</c:v>
                </c:pt>
                <c:pt idx="234">
                  <c:v>342.03593977659045</c:v>
                </c:pt>
                <c:pt idx="235">
                  <c:v>359.99320058280699</c:v>
                </c:pt>
                <c:pt idx="236">
                  <c:v>368.33608547838736</c:v>
                </c:pt>
                <c:pt idx="237">
                  <c:v>358.56823700825623</c:v>
                </c:pt>
                <c:pt idx="238">
                  <c:v>337.86304031083029</c:v>
                </c:pt>
                <c:pt idx="239">
                  <c:v>339.4375910636229</c:v>
                </c:pt>
                <c:pt idx="240">
                  <c:v>347.83195726080601</c:v>
                </c:pt>
                <c:pt idx="241">
                  <c:v>304.52161243321984</c:v>
                </c:pt>
                <c:pt idx="242">
                  <c:v>343.90966488586673</c:v>
                </c:pt>
                <c:pt idx="243">
                  <c:v>358.20495386109735</c:v>
                </c:pt>
                <c:pt idx="244">
                  <c:v>348.23409422049514</c:v>
                </c:pt>
                <c:pt idx="245">
                  <c:v>367.57940747935868</c:v>
                </c:pt>
                <c:pt idx="246">
                  <c:v>403.74065080135966</c:v>
                </c:pt>
                <c:pt idx="247">
                  <c:v>409.47158814958692</c:v>
                </c:pt>
                <c:pt idx="248">
                  <c:v>400.85089849441454</c:v>
                </c:pt>
                <c:pt idx="249">
                  <c:v>402.11850412821741</c:v>
                </c:pt>
                <c:pt idx="250">
                  <c:v>392.77513355998036</c:v>
                </c:pt>
                <c:pt idx="251">
                  <c:v>432.74016512870304</c:v>
                </c:pt>
                <c:pt idx="252">
                  <c:v>455.29771733851356</c:v>
                </c:pt>
                <c:pt idx="253">
                  <c:v>430.05828071879529</c:v>
                </c:pt>
                <c:pt idx="254">
                  <c:v>406.3642544924719</c:v>
                </c:pt>
                <c:pt idx="255">
                  <c:v>363.74162214667291</c:v>
                </c:pt>
                <c:pt idx="256">
                  <c:v>424.57017969888273</c:v>
                </c:pt>
                <c:pt idx="257">
                  <c:v>423.91257892180653</c:v>
                </c:pt>
                <c:pt idx="258">
                  <c:v>405.89218067022807</c:v>
                </c:pt>
                <c:pt idx="259">
                  <c:v>406.44099077221938</c:v>
                </c:pt>
                <c:pt idx="260">
                  <c:v>412.43904808159289</c:v>
                </c:pt>
                <c:pt idx="261">
                  <c:v>408.20398251578422</c:v>
                </c:pt>
                <c:pt idx="262">
                  <c:v>391.79018941233596</c:v>
                </c:pt>
                <c:pt idx="263">
                  <c:v>355.49684312773178</c:v>
                </c:pt>
                <c:pt idx="264">
                  <c:v>356.98688683827083</c:v>
                </c:pt>
                <c:pt idx="265">
                  <c:v>355.77367654201055</c:v>
                </c:pt>
                <c:pt idx="266">
                  <c:v>330.34774162214654</c:v>
                </c:pt>
                <c:pt idx="267">
                  <c:v>350.66440019426892</c:v>
                </c:pt>
                <c:pt idx="268">
                  <c:v>347.23360854783863</c:v>
                </c:pt>
                <c:pt idx="269">
                  <c:v>359.77659057795029</c:v>
                </c:pt>
                <c:pt idx="270">
                  <c:v>326.08936376881968</c:v>
                </c:pt>
                <c:pt idx="271">
                  <c:v>312.05245264691581</c:v>
                </c:pt>
                <c:pt idx="272">
                  <c:v>304.32734337056809</c:v>
                </c:pt>
                <c:pt idx="273">
                  <c:v>334.02234094220478</c:v>
                </c:pt>
                <c:pt idx="274">
                  <c:v>349.63865954346755</c:v>
                </c:pt>
                <c:pt idx="275">
                  <c:v>339.69596891694982</c:v>
                </c:pt>
                <c:pt idx="276">
                  <c:v>354.97134531325867</c:v>
                </c:pt>
                <c:pt idx="277">
                  <c:v>376.8703254006798</c:v>
                </c:pt>
                <c:pt idx="278">
                  <c:v>372.21855269548308</c:v>
                </c:pt>
                <c:pt idx="279">
                  <c:v>350.05148130160262</c:v>
                </c:pt>
                <c:pt idx="280">
                  <c:v>355.83681398737235</c:v>
                </c:pt>
                <c:pt idx="281">
                  <c:v>345.74356483729946</c:v>
                </c:pt>
                <c:pt idx="282">
                  <c:v>347.19475473530821</c:v>
                </c:pt>
                <c:pt idx="283">
                  <c:v>343.64351627003384</c:v>
                </c:pt>
                <c:pt idx="284">
                  <c:v>318.37202525497798</c:v>
                </c:pt>
                <c:pt idx="285">
                  <c:v>319.68722680913044</c:v>
                </c:pt>
                <c:pt idx="286">
                  <c:v>307.41913550267105</c:v>
                </c:pt>
                <c:pt idx="287">
                  <c:v>287.07430791646414</c:v>
                </c:pt>
                <c:pt idx="288">
                  <c:v>289.56289460903344</c:v>
                </c:pt>
                <c:pt idx="289">
                  <c:v>285.59009227780467</c:v>
                </c:pt>
                <c:pt idx="290">
                  <c:v>298.63428848955795</c:v>
                </c:pt>
                <c:pt idx="291">
                  <c:v>282.60417678484691</c:v>
                </c:pt>
                <c:pt idx="292">
                  <c:v>277.71442447790179</c:v>
                </c:pt>
                <c:pt idx="293">
                  <c:v>279.23166585721208</c:v>
                </c:pt>
                <c:pt idx="294">
                  <c:v>275.54346770276811</c:v>
                </c:pt>
                <c:pt idx="295">
                  <c:v>284.12627489072344</c:v>
                </c:pt>
                <c:pt idx="296">
                  <c:v>265.55900922778022</c:v>
                </c:pt>
                <c:pt idx="297">
                  <c:v>250.89460903351119</c:v>
                </c:pt>
                <c:pt idx="298">
                  <c:v>253.23749392909156</c:v>
                </c:pt>
                <c:pt idx="299">
                  <c:v>246.80427391937809</c:v>
                </c:pt>
                <c:pt idx="300">
                  <c:v>217.9339485186982</c:v>
                </c:pt>
                <c:pt idx="301">
                  <c:v>161.82418649829998</c:v>
                </c:pt>
                <c:pt idx="302">
                  <c:v>178.18844099077202</c:v>
                </c:pt>
                <c:pt idx="303">
                  <c:v>133.93977659057779</c:v>
                </c:pt>
                <c:pt idx="304">
                  <c:v>148.29043224866422</c:v>
                </c:pt>
                <c:pt idx="305">
                  <c:v>147.76590577950441</c:v>
                </c:pt>
                <c:pt idx="306">
                  <c:v>132.56435162700322</c:v>
                </c:pt>
                <c:pt idx="307">
                  <c:v>113.11413307430776</c:v>
                </c:pt>
                <c:pt idx="308">
                  <c:v>129.99514327343351</c:v>
                </c:pt>
                <c:pt idx="309">
                  <c:v>121.11219038368122</c:v>
                </c:pt>
                <c:pt idx="310">
                  <c:v>133.08013598834367</c:v>
                </c:pt>
                <c:pt idx="311">
                  <c:v>138.2224380767361</c:v>
                </c:pt>
                <c:pt idx="312">
                  <c:v>135.71345313258848</c:v>
                </c:pt>
                <c:pt idx="313">
                  <c:v>145.16075764934416</c:v>
                </c:pt>
                <c:pt idx="314">
                  <c:v>138.923749392909</c:v>
                </c:pt>
                <c:pt idx="315">
                  <c:v>120.16221466731406</c:v>
                </c:pt>
                <c:pt idx="316">
                  <c:v>106.52841185041268</c:v>
                </c:pt>
                <c:pt idx="317">
                  <c:v>112.32345798931505</c:v>
                </c:pt>
                <c:pt idx="318">
                  <c:v>113.21321029626017</c:v>
                </c:pt>
                <c:pt idx="319">
                  <c:v>115.79407479358896</c:v>
                </c:pt>
                <c:pt idx="320">
                  <c:v>105.87275376396296</c:v>
                </c:pt>
                <c:pt idx="321">
                  <c:v>100.41767848470118</c:v>
                </c:pt>
                <c:pt idx="322">
                  <c:v>99.914521612433091</c:v>
                </c:pt>
                <c:pt idx="323">
                  <c:v>103.76007770762494</c:v>
                </c:pt>
                <c:pt idx="324">
                  <c:v>113.76202039825147</c:v>
                </c:pt>
                <c:pt idx="325">
                  <c:v>139.47935891209312</c:v>
                </c:pt>
                <c:pt idx="326">
                  <c:v>144.27391937833883</c:v>
                </c:pt>
                <c:pt idx="327">
                  <c:v>137.77659057795032</c:v>
                </c:pt>
                <c:pt idx="328">
                  <c:v>142.74405050995611</c:v>
                </c:pt>
                <c:pt idx="329">
                  <c:v>139.3113161728993</c:v>
                </c:pt>
                <c:pt idx="330">
                  <c:v>143.42204953861079</c:v>
                </c:pt>
                <c:pt idx="331">
                  <c:v>171.4278776104903</c:v>
                </c:pt>
                <c:pt idx="332">
                  <c:v>161.44536182612896</c:v>
                </c:pt>
                <c:pt idx="333">
                  <c:v>172.81495871782394</c:v>
                </c:pt>
                <c:pt idx="334">
                  <c:v>182.4021369596889</c:v>
                </c:pt>
                <c:pt idx="335">
                  <c:v>194.24089363768795</c:v>
                </c:pt>
                <c:pt idx="336">
                  <c:v>188.87032540067969</c:v>
                </c:pt>
                <c:pt idx="337">
                  <c:v>175.07236522583753</c:v>
                </c:pt>
                <c:pt idx="338">
                  <c:v>171.9086935405534</c:v>
                </c:pt>
                <c:pt idx="339">
                  <c:v>171.74065080135961</c:v>
                </c:pt>
                <c:pt idx="340">
                  <c:v>157.04225352112653</c:v>
                </c:pt>
                <c:pt idx="341">
                  <c:v>183.67071393880497</c:v>
                </c:pt>
                <c:pt idx="342">
                  <c:v>191.61243322000942</c:v>
                </c:pt>
                <c:pt idx="343">
                  <c:v>190.63623118018424</c:v>
                </c:pt>
                <c:pt idx="344">
                  <c:v>195.77853326857667</c:v>
                </c:pt>
                <c:pt idx="345">
                  <c:v>196.2389509470614</c:v>
                </c:pt>
                <c:pt idx="346">
                  <c:v>189.45604662457478</c:v>
                </c:pt>
                <c:pt idx="347">
                  <c:v>197.15298688683799</c:v>
                </c:pt>
                <c:pt idx="348">
                  <c:v>201.07916464303031</c:v>
                </c:pt>
                <c:pt idx="349">
                  <c:v>218.63040310830468</c:v>
                </c:pt>
                <c:pt idx="350">
                  <c:v>218.41282175813467</c:v>
                </c:pt>
                <c:pt idx="351">
                  <c:v>217.79893152015504</c:v>
                </c:pt>
                <c:pt idx="352">
                  <c:v>214.15832928606085</c:v>
                </c:pt>
                <c:pt idx="353">
                  <c:v>216.42447790189377</c:v>
                </c:pt>
                <c:pt idx="354">
                  <c:v>219.5968916949972</c:v>
                </c:pt>
                <c:pt idx="355">
                  <c:v>216.54686741136436</c:v>
                </c:pt>
                <c:pt idx="356">
                  <c:v>201.5949490043707</c:v>
                </c:pt>
                <c:pt idx="357">
                  <c:v>197.96891694997535</c:v>
                </c:pt>
                <c:pt idx="358">
                  <c:v>205.76299174356447</c:v>
                </c:pt>
                <c:pt idx="359">
                  <c:v>198.19718309859121</c:v>
                </c:pt>
                <c:pt idx="360">
                  <c:v>184.35648372996567</c:v>
                </c:pt>
                <c:pt idx="361">
                  <c:v>186.06410879067474</c:v>
                </c:pt>
                <c:pt idx="362">
                  <c:v>174.33025740650768</c:v>
                </c:pt>
                <c:pt idx="363">
                  <c:v>182.22826614861549</c:v>
                </c:pt>
                <c:pt idx="364">
                  <c:v>190.37202525497779</c:v>
                </c:pt>
                <c:pt idx="365">
                  <c:v>192.32637202525461</c:v>
                </c:pt>
                <c:pt idx="366">
                  <c:v>204.66731423020846</c:v>
                </c:pt>
                <c:pt idx="367">
                  <c:v>211.83584264205885</c:v>
                </c:pt>
                <c:pt idx="368">
                  <c:v>208.68965517241341</c:v>
                </c:pt>
                <c:pt idx="369">
                  <c:v>199.40456532297193</c:v>
                </c:pt>
                <c:pt idx="370">
                  <c:v>196.13016027197634</c:v>
                </c:pt>
                <c:pt idx="371">
                  <c:v>192.12141816415701</c:v>
                </c:pt>
                <c:pt idx="372">
                  <c:v>189.77367654201032</c:v>
                </c:pt>
                <c:pt idx="373">
                  <c:v>193.82418649829978</c:v>
                </c:pt>
                <c:pt idx="374">
                  <c:v>205.48615832928567</c:v>
                </c:pt>
                <c:pt idx="375">
                  <c:v>212.58863525983446</c:v>
                </c:pt>
                <c:pt idx="376">
                  <c:v>216.51384167071356</c:v>
                </c:pt>
                <c:pt idx="377">
                  <c:v>220.25254978144693</c:v>
                </c:pt>
                <c:pt idx="378">
                  <c:v>222.06119475473494</c:v>
                </c:pt>
                <c:pt idx="379">
                  <c:v>226.46041767848433</c:v>
                </c:pt>
                <c:pt idx="380">
                  <c:v>225.88343856240857</c:v>
                </c:pt>
                <c:pt idx="381">
                  <c:v>223.35016998542946</c:v>
                </c:pt>
                <c:pt idx="382">
                  <c:v>217.43759106362279</c:v>
                </c:pt>
                <c:pt idx="383">
                  <c:v>190.91792132102935</c:v>
                </c:pt>
                <c:pt idx="384">
                  <c:v>202.45070422535181</c:v>
                </c:pt>
                <c:pt idx="385">
                  <c:v>183.84167071393856</c:v>
                </c:pt>
                <c:pt idx="386">
                  <c:v>186.94997571636691</c:v>
                </c:pt>
                <c:pt idx="387">
                  <c:v>187.17241379310317</c:v>
                </c:pt>
                <c:pt idx="388">
                  <c:v>185.11704711024743</c:v>
                </c:pt>
                <c:pt idx="389">
                  <c:v>194.46430305973746</c:v>
                </c:pt>
                <c:pt idx="390">
                  <c:v>198.89169499757134</c:v>
                </c:pt>
                <c:pt idx="391">
                  <c:v>190.56823700825615</c:v>
                </c:pt>
                <c:pt idx="392">
                  <c:v>195.65322972316628</c:v>
                </c:pt>
                <c:pt idx="393">
                  <c:v>197.22972316658539</c:v>
                </c:pt>
                <c:pt idx="394">
                  <c:v>206.31374453618227</c:v>
                </c:pt>
                <c:pt idx="395">
                  <c:v>215.52598348712934</c:v>
                </c:pt>
                <c:pt idx="396">
                  <c:v>214.95191840699331</c:v>
                </c:pt>
                <c:pt idx="397">
                  <c:v>202.18164157357907</c:v>
                </c:pt>
                <c:pt idx="398">
                  <c:v>207.21029626032018</c:v>
                </c:pt>
                <c:pt idx="399">
                  <c:v>201.79407479358875</c:v>
                </c:pt>
                <c:pt idx="400">
                  <c:v>209.21903836813951</c:v>
                </c:pt>
                <c:pt idx="401">
                  <c:v>215.52598348712934</c:v>
                </c:pt>
                <c:pt idx="402">
                  <c:v>215.50267119961111</c:v>
                </c:pt>
                <c:pt idx="403">
                  <c:v>214.84992714910118</c:v>
                </c:pt>
                <c:pt idx="404">
                  <c:v>215.91063623117986</c:v>
                </c:pt>
                <c:pt idx="405">
                  <c:v>218.70131131617259</c:v>
                </c:pt>
                <c:pt idx="406">
                  <c:v>222.61097620203952</c:v>
                </c:pt>
                <c:pt idx="407">
                  <c:v>221.53958232151498</c:v>
                </c:pt>
                <c:pt idx="408">
                  <c:v>222.91209324914979</c:v>
                </c:pt>
                <c:pt idx="409">
                  <c:v>236.13113161728961</c:v>
                </c:pt>
                <c:pt idx="410">
                  <c:v>234.88003885381224</c:v>
                </c:pt>
                <c:pt idx="411">
                  <c:v>228.2030111704708</c:v>
                </c:pt>
                <c:pt idx="412">
                  <c:v>230.43807673627947</c:v>
                </c:pt>
                <c:pt idx="413">
                  <c:v>237.96697425934892</c:v>
                </c:pt>
                <c:pt idx="414">
                  <c:v>234.53618261291865</c:v>
                </c:pt>
                <c:pt idx="415">
                  <c:v>227.15590092277782</c:v>
                </c:pt>
                <c:pt idx="416">
                  <c:v>239.79213210296234</c:v>
                </c:pt>
                <c:pt idx="417">
                  <c:v>242.1525012141814</c:v>
                </c:pt>
                <c:pt idx="418">
                  <c:v>247.29577464788707</c:v>
                </c:pt>
                <c:pt idx="419">
                  <c:v>259.33365711510419</c:v>
                </c:pt>
                <c:pt idx="420">
                  <c:v>251.00825643516248</c:v>
                </c:pt>
                <c:pt idx="421">
                  <c:v>257.21126760563357</c:v>
                </c:pt>
                <c:pt idx="422">
                  <c:v>257.58329286061172</c:v>
                </c:pt>
                <c:pt idx="423">
                  <c:v>243.35599805730914</c:v>
                </c:pt>
                <c:pt idx="424">
                  <c:v>255.71248178727512</c:v>
                </c:pt>
                <c:pt idx="425">
                  <c:v>236.38173870811053</c:v>
                </c:pt>
                <c:pt idx="426">
                  <c:v>245.32200097134509</c:v>
                </c:pt>
                <c:pt idx="427">
                  <c:v>244.94317629917413</c:v>
                </c:pt>
                <c:pt idx="428">
                  <c:v>239.98348712967439</c:v>
                </c:pt>
                <c:pt idx="429">
                  <c:v>250.5381253035452</c:v>
                </c:pt>
                <c:pt idx="430">
                  <c:v>251.17338513841648</c:v>
                </c:pt>
                <c:pt idx="431">
                  <c:v>259.90092277804735</c:v>
                </c:pt>
                <c:pt idx="432">
                  <c:v>263.40553666828538</c:v>
                </c:pt>
                <c:pt idx="433">
                  <c:v>272.48567265662922</c:v>
                </c:pt>
                <c:pt idx="434">
                  <c:v>266.11267605633782</c:v>
                </c:pt>
                <c:pt idx="435">
                  <c:v>258.10684798445828</c:v>
                </c:pt>
                <c:pt idx="436">
                  <c:v>261.36376881981522</c:v>
                </c:pt>
                <c:pt idx="437">
                  <c:v>262.47110247693035</c:v>
                </c:pt>
                <c:pt idx="438">
                  <c:v>256.54395337542479</c:v>
                </c:pt>
                <c:pt idx="439">
                  <c:v>249.62894609033495</c:v>
                </c:pt>
                <c:pt idx="440">
                  <c:v>239.19766877124803</c:v>
                </c:pt>
                <c:pt idx="441">
                  <c:v>230.34288489558026</c:v>
                </c:pt>
                <c:pt idx="442">
                  <c:v>230.69742593491975</c:v>
                </c:pt>
                <c:pt idx="443">
                  <c:v>237.96308887809599</c:v>
                </c:pt>
                <c:pt idx="444">
                  <c:v>237.96308887809599</c:v>
                </c:pt>
                <c:pt idx="445">
                  <c:v>225.9582321515297</c:v>
                </c:pt>
                <c:pt idx="446">
                  <c:v>228.73530840213684</c:v>
                </c:pt>
                <c:pt idx="447">
                  <c:v>222.2360369111218</c:v>
                </c:pt>
                <c:pt idx="448">
                  <c:v>207.42302088392415</c:v>
                </c:pt>
                <c:pt idx="449">
                  <c:v>197.61146187469637</c:v>
                </c:pt>
                <c:pt idx="450">
                  <c:v>188.48178727537632</c:v>
                </c:pt>
                <c:pt idx="451">
                  <c:v>191.42010684798439</c:v>
                </c:pt>
                <c:pt idx="452">
                  <c:v>193.77950461389014</c:v>
                </c:pt>
                <c:pt idx="453">
                  <c:v>188.29626032054384</c:v>
                </c:pt>
                <c:pt idx="454">
                  <c:v>184.84798445847488</c:v>
                </c:pt>
                <c:pt idx="455">
                  <c:v>173.56580864497317</c:v>
                </c:pt>
                <c:pt idx="456">
                  <c:v>182.76639145216112</c:v>
                </c:pt>
                <c:pt idx="457">
                  <c:v>183.64351627003387</c:v>
                </c:pt>
                <c:pt idx="458">
                  <c:v>190.91403593977648</c:v>
                </c:pt>
                <c:pt idx="459">
                  <c:v>187.97474502185517</c:v>
                </c:pt>
                <c:pt idx="460">
                  <c:v>204.6090335114132</c:v>
                </c:pt>
                <c:pt idx="461">
                  <c:v>195.63477416221457</c:v>
                </c:pt>
                <c:pt idx="462">
                  <c:v>191.91549295774638</c:v>
                </c:pt>
                <c:pt idx="463">
                  <c:v>186.13793103448265</c:v>
                </c:pt>
                <c:pt idx="464">
                  <c:v>174.84215638659532</c:v>
                </c:pt>
                <c:pt idx="465">
                  <c:v>188.06508013598824</c:v>
                </c:pt>
                <c:pt idx="466">
                  <c:v>187.77853326857687</c:v>
                </c:pt>
                <c:pt idx="467">
                  <c:v>182.53715395823204</c:v>
                </c:pt>
                <c:pt idx="468">
                  <c:v>185.89023797960164</c:v>
                </c:pt>
                <c:pt idx="469">
                  <c:v>184.08547838756667</c:v>
                </c:pt>
                <c:pt idx="470">
                  <c:v>188.75084992714898</c:v>
                </c:pt>
                <c:pt idx="471">
                  <c:v>196.25254978144716</c:v>
                </c:pt>
                <c:pt idx="472">
                  <c:v>200.55755220981041</c:v>
                </c:pt>
                <c:pt idx="473">
                  <c:v>208.02816901408437</c:v>
                </c:pt>
                <c:pt idx="474">
                  <c:v>214.23895094706154</c:v>
                </c:pt>
                <c:pt idx="475">
                  <c:v>214.83244293346269</c:v>
                </c:pt>
                <c:pt idx="476">
                  <c:v>214.60320543953361</c:v>
                </c:pt>
                <c:pt idx="477">
                  <c:v>217.15395823215138</c:v>
                </c:pt>
                <c:pt idx="478">
                  <c:v>217.05390966488574</c:v>
                </c:pt>
                <c:pt idx="479">
                  <c:v>212.63331714424464</c:v>
                </c:pt>
                <c:pt idx="480">
                  <c:v>215.74745021855259</c:v>
                </c:pt>
                <c:pt idx="481">
                  <c:v>210.75570665371529</c:v>
                </c:pt>
                <c:pt idx="482">
                  <c:v>212.06508013598824</c:v>
                </c:pt>
                <c:pt idx="483">
                  <c:v>209.46187469645446</c:v>
                </c:pt>
                <c:pt idx="484">
                  <c:v>209.08110733365697</c:v>
                </c:pt>
                <c:pt idx="485">
                  <c:v>208.70033997085955</c:v>
                </c:pt>
                <c:pt idx="486">
                  <c:v>208.62457503642534</c:v>
                </c:pt>
                <c:pt idx="487">
                  <c:v>210.1369596891694</c:v>
                </c:pt>
                <c:pt idx="488">
                  <c:v>202.20689655172401</c:v>
                </c:pt>
                <c:pt idx="489">
                  <c:v>192.72850898494406</c:v>
                </c:pt>
                <c:pt idx="490">
                  <c:v>193.75522098105867</c:v>
                </c:pt>
                <c:pt idx="491">
                  <c:v>189.42690626517717</c:v>
                </c:pt>
                <c:pt idx="492">
                  <c:v>184.47984458474977</c:v>
                </c:pt>
                <c:pt idx="493">
                  <c:v>190.89460903351133</c:v>
                </c:pt>
                <c:pt idx="494">
                  <c:v>191.96891694997561</c:v>
                </c:pt>
                <c:pt idx="495">
                  <c:v>193.45798931520144</c:v>
                </c:pt>
                <c:pt idx="496">
                  <c:v>200.45653229723155</c:v>
                </c:pt>
                <c:pt idx="497">
                  <c:v>198.84215638659535</c:v>
                </c:pt>
                <c:pt idx="498">
                  <c:v>202.03593977659051</c:v>
                </c:pt>
                <c:pt idx="499">
                  <c:v>197.01991257892175</c:v>
                </c:pt>
                <c:pt idx="500">
                  <c:v>192.48178727537632</c:v>
                </c:pt>
                <c:pt idx="501">
                  <c:v>197.21321029626026</c:v>
                </c:pt>
                <c:pt idx="502">
                  <c:v>197.33948518698389</c:v>
                </c:pt>
                <c:pt idx="503">
                  <c:v>196.29723166585714</c:v>
                </c:pt>
                <c:pt idx="504">
                  <c:v>190.24477901894113</c:v>
                </c:pt>
                <c:pt idx="505">
                  <c:v>195.50267119961134</c:v>
                </c:pt>
                <c:pt idx="506">
                  <c:v>204.41185041282162</c:v>
                </c:pt>
                <c:pt idx="507">
                  <c:v>206.13695968916937</c:v>
                </c:pt>
                <c:pt idx="508">
                  <c:v>203.62991743564825</c:v>
                </c:pt>
                <c:pt idx="509">
                  <c:v>209.44536182612904</c:v>
                </c:pt>
                <c:pt idx="510">
                  <c:v>208.73530840213681</c:v>
                </c:pt>
                <c:pt idx="511">
                  <c:v>217.11996114618731</c:v>
                </c:pt>
                <c:pt idx="512">
                  <c:v>211.40165128703239</c:v>
                </c:pt>
                <c:pt idx="513">
                  <c:v>215.39193783389979</c:v>
                </c:pt>
                <c:pt idx="514">
                  <c:v>210.18261291889252</c:v>
                </c:pt>
                <c:pt idx="515">
                  <c:v>202.59154929577448</c:v>
                </c:pt>
                <c:pt idx="516">
                  <c:v>206.9966002914035</c:v>
                </c:pt>
                <c:pt idx="517">
                  <c:v>210.60806216609996</c:v>
                </c:pt>
                <c:pt idx="518">
                  <c:v>209.87663914521602</c:v>
                </c:pt>
                <c:pt idx="519">
                  <c:v>209.88732394366187</c:v>
                </c:pt>
                <c:pt idx="520">
                  <c:v>211.58426420592511</c:v>
                </c:pt>
                <c:pt idx="521">
                  <c:v>209.8844099077221</c:v>
                </c:pt>
                <c:pt idx="522">
                  <c:v>217.60174842156374</c:v>
                </c:pt>
                <c:pt idx="523">
                  <c:v>222.07576493443406</c:v>
                </c:pt>
                <c:pt idx="524">
                  <c:v>221.8173870811072</c:v>
                </c:pt>
                <c:pt idx="525">
                  <c:v>223.2996600291402</c:v>
                </c:pt>
                <c:pt idx="526">
                  <c:v>226.47693054880995</c:v>
                </c:pt>
                <c:pt idx="527">
                  <c:v>228.97620203982501</c:v>
                </c:pt>
                <c:pt idx="528">
                  <c:v>226.32637202525487</c:v>
                </c:pt>
                <c:pt idx="529">
                  <c:v>222.01165614375901</c:v>
                </c:pt>
                <c:pt idx="530">
                  <c:v>220.38173870811062</c:v>
                </c:pt>
                <c:pt idx="531">
                  <c:v>223.50752792617766</c:v>
                </c:pt>
                <c:pt idx="532">
                  <c:v>227.18698397280218</c:v>
                </c:pt>
                <c:pt idx="533">
                  <c:v>226.68382710053413</c:v>
                </c:pt>
                <c:pt idx="534">
                  <c:v>224.55852355512371</c:v>
                </c:pt>
                <c:pt idx="535">
                  <c:v>218.72462360369099</c:v>
                </c:pt>
                <c:pt idx="536">
                  <c:v>227.32782904322474</c:v>
                </c:pt>
                <c:pt idx="537">
                  <c:v>223.59689169499742</c:v>
                </c:pt>
                <c:pt idx="538">
                  <c:v>227.5648372996599</c:v>
                </c:pt>
                <c:pt idx="539">
                  <c:v>223.69111219038356</c:v>
                </c:pt>
                <c:pt idx="540">
                  <c:v>228.38271005342386</c:v>
                </c:pt>
                <c:pt idx="541">
                  <c:v>228.21466731423007</c:v>
                </c:pt>
                <c:pt idx="542">
                  <c:v>225.53084021369588</c:v>
                </c:pt>
                <c:pt idx="543">
                  <c:v>225.45993200582799</c:v>
                </c:pt>
                <c:pt idx="544">
                  <c:v>223.8756677999028</c:v>
                </c:pt>
                <c:pt idx="545">
                  <c:v>220.33899951432727</c:v>
                </c:pt>
                <c:pt idx="546">
                  <c:v>211.06847984458469</c:v>
                </c:pt>
                <c:pt idx="547">
                  <c:v>212.85769791160752</c:v>
                </c:pt>
                <c:pt idx="548">
                  <c:v>211.11898980087415</c:v>
                </c:pt>
                <c:pt idx="549">
                  <c:v>216.18164157357938</c:v>
                </c:pt>
                <c:pt idx="550">
                  <c:v>216.37396794560465</c:v>
                </c:pt>
                <c:pt idx="551">
                  <c:v>217.59883438562406</c:v>
                </c:pt>
                <c:pt idx="552">
                  <c:v>216.09713453132585</c:v>
                </c:pt>
                <c:pt idx="553">
                  <c:v>212.2428363283147</c:v>
                </c:pt>
                <c:pt idx="554">
                  <c:v>212.11850412821758</c:v>
                </c:pt>
                <c:pt idx="555">
                  <c:v>212.27974745021851</c:v>
                </c:pt>
                <c:pt idx="556">
                  <c:v>217.93200582807185</c:v>
                </c:pt>
                <c:pt idx="557">
                  <c:v>218.96843127731904</c:v>
                </c:pt>
                <c:pt idx="558">
                  <c:v>224.33608547838747</c:v>
                </c:pt>
                <c:pt idx="559">
                  <c:v>232.05925206410873</c:v>
                </c:pt>
                <c:pt idx="560">
                  <c:v>235.71928120446813</c:v>
                </c:pt>
                <c:pt idx="561">
                  <c:v>236.39728023312284</c:v>
                </c:pt>
                <c:pt idx="562">
                  <c:v>238.87421078193296</c:v>
                </c:pt>
                <c:pt idx="563">
                  <c:v>235.45507527926179</c:v>
                </c:pt>
                <c:pt idx="564">
                  <c:v>234.73336571151043</c:v>
                </c:pt>
                <c:pt idx="565">
                  <c:v>234.28071879553181</c:v>
                </c:pt>
                <c:pt idx="566">
                  <c:v>228.60903351141332</c:v>
                </c:pt>
                <c:pt idx="567">
                  <c:v>228.80815930063136</c:v>
                </c:pt>
                <c:pt idx="568">
                  <c:v>229.80767362797474</c:v>
                </c:pt>
                <c:pt idx="569">
                  <c:v>229.9970859640602</c:v>
                </c:pt>
                <c:pt idx="570">
                  <c:v>225.7464788732394</c:v>
                </c:pt>
                <c:pt idx="571">
                  <c:v>225.33268576979114</c:v>
                </c:pt>
                <c:pt idx="572">
                  <c:v>225.99514327343363</c:v>
                </c:pt>
                <c:pt idx="573">
                  <c:v>229.55512384652738</c:v>
                </c:pt>
                <c:pt idx="574">
                  <c:v>231.96988829528891</c:v>
                </c:pt>
                <c:pt idx="575">
                  <c:v>230.35939776590573</c:v>
                </c:pt>
                <c:pt idx="576">
                  <c:v>232.0835356969402</c:v>
                </c:pt>
                <c:pt idx="577">
                  <c:v>230.93346284604172</c:v>
                </c:pt>
                <c:pt idx="578">
                  <c:v>226.92180670228259</c:v>
                </c:pt>
                <c:pt idx="579">
                  <c:v>225.5240407965031</c:v>
                </c:pt>
                <c:pt idx="580">
                  <c:v>228.60903351141329</c:v>
                </c:pt>
                <c:pt idx="581">
                  <c:v>225.98542982030108</c:v>
                </c:pt>
                <c:pt idx="582">
                  <c:v>230.04565322972317</c:v>
                </c:pt>
                <c:pt idx="583">
                  <c:v>230.54978144730453</c:v>
                </c:pt>
                <c:pt idx="584">
                  <c:v>222.8023312287518</c:v>
                </c:pt>
                <c:pt idx="585">
                  <c:v>217.10441962117534</c:v>
                </c:pt>
                <c:pt idx="586">
                  <c:v>222.32248664400194</c:v>
                </c:pt>
                <c:pt idx="587">
                  <c:v>221.16658572122387</c:v>
                </c:pt>
                <c:pt idx="588">
                  <c:v>229.24429334628462</c:v>
                </c:pt>
                <c:pt idx="589">
                  <c:v>226.18164157357941</c:v>
                </c:pt>
                <c:pt idx="590">
                  <c:v>225.50169985429821</c:v>
                </c:pt>
                <c:pt idx="591">
                  <c:v>224.01748421563869</c:v>
                </c:pt>
                <c:pt idx="592">
                  <c:v>220.70519669742592</c:v>
                </c:pt>
                <c:pt idx="593">
                  <c:v>227.72510927634772</c:v>
                </c:pt>
                <c:pt idx="594">
                  <c:v>229.61826129188927</c:v>
                </c:pt>
                <c:pt idx="595">
                  <c:v>229.99125789218067</c:v>
                </c:pt>
                <c:pt idx="596">
                  <c:v>231.77950461389023</c:v>
                </c:pt>
                <c:pt idx="597">
                  <c:v>231.06556580864498</c:v>
                </c:pt>
                <c:pt idx="598">
                  <c:v>227.23069451189897</c:v>
                </c:pt>
                <c:pt idx="599">
                  <c:v>226.78581835842641</c:v>
                </c:pt>
                <c:pt idx="600">
                  <c:v>231.07527926177752</c:v>
                </c:pt>
                <c:pt idx="601">
                  <c:v>234.03691112190378</c:v>
                </c:pt>
                <c:pt idx="602">
                  <c:v>234.32345798931519</c:v>
                </c:pt>
                <c:pt idx="603">
                  <c:v>235.93977659057794</c:v>
                </c:pt>
                <c:pt idx="604">
                  <c:v>231.7775619232637</c:v>
                </c:pt>
                <c:pt idx="605">
                  <c:v>228.55172413793102</c:v>
                </c:pt>
                <c:pt idx="606">
                  <c:v>234.16707139388052</c:v>
                </c:pt>
                <c:pt idx="607">
                  <c:v>236.58377853326857</c:v>
                </c:pt>
                <c:pt idx="608">
                  <c:v>234.28751821272459</c:v>
                </c:pt>
                <c:pt idx="609">
                  <c:v>234.31374453618261</c:v>
                </c:pt>
                <c:pt idx="610">
                  <c:v>233.79893152015538</c:v>
                </c:pt>
                <c:pt idx="611">
                  <c:v>235.10927634774157</c:v>
                </c:pt>
                <c:pt idx="612">
                  <c:v>228.11461874696454</c:v>
                </c:pt>
                <c:pt idx="613">
                  <c:v>221.53375424963573</c:v>
                </c:pt>
                <c:pt idx="614">
                  <c:v>218.05536668285575</c:v>
                </c:pt>
                <c:pt idx="615">
                  <c:v>218.57212238950945</c:v>
                </c:pt>
                <c:pt idx="616">
                  <c:v>222.12627489072366</c:v>
                </c:pt>
                <c:pt idx="617">
                  <c:v>224.29043224866442</c:v>
                </c:pt>
                <c:pt idx="618">
                  <c:v>228.53618261291894</c:v>
                </c:pt>
                <c:pt idx="619">
                  <c:v>230.04662457503647</c:v>
                </c:pt>
                <c:pt idx="620">
                  <c:v>233.61049052938324</c:v>
                </c:pt>
                <c:pt idx="621">
                  <c:v>234.20592520641091</c:v>
                </c:pt>
                <c:pt idx="622">
                  <c:v>235.60757649344345</c:v>
                </c:pt>
                <c:pt idx="623">
                  <c:v>230.00777076250608</c:v>
                </c:pt>
                <c:pt idx="624">
                  <c:v>228.2321515298689</c:v>
                </c:pt>
                <c:pt idx="625">
                  <c:v>229.40359397765911</c:v>
                </c:pt>
                <c:pt idx="626">
                  <c:v>232.15152986886844</c:v>
                </c:pt>
                <c:pt idx="627">
                  <c:v>230.73725109276353</c:v>
                </c:pt>
                <c:pt idx="628">
                  <c:v>230.51287032540074</c:v>
                </c:pt>
                <c:pt idx="629">
                  <c:v>239.18795531811568</c:v>
                </c:pt>
                <c:pt idx="630">
                  <c:v>236.51287032540077</c:v>
                </c:pt>
                <c:pt idx="631">
                  <c:v>238.29528897523076</c:v>
                </c:pt>
                <c:pt idx="632">
                  <c:v>243.79213210296268</c:v>
                </c:pt>
                <c:pt idx="633">
                  <c:v>240.19524040796512</c:v>
                </c:pt>
                <c:pt idx="634">
                  <c:v>243.66974259349206</c:v>
                </c:pt>
                <c:pt idx="635">
                  <c:v>235.91937833899959</c:v>
                </c:pt>
                <c:pt idx="636">
                  <c:v>233.01602719766885</c:v>
                </c:pt>
                <c:pt idx="637">
                  <c:v>236.83244293346291</c:v>
                </c:pt>
                <c:pt idx="638">
                  <c:v>236.00097134531333</c:v>
                </c:pt>
                <c:pt idx="639">
                  <c:v>243.07236522583781</c:v>
                </c:pt>
                <c:pt idx="640">
                  <c:v>254.34774162214671</c:v>
                </c:pt>
                <c:pt idx="641">
                  <c:v>252.44487615347259</c:v>
                </c:pt>
                <c:pt idx="642">
                  <c:v>266.42642059252069</c:v>
                </c:pt>
                <c:pt idx="643">
                  <c:v>263.19961146187472</c:v>
                </c:pt>
                <c:pt idx="644">
                  <c:v>256.45458960660517</c:v>
                </c:pt>
                <c:pt idx="645">
                  <c:v>260.50315687226816</c:v>
                </c:pt>
                <c:pt idx="646">
                  <c:v>259.87858183584268</c:v>
                </c:pt>
                <c:pt idx="647">
                  <c:v>256.96551724137936</c:v>
                </c:pt>
                <c:pt idx="648">
                  <c:v>246.40893637688205</c:v>
                </c:pt>
                <c:pt idx="649">
                  <c:v>252.3438562408937</c:v>
                </c:pt>
                <c:pt idx="650">
                  <c:v>245.75036425449252</c:v>
                </c:pt>
                <c:pt idx="651">
                  <c:v>245.01699854298207</c:v>
                </c:pt>
                <c:pt idx="652">
                  <c:v>240.64205925206414</c:v>
                </c:pt>
                <c:pt idx="653">
                  <c:v>227.26954832442937</c:v>
                </c:pt>
                <c:pt idx="654">
                  <c:v>229.64448761534729</c:v>
                </c:pt>
                <c:pt idx="655">
                  <c:v>221.90966488586696</c:v>
                </c:pt>
                <c:pt idx="656">
                  <c:v>219.23652258377857</c:v>
                </c:pt>
                <c:pt idx="657">
                  <c:v>216.17775619232643</c:v>
                </c:pt>
                <c:pt idx="658">
                  <c:v>216.09810587663918</c:v>
                </c:pt>
                <c:pt idx="659">
                  <c:v>199.57552209810592</c:v>
                </c:pt>
                <c:pt idx="660">
                  <c:v>196.60320543953378</c:v>
                </c:pt>
                <c:pt idx="661">
                  <c:v>195.2880038853813</c:v>
                </c:pt>
                <c:pt idx="662">
                  <c:v>195.49684312773195</c:v>
                </c:pt>
                <c:pt idx="663">
                  <c:v>194.95288975230699</c:v>
                </c:pt>
                <c:pt idx="664">
                  <c:v>187.28023312287522</c:v>
                </c:pt>
                <c:pt idx="665">
                  <c:v>189.51141330743084</c:v>
                </c:pt>
                <c:pt idx="666">
                  <c:v>198.35939776590581</c:v>
                </c:pt>
                <c:pt idx="667">
                  <c:v>204.24186498300151</c:v>
                </c:pt>
                <c:pt idx="668">
                  <c:v>208.33025740650808</c:v>
                </c:pt>
                <c:pt idx="669">
                  <c:v>195.18018455560957</c:v>
                </c:pt>
                <c:pt idx="670">
                  <c:v>195.68334142787765</c:v>
                </c:pt>
                <c:pt idx="671">
                  <c:v>192.63234579893157</c:v>
                </c:pt>
                <c:pt idx="672">
                  <c:v>194.36328314715888</c:v>
                </c:pt>
                <c:pt idx="673">
                  <c:v>186.20495386109769</c:v>
                </c:pt>
                <c:pt idx="674">
                  <c:v>189.06945118989807</c:v>
                </c:pt>
                <c:pt idx="675">
                  <c:v>174.30888780961638</c:v>
                </c:pt>
                <c:pt idx="676">
                  <c:v>173.46478873239442</c:v>
                </c:pt>
                <c:pt idx="677">
                  <c:v>179.18795531811566</c:v>
                </c:pt>
                <c:pt idx="678">
                  <c:v>178.50121418164164</c:v>
                </c:pt>
                <c:pt idx="679">
                  <c:v>164.15055852355519</c:v>
                </c:pt>
                <c:pt idx="680">
                  <c:v>158.70131131617296</c:v>
                </c:pt>
                <c:pt idx="681">
                  <c:v>156.14181641573586</c:v>
                </c:pt>
                <c:pt idx="682">
                  <c:v>157.87081107333665</c:v>
                </c:pt>
                <c:pt idx="683">
                  <c:v>153.38610976202045</c:v>
                </c:pt>
                <c:pt idx="684">
                  <c:v>146.93152015541531</c:v>
                </c:pt>
                <c:pt idx="685">
                  <c:v>161.70762506070912</c:v>
                </c:pt>
                <c:pt idx="686">
                  <c:v>161.34725594949009</c:v>
                </c:pt>
                <c:pt idx="687">
                  <c:v>167.7629917435649</c:v>
                </c:pt>
                <c:pt idx="688">
                  <c:v>165.61534725594956</c:v>
                </c:pt>
                <c:pt idx="689">
                  <c:v>166.01262748907243</c:v>
                </c:pt>
                <c:pt idx="690">
                  <c:v>163.62506070908213</c:v>
                </c:pt>
                <c:pt idx="691">
                  <c:v>171.27343370568244</c:v>
                </c:pt>
                <c:pt idx="692">
                  <c:v>171.80961631860134</c:v>
                </c:pt>
                <c:pt idx="693">
                  <c:v>178.03982515784369</c:v>
                </c:pt>
                <c:pt idx="694">
                  <c:v>171.97474502185534</c:v>
                </c:pt>
                <c:pt idx="695">
                  <c:v>169.60271976687719</c:v>
                </c:pt>
                <c:pt idx="696">
                  <c:v>162.18067022826622</c:v>
                </c:pt>
                <c:pt idx="697">
                  <c:v>160.38368139873731</c:v>
                </c:pt>
                <c:pt idx="698">
                  <c:v>156.18844099077228</c:v>
                </c:pt>
                <c:pt idx="699">
                  <c:v>163.00145701796993</c:v>
                </c:pt>
                <c:pt idx="700">
                  <c:v>161.30063137445364</c:v>
                </c:pt>
                <c:pt idx="701">
                  <c:v>158.2865468674114</c:v>
                </c:pt>
                <c:pt idx="702">
                  <c:v>154.49052938319576</c:v>
                </c:pt>
                <c:pt idx="703">
                  <c:v>155.04225352112681</c:v>
                </c:pt>
                <c:pt idx="704">
                  <c:v>157.03156872268096</c:v>
                </c:pt>
                <c:pt idx="705">
                  <c:v>158.93249150072853</c:v>
                </c:pt>
                <c:pt idx="706">
                  <c:v>158.85089849441476</c:v>
                </c:pt>
                <c:pt idx="707">
                  <c:v>165.67071393880525</c:v>
                </c:pt>
                <c:pt idx="708">
                  <c:v>171.13647401651289</c:v>
                </c:pt>
                <c:pt idx="709">
                  <c:v>166.94220495386114</c:v>
                </c:pt>
                <c:pt idx="710">
                  <c:v>167.48712967459937</c:v>
                </c:pt>
                <c:pt idx="711">
                  <c:v>166.22146673142308</c:v>
                </c:pt>
                <c:pt idx="712">
                  <c:v>167.74550752792624</c:v>
                </c:pt>
                <c:pt idx="713">
                  <c:v>167.17241379310352</c:v>
                </c:pt>
                <c:pt idx="714">
                  <c:v>174.83729966002923</c:v>
                </c:pt>
                <c:pt idx="715">
                  <c:v>164.72559494900443</c:v>
                </c:pt>
                <c:pt idx="716">
                  <c:v>169.69402622632353</c:v>
                </c:pt>
                <c:pt idx="717">
                  <c:v>165.98834385624096</c:v>
                </c:pt>
                <c:pt idx="718">
                  <c:v>169.2161243322002</c:v>
                </c:pt>
                <c:pt idx="719">
                  <c:v>166.77416221466743</c:v>
                </c:pt>
                <c:pt idx="720">
                  <c:v>169.61437591063637</c:v>
                </c:pt>
                <c:pt idx="721">
                  <c:v>166.4468188440992</c:v>
                </c:pt>
                <c:pt idx="722">
                  <c:v>162.20689655172427</c:v>
                </c:pt>
                <c:pt idx="723">
                  <c:v>161.10830500242847</c:v>
                </c:pt>
                <c:pt idx="724">
                  <c:v>160.7654201068481</c:v>
                </c:pt>
                <c:pt idx="725">
                  <c:v>158.59057795046152</c:v>
                </c:pt>
                <c:pt idx="726">
                  <c:v>162.59057795046152</c:v>
                </c:pt>
                <c:pt idx="727">
                  <c:v>166.49732880038869</c:v>
                </c:pt>
                <c:pt idx="728">
                  <c:v>163.61728994657616</c:v>
                </c:pt>
                <c:pt idx="729">
                  <c:v>161.64060223409436</c:v>
                </c:pt>
                <c:pt idx="730">
                  <c:v>161.64060223409436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64-4F22-B652-045BE8BA3F5D}"/>
            </c:ext>
          </c:extLst>
        </c:ser>
        <c:ser>
          <c:idx val="11"/>
          <c:order val="4"/>
          <c:tx>
            <c:strRef>
              <c:f>Index!$AA$1</c:f>
              <c:strCache>
                <c:ptCount val="1"/>
                <c:pt idx="0">
                  <c:v>Toll Roads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Index!$AA$2:$AA$732</c:f>
              <c:numCache>
                <c:formatCode>General</c:formatCode>
                <c:ptCount val="731"/>
                <c:pt idx="0">
                  <c:v>100</c:v>
                </c:pt>
                <c:pt idx="1">
                  <c:v>101.79362880886427</c:v>
                </c:pt>
                <c:pt idx="2">
                  <c:v>101.22279382667195</c:v>
                </c:pt>
                <c:pt idx="3">
                  <c:v>103.45370003957264</c:v>
                </c:pt>
                <c:pt idx="4">
                  <c:v>101.22675108824696</c:v>
                </c:pt>
                <c:pt idx="5">
                  <c:v>102.32884843688169</c:v>
                </c:pt>
                <c:pt idx="6">
                  <c:v>104.95745943806888</c:v>
                </c:pt>
                <c:pt idx="7">
                  <c:v>106.1466165413534</c:v>
                </c:pt>
                <c:pt idx="8">
                  <c:v>108.50613375544124</c:v>
                </c:pt>
                <c:pt idx="9">
                  <c:v>108.7801741195093</c:v>
                </c:pt>
                <c:pt idx="10">
                  <c:v>104.99109616145627</c:v>
                </c:pt>
                <c:pt idx="11">
                  <c:v>103.44875346260388</c:v>
                </c:pt>
                <c:pt idx="12">
                  <c:v>107.95706371191136</c:v>
                </c:pt>
                <c:pt idx="13">
                  <c:v>108.16383062920458</c:v>
                </c:pt>
                <c:pt idx="14">
                  <c:v>112.04491491887613</c:v>
                </c:pt>
                <c:pt idx="15">
                  <c:v>112.11119905025723</c:v>
                </c:pt>
                <c:pt idx="16">
                  <c:v>114.60625247328849</c:v>
                </c:pt>
                <c:pt idx="17">
                  <c:v>116.210922041947</c:v>
                </c:pt>
                <c:pt idx="18">
                  <c:v>120.33933518005543</c:v>
                </c:pt>
                <c:pt idx="19">
                  <c:v>120.68658488326081</c:v>
                </c:pt>
                <c:pt idx="20">
                  <c:v>126.76691729323309</c:v>
                </c:pt>
                <c:pt idx="21">
                  <c:v>127.49010684606256</c:v>
                </c:pt>
                <c:pt idx="22">
                  <c:v>128.51800554016623</c:v>
                </c:pt>
                <c:pt idx="23">
                  <c:v>132.07459438068861</c:v>
                </c:pt>
                <c:pt idx="24">
                  <c:v>129.90007914523156</c:v>
                </c:pt>
                <c:pt idx="25">
                  <c:v>126.59081915314607</c:v>
                </c:pt>
                <c:pt idx="26">
                  <c:v>125.13751483973097</c:v>
                </c:pt>
                <c:pt idx="27">
                  <c:v>124.33518005540171</c:v>
                </c:pt>
                <c:pt idx="28">
                  <c:v>122.47724574594386</c:v>
                </c:pt>
                <c:pt idx="29">
                  <c:v>124.66857934309465</c:v>
                </c:pt>
                <c:pt idx="30">
                  <c:v>123.32508903838549</c:v>
                </c:pt>
                <c:pt idx="31">
                  <c:v>123.78314206569061</c:v>
                </c:pt>
                <c:pt idx="32">
                  <c:v>124.19865453106456</c:v>
                </c:pt>
                <c:pt idx="33">
                  <c:v>119.95745943806889</c:v>
                </c:pt>
                <c:pt idx="34">
                  <c:v>118.97506925207759</c:v>
                </c:pt>
                <c:pt idx="35">
                  <c:v>120.21270280965574</c:v>
                </c:pt>
                <c:pt idx="36">
                  <c:v>122.02216066481998</c:v>
                </c:pt>
                <c:pt idx="37">
                  <c:v>122.39908982983778</c:v>
                </c:pt>
                <c:pt idx="38">
                  <c:v>124.1749109616146</c:v>
                </c:pt>
                <c:pt idx="39">
                  <c:v>126.8994855559953</c:v>
                </c:pt>
                <c:pt idx="40">
                  <c:v>131.26038781163439</c:v>
                </c:pt>
                <c:pt idx="41">
                  <c:v>129.95449149188767</c:v>
                </c:pt>
                <c:pt idx="42">
                  <c:v>131.57499010684614</c:v>
                </c:pt>
                <c:pt idx="43">
                  <c:v>130.06628413138117</c:v>
                </c:pt>
                <c:pt idx="44">
                  <c:v>129.17095370003966</c:v>
                </c:pt>
                <c:pt idx="45">
                  <c:v>131.95983379501391</c:v>
                </c:pt>
                <c:pt idx="46">
                  <c:v>134.74772457459443</c:v>
                </c:pt>
                <c:pt idx="47">
                  <c:v>136.97863078749509</c:v>
                </c:pt>
                <c:pt idx="48">
                  <c:v>141.01009101701626</c:v>
                </c:pt>
                <c:pt idx="49">
                  <c:v>141.16640284922838</c:v>
                </c:pt>
                <c:pt idx="50">
                  <c:v>142.22892758211322</c:v>
                </c:pt>
                <c:pt idx="51">
                  <c:v>142.90166204986153</c:v>
                </c:pt>
                <c:pt idx="52">
                  <c:v>148.13019390581721</c:v>
                </c:pt>
                <c:pt idx="53">
                  <c:v>147.68005540166209</c:v>
                </c:pt>
                <c:pt idx="54">
                  <c:v>145.8053027305105</c:v>
                </c:pt>
                <c:pt idx="55">
                  <c:v>149.6230708349822</c:v>
                </c:pt>
                <c:pt idx="56">
                  <c:v>144.92777997625643</c:v>
                </c:pt>
                <c:pt idx="57">
                  <c:v>146.83913731697663</c:v>
                </c:pt>
                <c:pt idx="58">
                  <c:v>149.04827859121482</c:v>
                </c:pt>
                <c:pt idx="59">
                  <c:v>148.86327661258406</c:v>
                </c:pt>
                <c:pt idx="60">
                  <c:v>150.1028888009497</c:v>
                </c:pt>
                <c:pt idx="61">
                  <c:v>150.8211317768104</c:v>
                </c:pt>
                <c:pt idx="62">
                  <c:v>146.69766521567072</c:v>
                </c:pt>
                <c:pt idx="63">
                  <c:v>148.54669568658488</c:v>
                </c:pt>
                <c:pt idx="64">
                  <c:v>147.08844479620103</c:v>
                </c:pt>
                <c:pt idx="65">
                  <c:v>150.17016224772459</c:v>
                </c:pt>
                <c:pt idx="66">
                  <c:v>152.66422635536213</c:v>
                </c:pt>
                <c:pt idx="67">
                  <c:v>150.06727344677489</c:v>
                </c:pt>
                <c:pt idx="68">
                  <c:v>146.38899881282157</c:v>
                </c:pt>
                <c:pt idx="69">
                  <c:v>144.59339137316979</c:v>
                </c:pt>
                <c:pt idx="70">
                  <c:v>147.09537000395727</c:v>
                </c:pt>
                <c:pt idx="71">
                  <c:v>142.50494657696876</c:v>
                </c:pt>
                <c:pt idx="72">
                  <c:v>145.80925999208549</c:v>
                </c:pt>
                <c:pt idx="73">
                  <c:v>150.13652552433717</c:v>
                </c:pt>
                <c:pt idx="74">
                  <c:v>149.93668381480018</c:v>
                </c:pt>
                <c:pt idx="75">
                  <c:v>149.73387415908195</c:v>
                </c:pt>
                <c:pt idx="76">
                  <c:v>150.43430945785519</c:v>
                </c:pt>
                <c:pt idx="77">
                  <c:v>153.3003561535418</c:v>
                </c:pt>
                <c:pt idx="78">
                  <c:v>158.3122279382668</c:v>
                </c:pt>
                <c:pt idx="79">
                  <c:v>161.81242580134554</c:v>
                </c:pt>
                <c:pt idx="80">
                  <c:v>161.96675900277017</c:v>
                </c:pt>
                <c:pt idx="81">
                  <c:v>157.36050652948168</c:v>
                </c:pt>
                <c:pt idx="82">
                  <c:v>157.00732093391383</c:v>
                </c:pt>
                <c:pt idx="83">
                  <c:v>160.8092599920856</c:v>
                </c:pt>
                <c:pt idx="84">
                  <c:v>160.03264740799378</c:v>
                </c:pt>
                <c:pt idx="85">
                  <c:v>163.28947368421063</c:v>
                </c:pt>
                <c:pt idx="86">
                  <c:v>162.81460229521184</c:v>
                </c:pt>
                <c:pt idx="87">
                  <c:v>164.64384645825103</c:v>
                </c:pt>
                <c:pt idx="88">
                  <c:v>169.46774831816398</c:v>
                </c:pt>
                <c:pt idx="89">
                  <c:v>168.94341115947782</c:v>
                </c:pt>
                <c:pt idx="90">
                  <c:v>171.92916501780783</c:v>
                </c:pt>
                <c:pt idx="91">
                  <c:v>173.7227938266721</c:v>
                </c:pt>
                <c:pt idx="92">
                  <c:v>175.32449544914937</c:v>
                </c:pt>
                <c:pt idx="93">
                  <c:v>176.0931935100912</c:v>
                </c:pt>
                <c:pt idx="94">
                  <c:v>179.39849624060167</c:v>
                </c:pt>
                <c:pt idx="95">
                  <c:v>178.16481994459852</c:v>
                </c:pt>
                <c:pt idx="96">
                  <c:v>183.21131776810466</c:v>
                </c:pt>
                <c:pt idx="97">
                  <c:v>185.20577760189965</c:v>
                </c:pt>
                <c:pt idx="98">
                  <c:v>188.08468539770499</c:v>
                </c:pt>
                <c:pt idx="99">
                  <c:v>194.82884843688188</c:v>
                </c:pt>
                <c:pt idx="100">
                  <c:v>197.1458250890386</c:v>
                </c:pt>
                <c:pt idx="101">
                  <c:v>192.15868618915729</c:v>
                </c:pt>
                <c:pt idx="102">
                  <c:v>196.27225959635956</c:v>
                </c:pt>
                <c:pt idx="103">
                  <c:v>202.28630787495075</c:v>
                </c:pt>
                <c:pt idx="104">
                  <c:v>204.12544519192741</c:v>
                </c:pt>
                <c:pt idx="105">
                  <c:v>200.05836960823132</c:v>
                </c:pt>
                <c:pt idx="106">
                  <c:v>205.82607835377939</c:v>
                </c:pt>
                <c:pt idx="107">
                  <c:v>207.85912148793057</c:v>
                </c:pt>
                <c:pt idx="108">
                  <c:v>213.72279382667216</c:v>
                </c:pt>
                <c:pt idx="109">
                  <c:v>221.08033240997253</c:v>
                </c:pt>
                <c:pt idx="110">
                  <c:v>221.15947764147234</c:v>
                </c:pt>
                <c:pt idx="111">
                  <c:v>217.98476454293649</c:v>
                </c:pt>
                <c:pt idx="112">
                  <c:v>213.97407993668401</c:v>
                </c:pt>
                <c:pt idx="113">
                  <c:v>212.67411950929977</c:v>
                </c:pt>
                <c:pt idx="114">
                  <c:v>208.96814404432152</c:v>
                </c:pt>
                <c:pt idx="115">
                  <c:v>211.54234269885259</c:v>
                </c:pt>
                <c:pt idx="116">
                  <c:v>203.2904629996045</c:v>
                </c:pt>
                <c:pt idx="117">
                  <c:v>205.55500593589255</c:v>
                </c:pt>
                <c:pt idx="118">
                  <c:v>208.47645429362905</c:v>
                </c:pt>
                <c:pt idx="119">
                  <c:v>206.07439651761004</c:v>
                </c:pt>
                <c:pt idx="120">
                  <c:v>208.63474475662866</c:v>
                </c:pt>
                <c:pt idx="121">
                  <c:v>204.03838543727767</c:v>
                </c:pt>
                <c:pt idx="122">
                  <c:v>204.42718638702041</c:v>
                </c:pt>
                <c:pt idx="123">
                  <c:v>202.20419469726974</c:v>
                </c:pt>
                <c:pt idx="124">
                  <c:v>203.60308666402872</c:v>
                </c:pt>
                <c:pt idx="125">
                  <c:v>206.08428967154748</c:v>
                </c:pt>
                <c:pt idx="126">
                  <c:v>209.80906212900695</c:v>
                </c:pt>
                <c:pt idx="127">
                  <c:v>211.36921250494677</c:v>
                </c:pt>
                <c:pt idx="128">
                  <c:v>213.97506925207776</c:v>
                </c:pt>
                <c:pt idx="129">
                  <c:v>212.58211317768126</c:v>
                </c:pt>
                <c:pt idx="130">
                  <c:v>217.79481598733693</c:v>
                </c:pt>
                <c:pt idx="131">
                  <c:v>214.26394934705203</c:v>
                </c:pt>
                <c:pt idx="132">
                  <c:v>217.86604669568678</c:v>
                </c:pt>
                <c:pt idx="133">
                  <c:v>221.20102888800969</c:v>
                </c:pt>
                <c:pt idx="134">
                  <c:v>216.99149188761393</c:v>
                </c:pt>
                <c:pt idx="135">
                  <c:v>220.77859121487947</c:v>
                </c:pt>
                <c:pt idx="136">
                  <c:v>224.74970320538205</c:v>
                </c:pt>
                <c:pt idx="137">
                  <c:v>220.48872180451141</c:v>
                </c:pt>
                <c:pt idx="138">
                  <c:v>224.52512861100135</c:v>
                </c:pt>
                <c:pt idx="139">
                  <c:v>231.88860308666418</c:v>
                </c:pt>
                <c:pt idx="140">
                  <c:v>232.59101701622495</c:v>
                </c:pt>
                <c:pt idx="141">
                  <c:v>234.56865848832624</c:v>
                </c:pt>
                <c:pt idx="142">
                  <c:v>230.25029679461827</c:v>
                </c:pt>
                <c:pt idx="143">
                  <c:v>232.32489117530685</c:v>
                </c:pt>
                <c:pt idx="144">
                  <c:v>222.81064503363686</c:v>
                </c:pt>
                <c:pt idx="145">
                  <c:v>218.81677878907811</c:v>
                </c:pt>
                <c:pt idx="146">
                  <c:v>209.52908587257633</c:v>
                </c:pt>
                <c:pt idx="147">
                  <c:v>209.90106846062537</c:v>
                </c:pt>
                <c:pt idx="148">
                  <c:v>207.53363672338756</c:v>
                </c:pt>
                <c:pt idx="149">
                  <c:v>213.10743965176113</c:v>
                </c:pt>
                <c:pt idx="150">
                  <c:v>213.51701622477262</c:v>
                </c:pt>
                <c:pt idx="151">
                  <c:v>214.87336762960049</c:v>
                </c:pt>
                <c:pt idx="152">
                  <c:v>214.92283339928787</c:v>
                </c:pt>
                <c:pt idx="153">
                  <c:v>218.09259992085495</c:v>
                </c:pt>
                <c:pt idx="154">
                  <c:v>218.89295607439669</c:v>
                </c:pt>
                <c:pt idx="155">
                  <c:v>217.26553225168198</c:v>
                </c:pt>
                <c:pt idx="156">
                  <c:v>215.77859121487947</c:v>
                </c:pt>
                <c:pt idx="157">
                  <c:v>224.97130985358152</c:v>
                </c:pt>
                <c:pt idx="158">
                  <c:v>225.56489908983002</c:v>
                </c:pt>
                <c:pt idx="159">
                  <c:v>225.70439256034842</c:v>
                </c:pt>
                <c:pt idx="160">
                  <c:v>227.97388207360527</c:v>
                </c:pt>
                <c:pt idx="161">
                  <c:v>224.37969924812052</c:v>
                </c:pt>
                <c:pt idx="162">
                  <c:v>223.18163830629223</c:v>
                </c:pt>
                <c:pt idx="163">
                  <c:v>224.87930352196298</c:v>
                </c:pt>
                <c:pt idx="164">
                  <c:v>226.64523149980229</c:v>
                </c:pt>
                <c:pt idx="165">
                  <c:v>225.45706371191153</c:v>
                </c:pt>
                <c:pt idx="166">
                  <c:v>224.28472497032072</c:v>
                </c:pt>
                <c:pt idx="167">
                  <c:v>228.24792243767328</c:v>
                </c:pt>
                <c:pt idx="168">
                  <c:v>224.90007914523164</c:v>
                </c:pt>
                <c:pt idx="169">
                  <c:v>225.95172140878526</c:v>
                </c:pt>
                <c:pt idx="170">
                  <c:v>230.38484368816793</c:v>
                </c:pt>
                <c:pt idx="171">
                  <c:v>227.33973090621302</c:v>
                </c:pt>
                <c:pt idx="172">
                  <c:v>233.55362089434129</c:v>
                </c:pt>
                <c:pt idx="173">
                  <c:v>239.20261179263969</c:v>
                </c:pt>
                <c:pt idx="174">
                  <c:v>242.84626038781184</c:v>
                </c:pt>
                <c:pt idx="175">
                  <c:v>241.77285318559578</c:v>
                </c:pt>
                <c:pt idx="176">
                  <c:v>231.57993668381499</c:v>
                </c:pt>
                <c:pt idx="177">
                  <c:v>232.48219232291274</c:v>
                </c:pt>
                <c:pt idx="178">
                  <c:v>233.51009101701646</c:v>
                </c:pt>
                <c:pt idx="179">
                  <c:v>227.88088642659301</c:v>
                </c:pt>
                <c:pt idx="180">
                  <c:v>224.98911753066898</c:v>
                </c:pt>
                <c:pt idx="181">
                  <c:v>223.0164226355364</c:v>
                </c:pt>
                <c:pt idx="182">
                  <c:v>228.00949742778019</c:v>
                </c:pt>
                <c:pt idx="183">
                  <c:v>230.27502967946205</c:v>
                </c:pt>
                <c:pt idx="184">
                  <c:v>221.85199841709561</c:v>
                </c:pt>
                <c:pt idx="185">
                  <c:v>221.07241788682256</c:v>
                </c:pt>
                <c:pt idx="186">
                  <c:v>225.92402057776044</c:v>
                </c:pt>
                <c:pt idx="187">
                  <c:v>229.82785912148822</c:v>
                </c:pt>
                <c:pt idx="188">
                  <c:v>228.93252869014674</c:v>
                </c:pt>
                <c:pt idx="189">
                  <c:v>230.89335180055429</c:v>
                </c:pt>
                <c:pt idx="190">
                  <c:v>231.12683023347873</c:v>
                </c:pt>
                <c:pt idx="191">
                  <c:v>237.26948951325716</c:v>
                </c:pt>
                <c:pt idx="192">
                  <c:v>235.74891175306718</c:v>
                </c:pt>
                <c:pt idx="193">
                  <c:v>237.05678670360143</c:v>
                </c:pt>
                <c:pt idx="194">
                  <c:v>242.39117530668813</c:v>
                </c:pt>
                <c:pt idx="195">
                  <c:v>244.06806489909016</c:v>
                </c:pt>
                <c:pt idx="196">
                  <c:v>241.47407993668415</c:v>
                </c:pt>
                <c:pt idx="197">
                  <c:v>240.90225563909806</c:v>
                </c:pt>
                <c:pt idx="198">
                  <c:v>245.24831816383093</c:v>
                </c:pt>
                <c:pt idx="199">
                  <c:v>250.34428175702445</c:v>
                </c:pt>
                <c:pt idx="200">
                  <c:v>249.53502176493899</c:v>
                </c:pt>
                <c:pt idx="201">
                  <c:v>257.53066877720653</c:v>
                </c:pt>
                <c:pt idx="202">
                  <c:v>259.24416303917724</c:v>
                </c:pt>
                <c:pt idx="203">
                  <c:v>264.25405619311471</c:v>
                </c:pt>
                <c:pt idx="204">
                  <c:v>267.99861495844908</c:v>
                </c:pt>
                <c:pt idx="205">
                  <c:v>268.77423822714712</c:v>
                </c:pt>
                <c:pt idx="206">
                  <c:v>266.47111199050283</c:v>
                </c:pt>
                <c:pt idx="207">
                  <c:v>264.59042342698882</c:v>
                </c:pt>
                <c:pt idx="208">
                  <c:v>267.64542936288115</c:v>
                </c:pt>
                <c:pt idx="209">
                  <c:v>265.23248911753092</c:v>
                </c:pt>
                <c:pt idx="210">
                  <c:v>269.74673525920093</c:v>
                </c:pt>
                <c:pt idx="211">
                  <c:v>271.30292837356575</c:v>
                </c:pt>
                <c:pt idx="212">
                  <c:v>268.4596359319354</c:v>
                </c:pt>
                <c:pt idx="213">
                  <c:v>272.33874159081944</c:v>
                </c:pt>
                <c:pt idx="214">
                  <c:v>275.3709932726556</c:v>
                </c:pt>
                <c:pt idx="215">
                  <c:v>275.93094578551677</c:v>
                </c:pt>
                <c:pt idx="216">
                  <c:v>280.37495053423066</c:v>
                </c:pt>
                <c:pt idx="217">
                  <c:v>275.30371982588082</c:v>
                </c:pt>
                <c:pt idx="218">
                  <c:v>276.17530668777243</c:v>
                </c:pt>
                <c:pt idx="219">
                  <c:v>283.01939058171786</c:v>
                </c:pt>
                <c:pt idx="220">
                  <c:v>289.47764147210171</c:v>
                </c:pt>
                <c:pt idx="221">
                  <c:v>292.16660071230746</c:v>
                </c:pt>
                <c:pt idx="222">
                  <c:v>297.72655322516857</c:v>
                </c:pt>
                <c:pt idx="223">
                  <c:v>302.5494657696878</c:v>
                </c:pt>
                <c:pt idx="224">
                  <c:v>303.08270676691768</c:v>
                </c:pt>
                <c:pt idx="225">
                  <c:v>298.16877720617367</c:v>
                </c:pt>
                <c:pt idx="226">
                  <c:v>302.21408785120735</c:v>
                </c:pt>
                <c:pt idx="227">
                  <c:v>304.41036802532682</c:v>
                </c:pt>
                <c:pt idx="228">
                  <c:v>308.52295211713528</c:v>
                </c:pt>
                <c:pt idx="229">
                  <c:v>306.24356944994099</c:v>
                </c:pt>
                <c:pt idx="230">
                  <c:v>307.21507716660102</c:v>
                </c:pt>
                <c:pt idx="231">
                  <c:v>298.8286505738032</c:v>
                </c:pt>
                <c:pt idx="232">
                  <c:v>300.79343094578581</c:v>
                </c:pt>
                <c:pt idx="233">
                  <c:v>298.49228333992903</c:v>
                </c:pt>
                <c:pt idx="234">
                  <c:v>299.64087851206989</c:v>
                </c:pt>
                <c:pt idx="235">
                  <c:v>302.93035219628041</c:v>
                </c:pt>
                <c:pt idx="236">
                  <c:v>305.76869806094203</c:v>
                </c:pt>
                <c:pt idx="237">
                  <c:v>308.50514444004767</c:v>
                </c:pt>
                <c:pt idx="238">
                  <c:v>290.02473288484384</c:v>
                </c:pt>
                <c:pt idx="239">
                  <c:v>290.7993668381481</c:v>
                </c:pt>
                <c:pt idx="240">
                  <c:v>286.72239810051451</c:v>
                </c:pt>
                <c:pt idx="241">
                  <c:v>268.19054214483583</c:v>
                </c:pt>
                <c:pt idx="242">
                  <c:v>283.97111199050266</c:v>
                </c:pt>
                <c:pt idx="243">
                  <c:v>289.19667590027706</c:v>
                </c:pt>
                <c:pt idx="244">
                  <c:v>284.81005144440053</c:v>
                </c:pt>
                <c:pt idx="245">
                  <c:v>287.42975860704399</c:v>
                </c:pt>
                <c:pt idx="246">
                  <c:v>293.14800158290467</c:v>
                </c:pt>
                <c:pt idx="247">
                  <c:v>299.55480807281367</c:v>
                </c:pt>
                <c:pt idx="248">
                  <c:v>308.07874950534233</c:v>
                </c:pt>
                <c:pt idx="249">
                  <c:v>308.80886426592804</c:v>
                </c:pt>
                <c:pt idx="250">
                  <c:v>307.95310645033641</c:v>
                </c:pt>
                <c:pt idx="251">
                  <c:v>315.09200633161856</c:v>
                </c:pt>
                <c:pt idx="252">
                  <c:v>317.07657301147611</c:v>
                </c:pt>
                <c:pt idx="253">
                  <c:v>314.5726157499011</c:v>
                </c:pt>
                <c:pt idx="254">
                  <c:v>306.62643450732099</c:v>
                </c:pt>
                <c:pt idx="255">
                  <c:v>299.97724574594389</c:v>
                </c:pt>
                <c:pt idx="256">
                  <c:v>314.93866244558774</c:v>
                </c:pt>
                <c:pt idx="257">
                  <c:v>318.7613771270282</c:v>
                </c:pt>
                <c:pt idx="258">
                  <c:v>309.60922041946986</c:v>
                </c:pt>
                <c:pt idx="259">
                  <c:v>304.99505342303138</c:v>
                </c:pt>
                <c:pt idx="260">
                  <c:v>305.77067669172948</c:v>
                </c:pt>
                <c:pt idx="261">
                  <c:v>300.37791848041172</c:v>
                </c:pt>
                <c:pt idx="262">
                  <c:v>298.58824693312249</c:v>
                </c:pt>
                <c:pt idx="263">
                  <c:v>289.42421844083913</c:v>
                </c:pt>
                <c:pt idx="264">
                  <c:v>284.02651365255264</c:v>
                </c:pt>
                <c:pt idx="265">
                  <c:v>294.08884052235874</c:v>
                </c:pt>
                <c:pt idx="266">
                  <c:v>280.83201424614191</c:v>
                </c:pt>
                <c:pt idx="267">
                  <c:v>289.12544519192744</c:v>
                </c:pt>
                <c:pt idx="268">
                  <c:v>288.14404432132989</c:v>
                </c:pt>
                <c:pt idx="269">
                  <c:v>293.6673921646223</c:v>
                </c:pt>
                <c:pt idx="270">
                  <c:v>281.27324891175329</c:v>
                </c:pt>
                <c:pt idx="271">
                  <c:v>279.51919271863892</c:v>
                </c:pt>
                <c:pt idx="272">
                  <c:v>265.56687772061753</c:v>
                </c:pt>
                <c:pt idx="273">
                  <c:v>280.11278195488745</c:v>
                </c:pt>
                <c:pt idx="274">
                  <c:v>289.59635931935122</c:v>
                </c:pt>
                <c:pt idx="275">
                  <c:v>280.78056984566706</c:v>
                </c:pt>
                <c:pt idx="276">
                  <c:v>286.55817174515261</c:v>
                </c:pt>
                <c:pt idx="277">
                  <c:v>288.0658884052238</c:v>
                </c:pt>
                <c:pt idx="278">
                  <c:v>293.90977443609046</c:v>
                </c:pt>
                <c:pt idx="279">
                  <c:v>290.5381875741989</c:v>
                </c:pt>
                <c:pt idx="280">
                  <c:v>294.61515631183238</c:v>
                </c:pt>
                <c:pt idx="281">
                  <c:v>295.21962801741216</c:v>
                </c:pt>
                <c:pt idx="282">
                  <c:v>289.59141274238249</c:v>
                </c:pt>
                <c:pt idx="283">
                  <c:v>283.02928373565516</c:v>
                </c:pt>
                <c:pt idx="284">
                  <c:v>265.02077562326889</c:v>
                </c:pt>
                <c:pt idx="285">
                  <c:v>253.41313810842917</c:v>
                </c:pt>
                <c:pt idx="286">
                  <c:v>237.47229916897524</c:v>
                </c:pt>
                <c:pt idx="287">
                  <c:v>228.96418678274651</c:v>
                </c:pt>
                <c:pt idx="288">
                  <c:v>225.42837356549285</c:v>
                </c:pt>
                <c:pt idx="289">
                  <c:v>226.90245350217666</c:v>
                </c:pt>
                <c:pt idx="290">
                  <c:v>239.32825484764558</c:v>
                </c:pt>
                <c:pt idx="291">
                  <c:v>225.83201424614182</c:v>
                </c:pt>
                <c:pt idx="292">
                  <c:v>226.65809259992099</c:v>
                </c:pt>
                <c:pt idx="293">
                  <c:v>222.08250890383869</c:v>
                </c:pt>
                <c:pt idx="294">
                  <c:v>211.10011871784741</c:v>
                </c:pt>
                <c:pt idx="295">
                  <c:v>212.56034823901871</c:v>
                </c:pt>
                <c:pt idx="296">
                  <c:v>198.24099722991699</c:v>
                </c:pt>
                <c:pt idx="297">
                  <c:v>202.36941036802543</c:v>
                </c:pt>
                <c:pt idx="298">
                  <c:v>209.64483577364476</c:v>
                </c:pt>
                <c:pt idx="299">
                  <c:v>203.58330035615364</c:v>
                </c:pt>
                <c:pt idx="300">
                  <c:v>193.64859517214097</c:v>
                </c:pt>
                <c:pt idx="301">
                  <c:v>152.65334388603091</c:v>
                </c:pt>
                <c:pt idx="302">
                  <c:v>161.93510091017018</c:v>
                </c:pt>
                <c:pt idx="303">
                  <c:v>147.52176493866247</c:v>
                </c:pt>
                <c:pt idx="304">
                  <c:v>156.8084685397705</c:v>
                </c:pt>
                <c:pt idx="305">
                  <c:v>164.69331222793829</c:v>
                </c:pt>
                <c:pt idx="306">
                  <c:v>154.12445587653346</c:v>
                </c:pt>
                <c:pt idx="307">
                  <c:v>135.66679857538585</c:v>
                </c:pt>
                <c:pt idx="308">
                  <c:v>146.30490700435303</c:v>
                </c:pt>
                <c:pt idx="309">
                  <c:v>136.09715077166607</c:v>
                </c:pt>
                <c:pt idx="310">
                  <c:v>147.60091017016231</c:v>
                </c:pt>
                <c:pt idx="311">
                  <c:v>160.44123466561146</c:v>
                </c:pt>
                <c:pt idx="312">
                  <c:v>153.30332409972306</c:v>
                </c:pt>
                <c:pt idx="313">
                  <c:v>159.48357736446388</c:v>
                </c:pt>
                <c:pt idx="314">
                  <c:v>155.77364463791065</c:v>
                </c:pt>
                <c:pt idx="315">
                  <c:v>143.09952512861108</c:v>
                </c:pt>
                <c:pt idx="316">
                  <c:v>133.58231104075986</c:v>
                </c:pt>
                <c:pt idx="317">
                  <c:v>137.04293628808873</c:v>
                </c:pt>
                <c:pt idx="318">
                  <c:v>138.62584091808478</c:v>
                </c:pt>
                <c:pt idx="319">
                  <c:v>139.130391768896</c:v>
                </c:pt>
                <c:pt idx="320">
                  <c:v>126.36327661258417</c:v>
                </c:pt>
                <c:pt idx="321">
                  <c:v>119.31836169370803</c:v>
                </c:pt>
                <c:pt idx="322">
                  <c:v>110.23941432528697</c:v>
                </c:pt>
                <c:pt idx="323">
                  <c:v>116.96082311040767</c:v>
                </c:pt>
                <c:pt idx="324">
                  <c:v>130.78254847645437</c:v>
                </c:pt>
                <c:pt idx="325">
                  <c:v>136.64918876137719</c:v>
                </c:pt>
                <c:pt idx="326">
                  <c:v>138.61891571032851</c:v>
                </c:pt>
                <c:pt idx="327">
                  <c:v>139.56470122675114</c:v>
                </c:pt>
                <c:pt idx="328">
                  <c:v>141.13771270280969</c:v>
                </c:pt>
                <c:pt idx="329">
                  <c:v>142.85615354174917</c:v>
                </c:pt>
                <c:pt idx="330">
                  <c:v>147.00039572615756</c:v>
                </c:pt>
                <c:pt idx="331">
                  <c:v>154.60031658092606</c:v>
                </c:pt>
                <c:pt idx="332">
                  <c:v>151.10605461020981</c:v>
                </c:pt>
                <c:pt idx="333">
                  <c:v>156.94598337950146</c:v>
                </c:pt>
                <c:pt idx="334">
                  <c:v>159.58646616541358</c:v>
                </c:pt>
                <c:pt idx="335">
                  <c:v>159.6695686584884</c:v>
                </c:pt>
                <c:pt idx="336">
                  <c:v>159.61515631183229</c:v>
                </c:pt>
                <c:pt idx="337">
                  <c:v>155.56588840522366</c:v>
                </c:pt>
                <c:pt idx="338">
                  <c:v>157.41096161456278</c:v>
                </c:pt>
                <c:pt idx="339">
                  <c:v>157.98080728136136</c:v>
                </c:pt>
                <c:pt idx="340">
                  <c:v>152.41195092995653</c:v>
                </c:pt>
                <c:pt idx="341">
                  <c:v>165.15927977839343</c:v>
                </c:pt>
                <c:pt idx="342">
                  <c:v>173.58132172536611</c:v>
                </c:pt>
                <c:pt idx="343">
                  <c:v>176.22477245745952</c:v>
                </c:pt>
                <c:pt idx="344">
                  <c:v>179.90601503759407</c:v>
                </c:pt>
                <c:pt idx="345">
                  <c:v>178.09161060546111</c:v>
                </c:pt>
                <c:pt idx="346">
                  <c:v>175.08013454689365</c:v>
                </c:pt>
                <c:pt idx="347">
                  <c:v>180.32053818757427</c:v>
                </c:pt>
                <c:pt idx="348">
                  <c:v>177.79481598733685</c:v>
                </c:pt>
                <c:pt idx="349">
                  <c:v>190.09299564701234</c:v>
                </c:pt>
                <c:pt idx="350">
                  <c:v>193.71784724970325</c:v>
                </c:pt>
                <c:pt idx="351">
                  <c:v>193.23209339137324</c:v>
                </c:pt>
                <c:pt idx="352">
                  <c:v>196.33656509695297</c:v>
                </c:pt>
                <c:pt idx="353">
                  <c:v>204.8575385833004</c:v>
                </c:pt>
                <c:pt idx="354">
                  <c:v>208.72279382667199</c:v>
                </c:pt>
                <c:pt idx="355">
                  <c:v>208.86921250494663</c:v>
                </c:pt>
                <c:pt idx="356">
                  <c:v>197.03205381875748</c:v>
                </c:pt>
                <c:pt idx="357">
                  <c:v>210.13355757815603</c:v>
                </c:pt>
                <c:pt idx="358">
                  <c:v>213.64859517214097</c:v>
                </c:pt>
                <c:pt idx="359">
                  <c:v>211.49089829837763</c:v>
                </c:pt>
                <c:pt idx="360">
                  <c:v>208.4843688167789</c:v>
                </c:pt>
                <c:pt idx="361">
                  <c:v>213.34586466165422</c:v>
                </c:pt>
                <c:pt idx="362">
                  <c:v>208.27562326869813</c:v>
                </c:pt>
                <c:pt idx="363">
                  <c:v>202.14978235061344</c:v>
                </c:pt>
                <c:pt idx="364">
                  <c:v>205.91907400079148</c:v>
                </c:pt>
                <c:pt idx="365">
                  <c:v>208.37059754649789</c:v>
                </c:pt>
                <c:pt idx="366">
                  <c:v>215.92303126236652</c:v>
                </c:pt>
                <c:pt idx="367">
                  <c:v>215.54115552037996</c:v>
                </c:pt>
                <c:pt idx="368">
                  <c:v>207.18935496636331</c:v>
                </c:pt>
                <c:pt idx="369">
                  <c:v>200.5738029283736</c:v>
                </c:pt>
                <c:pt idx="370">
                  <c:v>187.6266323703997</c:v>
                </c:pt>
                <c:pt idx="371">
                  <c:v>188.8543727740404</c:v>
                </c:pt>
                <c:pt idx="372">
                  <c:v>194.07993668381485</c:v>
                </c:pt>
                <c:pt idx="373">
                  <c:v>193.0757815591611</c:v>
                </c:pt>
                <c:pt idx="374">
                  <c:v>202.01424614167004</c:v>
                </c:pt>
                <c:pt idx="375">
                  <c:v>201.44835773644647</c:v>
                </c:pt>
                <c:pt idx="376">
                  <c:v>199.81499802136929</c:v>
                </c:pt>
                <c:pt idx="377">
                  <c:v>194.9089829837753</c:v>
                </c:pt>
                <c:pt idx="378">
                  <c:v>198.81282152750305</c:v>
                </c:pt>
                <c:pt idx="379">
                  <c:v>199.34606252473299</c:v>
                </c:pt>
                <c:pt idx="380">
                  <c:v>199.81005144440056</c:v>
                </c:pt>
                <c:pt idx="381">
                  <c:v>193.56944994064114</c:v>
                </c:pt>
                <c:pt idx="382">
                  <c:v>185.62030075187977</c:v>
                </c:pt>
                <c:pt idx="383">
                  <c:v>164.63791056588846</c:v>
                </c:pt>
                <c:pt idx="384">
                  <c:v>166.28413138108434</c:v>
                </c:pt>
                <c:pt idx="385">
                  <c:v>157.76018994855565</c:v>
                </c:pt>
                <c:pt idx="386">
                  <c:v>159.82192322912547</c:v>
                </c:pt>
                <c:pt idx="387">
                  <c:v>155.17510882469335</c:v>
                </c:pt>
                <c:pt idx="388">
                  <c:v>160.60546102097356</c:v>
                </c:pt>
                <c:pt idx="389">
                  <c:v>165.76078353779192</c:v>
                </c:pt>
                <c:pt idx="390">
                  <c:v>162.28333992876935</c:v>
                </c:pt>
                <c:pt idx="391">
                  <c:v>160.93391373169774</c:v>
                </c:pt>
                <c:pt idx="392">
                  <c:v>174.08092599920863</c:v>
                </c:pt>
                <c:pt idx="393">
                  <c:v>178.32508903838553</c:v>
                </c:pt>
                <c:pt idx="394">
                  <c:v>176.88167787890788</c:v>
                </c:pt>
                <c:pt idx="395">
                  <c:v>178.4992085476851</c:v>
                </c:pt>
                <c:pt idx="396">
                  <c:v>183.09655718242985</c:v>
                </c:pt>
                <c:pt idx="397">
                  <c:v>175.87851206964788</c:v>
                </c:pt>
                <c:pt idx="398">
                  <c:v>173.40324495449156</c:v>
                </c:pt>
                <c:pt idx="399">
                  <c:v>176.12089434111601</c:v>
                </c:pt>
                <c:pt idx="400">
                  <c:v>186.16145627225967</c:v>
                </c:pt>
                <c:pt idx="401">
                  <c:v>187.15868618915715</c:v>
                </c:pt>
                <c:pt idx="402">
                  <c:v>190.10091017016231</c:v>
                </c:pt>
                <c:pt idx="403">
                  <c:v>195.57776018994863</c:v>
                </c:pt>
                <c:pt idx="404">
                  <c:v>197.88583300356163</c:v>
                </c:pt>
                <c:pt idx="405">
                  <c:v>205.52532647408</c:v>
                </c:pt>
                <c:pt idx="406">
                  <c:v>210.77562326869815</c:v>
                </c:pt>
                <c:pt idx="407">
                  <c:v>209.98911753066889</c:v>
                </c:pt>
                <c:pt idx="408">
                  <c:v>212.81658092599932</c:v>
                </c:pt>
                <c:pt idx="409">
                  <c:v>215.11476058567484</c:v>
                </c:pt>
                <c:pt idx="410">
                  <c:v>208.39236248516036</c:v>
                </c:pt>
                <c:pt idx="411">
                  <c:v>204.6171349426198</c:v>
                </c:pt>
                <c:pt idx="412">
                  <c:v>194.39948555599534</c:v>
                </c:pt>
                <c:pt idx="413">
                  <c:v>200.47685001978641</c:v>
                </c:pt>
                <c:pt idx="414">
                  <c:v>197.7809655718244</c:v>
                </c:pt>
                <c:pt idx="415">
                  <c:v>198.96319746735267</c:v>
                </c:pt>
                <c:pt idx="416">
                  <c:v>200.08409180846863</c:v>
                </c:pt>
                <c:pt idx="417">
                  <c:v>201.48496240601514</c:v>
                </c:pt>
                <c:pt idx="418">
                  <c:v>196.93707954095777</c:v>
                </c:pt>
                <c:pt idx="419">
                  <c:v>206.67985753858341</c:v>
                </c:pt>
                <c:pt idx="420">
                  <c:v>210.3482390185992</c:v>
                </c:pt>
                <c:pt idx="421">
                  <c:v>211.44143252869023</c:v>
                </c:pt>
                <c:pt idx="422">
                  <c:v>212.86901464186789</c:v>
                </c:pt>
                <c:pt idx="423">
                  <c:v>213.84052235852798</c:v>
                </c:pt>
                <c:pt idx="424">
                  <c:v>216.5759794222399</c:v>
                </c:pt>
                <c:pt idx="425">
                  <c:v>215.3858330035616</c:v>
                </c:pt>
                <c:pt idx="426">
                  <c:v>217.9956470122676</c:v>
                </c:pt>
                <c:pt idx="427">
                  <c:v>213.16778789077964</c:v>
                </c:pt>
                <c:pt idx="428">
                  <c:v>211.7580134546894</c:v>
                </c:pt>
                <c:pt idx="429">
                  <c:v>218.98001582904638</c:v>
                </c:pt>
                <c:pt idx="430">
                  <c:v>226.05263157894748</c:v>
                </c:pt>
                <c:pt idx="431">
                  <c:v>229.28868223189565</c:v>
                </c:pt>
                <c:pt idx="432">
                  <c:v>226.75702413929571</c:v>
                </c:pt>
                <c:pt idx="433">
                  <c:v>231.58191531460238</c:v>
                </c:pt>
                <c:pt idx="434">
                  <c:v>235.74198654531077</c:v>
                </c:pt>
                <c:pt idx="435">
                  <c:v>231.42164622081532</c:v>
                </c:pt>
                <c:pt idx="436">
                  <c:v>226.79066086268315</c:v>
                </c:pt>
                <c:pt idx="437">
                  <c:v>226.64721013058974</c:v>
                </c:pt>
                <c:pt idx="438">
                  <c:v>226.36228729719051</c:v>
                </c:pt>
                <c:pt idx="439">
                  <c:v>229.79817965967567</c:v>
                </c:pt>
                <c:pt idx="440">
                  <c:v>222.91650178076785</c:v>
                </c:pt>
                <c:pt idx="441">
                  <c:v>216.66402849228351</c:v>
                </c:pt>
                <c:pt idx="442">
                  <c:v>211.8015433320144</c:v>
                </c:pt>
                <c:pt idx="443">
                  <c:v>220.54214483577377</c:v>
                </c:pt>
                <c:pt idx="444">
                  <c:v>211.1733280569847</c:v>
                </c:pt>
                <c:pt idx="445">
                  <c:v>203.64661654135352</c:v>
                </c:pt>
                <c:pt idx="446">
                  <c:v>213.9869410368027</c:v>
                </c:pt>
                <c:pt idx="447">
                  <c:v>206.46715472892774</c:v>
                </c:pt>
                <c:pt idx="448">
                  <c:v>180.67075583696098</c:v>
                </c:pt>
                <c:pt idx="449">
                  <c:v>180.89730906212915</c:v>
                </c:pt>
                <c:pt idx="450">
                  <c:v>176.74020577760206</c:v>
                </c:pt>
                <c:pt idx="451">
                  <c:v>178.7208151958846</c:v>
                </c:pt>
                <c:pt idx="452">
                  <c:v>183.62485160269108</c:v>
                </c:pt>
                <c:pt idx="453">
                  <c:v>176.95884447962027</c:v>
                </c:pt>
                <c:pt idx="454">
                  <c:v>178.01741195093012</c:v>
                </c:pt>
                <c:pt idx="455">
                  <c:v>164.54293628808878</c:v>
                </c:pt>
                <c:pt idx="456">
                  <c:v>175.58369608231118</c:v>
                </c:pt>
                <c:pt idx="457">
                  <c:v>177.08943411159493</c:v>
                </c:pt>
                <c:pt idx="458">
                  <c:v>187.86307874950552</c:v>
                </c:pt>
                <c:pt idx="459">
                  <c:v>187.57419865453122</c:v>
                </c:pt>
                <c:pt idx="460">
                  <c:v>196.92125049465784</c:v>
                </c:pt>
                <c:pt idx="461">
                  <c:v>182.44360902255653</c:v>
                </c:pt>
                <c:pt idx="462">
                  <c:v>180.99228333992889</c:v>
                </c:pt>
                <c:pt idx="463">
                  <c:v>176.42362485160282</c:v>
                </c:pt>
                <c:pt idx="464">
                  <c:v>163.24891175306701</c:v>
                </c:pt>
                <c:pt idx="465">
                  <c:v>181.83616937079557</c:v>
                </c:pt>
                <c:pt idx="466">
                  <c:v>179.9178868223191</c:v>
                </c:pt>
                <c:pt idx="467">
                  <c:v>174.86644242184423</c:v>
                </c:pt>
                <c:pt idx="468">
                  <c:v>178.58923624851622</c:v>
                </c:pt>
                <c:pt idx="469">
                  <c:v>180.07716660071247</c:v>
                </c:pt>
                <c:pt idx="470">
                  <c:v>178.09952512861116</c:v>
                </c:pt>
                <c:pt idx="471">
                  <c:v>179.0848832607837</c:v>
                </c:pt>
                <c:pt idx="472">
                  <c:v>183.91373169766536</c:v>
                </c:pt>
                <c:pt idx="473">
                  <c:v>188.86327661258423</c:v>
                </c:pt>
                <c:pt idx="474">
                  <c:v>194.45686584883276</c:v>
                </c:pt>
                <c:pt idx="475">
                  <c:v>192.73149980213708</c:v>
                </c:pt>
                <c:pt idx="476">
                  <c:v>195.22259596359334</c:v>
                </c:pt>
                <c:pt idx="477">
                  <c:v>196.84210526315806</c:v>
                </c:pt>
                <c:pt idx="478">
                  <c:v>197.02216066482009</c:v>
                </c:pt>
                <c:pt idx="479">
                  <c:v>192.39414325286916</c:v>
                </c:pt>
                <c:pt idx="480">
                  <c:v>195.69054214483592</c:v>
                </c:pt>
                <c:pt idx="481">
                  <c:v>193.32311040759808</c:v>
                </c:pt>
                <c:pt idx="482">
                  <c:v>193.1173328056986</c:v>
                </c:pt>
                <c:pt idx="483">
                  <c:v>186.4730906212902</c:v>
                </c:pt>
                <c:pt idx="484">
                  <c:v>182.12900672734483</c:v>
                </c:pt>
                <c:pt idx="485">
                  <c:v>183.79105658884069</c:v>
                </c:pt>
                <c:pt idx="486">
                  <c:v>187.89077958053045</c:v>
                </c:pt>
                <c:pt idx="487">
                  <c:v>182.22002374356964</c:v>
                </c:pt>
                <c:pt idx="488">
                  <c:v>179.85555995251303</c:v>
                </c:pt>
                <c:pt idx="489">
                  <c:v>168.34388603086677</c:v>
                </c:pt>
                <c:pt idx="490">
                  <c:v>167.94717055797403</c:v>
                </c:pt>
                <c:pt idx="491">
                  <c:v>162.5405619311438</c:v>
                </c:pt>
                <c:pt idx="492">
                  <c:v>167.23387415908209</c:v>
                </c:pt>
                <c:pt idx="493">
                  <c:v>168.87910565888421</c:v>
                </c:pt>
                <c:pt idx="494">
                  <c:v>168.24693312227956</c:v>
                </c:pt>
                <c:pt idx="495">
                  <c:v>174.49643846458267</c:v>
                </c:pt>
                <c:pt idx="496">
                  <c:v>169.53798971112008</c:v>
                </c:pt>
                <c:pt idx="497">
                  <c:v>172.64740799366857</c:v>
                </c:pt>
                <c:pt idx="498">
                  <c:v>172.17748318163848</c:v>
                </c:pt>
                <c:pt idx="499">
                  <c:v>174.56470122675128</c:v>
                </c:pt>
                <c:pt idx="500">
                  <c:v>173.4428175702416</c:v>
                </c:pt>
                <c:pt idx="501">
                  <c:v>171.78868223189573</c:v>
                </c:pt>
                <c:pt idx="502">
                  <c:v>176.18223189552847</c:v>
                </c:pt>
                <c:pt idx="503">
                  <c:v>177.09438068856372</c:v>
                </c:pt>
                <c:pt idx="504">
                  <c:v>177.86208943411179</c:v>
                </c:pt>
                <c:pt idx="505">
                  <c:v>184.53007518797011</c:v>
                </c:pt>
                <c:pt idx="506">
                  <c:v>192.52176493866261</c:v>
                </c:pt>
                <c:pt idx="507">
                  <c:v>191.22872971903462</c:v>
                </c:pt>
                <c:pt idx="508">
                  <c:v>183.57934309457872</c:v>
                </c:pt>
                <c:pt idx="509">
                  <c:v>189.52314998021387</c:v>
                </c:pt>
                <c:pt idx="510">
                  <c:v>186.38899881282171</c:v>
                </c:pt>
                <c:pt idx="511">
                  <c:v>189.80510486743191</c:v>
                </c:pt>
                <c:pt idx="512">
                  <c:v>189.70815195884467</c:v>
                </c:pt>
                <c:pt idx="513">
                  <c:v>191.34942619707181</c:v>
                </c:pt>
                <c:pt idx="514">
                  <c:v>184.62307083498237</c:v>
                </c:pt>
                <c:pt idx="515">
                  <c:v>182.37336762960049</c:v>
                </c:pt>
                <c:pt idx="516">
                  <c:v>188.98100514444022</c:v>
                </c:pt>
                <c:pt idx="517">
                  <c:v>193.02433715868634</c:v>
                </c:pt>
                <c:pt idx="518">
                  <c:v>194.44301543332031</c:v>
                </c:pt>
                <c:pt idx="519">
                  <c:v>197.8294420261181</c:v>
                </c:pt>
                <c:pt idx="520">
                  <c:v>199.66264345073228</c:v>
                </c:pt>
                <c:pt idx="521">
                  <c:v>201.17233874159098</c:v>
                </c:pt>
                <c:pt idx="522">
                  <c:v>204.31638306292061</c:v>
                </c:pt>
                <c:pt idx="523">
                  <c:v>205.81816383062932</c:v>
                </c:pt>
                <c:pt idx="524">
                  <c:v>204.39552829442039</c:v>
                </c:pt>
                <c:pt idx="525">
                  <c:v>208.65156311832223</c:v>
                </c:pt>
                <c:pt idx="526">
                  <c:v>210.99722991689762</c:v>
                </c:pt>
                <c:pt idx="527">
                  <c:v>207.04788286505749</c:v>
                </c:pt>
                <c:pt idx="528">
                  <c:v>207.13889988128227</c:v>
                </c:pt>
                <c:pt idx="529">
                  <c:v>204.96141669964393</c:v>
                </c:pt>
                <c:pt idx="530">
                  <c:v>201.58785120696487</c:v>
                </c:pt>
                <c:pt idx="531">
                  <c:v>203.06687772061744</c:v>
                </c:pt>
                <c:pt idx="532">
                  <c:v>203.97111199050266</c:v>
                </c:pt>
                <c:pt idx="533">
                  <c:v>205.235457063712</c:v>
                </c:pt>
                <c:pt idx="534">
                  <c:v>200.40858725761782</c:v>
                </c:pt>
                <c:pt idx="535">
                  <c:v>199.20953700039581</c:v>
                </c:pt>
                <c:pt idx="536">
                  <c:v>206.52849228334003</c:v>
                </c:pt>
                <c:pt idx="537">
                  <c:v>204.26988523941444</c:v>
                </c:pt>
                <c:pt idx="538">
                  <c:v>210.38385437277412</c:v>
                </c:pt>
                <c:pt idx="539">
                  <c:v>214.83577364463801</c:v>
                </c:pt>
                <c:pt idx="540">
                  <c:v>218.53185595567876</c:v>
                </c:pt>
                <c:pt idx="541">
                  <c:v>215.10189948555606</c:v>
                </c:pt>
                <c:pt idx="542">
                  <c:v>207.61574990106851</c:v>
                </c:pt>
                <c:pt idx="543">
                  <c:v>209.50831024930753</c:v>
                </c:pt>
                <c:pt idx="544">
                  <c:v>207.27245745943813</c:v>
                </c:pt>
                <c:pt idx="545">
                  <c:v>208.15789473684214</c:v>
                </c:pt>
                <c:pt idx="546">
                  <c:v>191.74614166996443</c:v>
                </c:pt>
                <c:pt idx="547">
                  <c:v>196.93015433320144</c:v>
                </c:pt>
                <c:pt idx="548">
                  <c:v>194.89612188365655</c:v>
                </c:pt>
                <c:pt idx="549">
                  <c:v>197.97586070439263</c:v>
                </c:pt>
                <c:pt idx="550">
                  <c:v>203.77522754254062</c:v>
                </c:pt>
                <c:pt idx="551">
                  <c:v>209.44004748713894</c:v>
                </c:pt>
                <c:pt idx="552">
                  <c:v>210.35714285714292</c:v>
                </c:pt>
                <c:pt idx="553">
                  <c:v>212.64345073209344</c:v>
                </c:pt>
                <c:pt idx="554">
                  <c:v>211.22279382667199</c:v>
                </c:pt>
                <c:pt idx="555">
                  <c:v>208.70003957261579</c:v>
                </c:pt>
                <c:pt idx="556">
                  <c:v>201.13969133359717</c:v>
                </c:pt>
                <c:pt idx="557">
                  <c:v>208.37158686189159</c:v>
                </c:pt>
                <c:pt idx="558">
                  <c:v>213.81084289671551</c:v>
                </c:pt>
                <c:pt idx="559">
                  <c:v>223.74752671151569</c:v>
                </c:pt>
                <c:pt idx="560">
                  <c:v>224.70617332805705</c:v>
                </c:pt>
                <c:pt idx="561">
                  <c:v>230.43727740403648</c:v>
                </c:pt>
                <c:pt idx="562">
                  <c:v>235.89730906212907</c:v>
                </c:pt>
                <c:pt idx="563">
                  <c:v>243.1104075979423</c:v>
                </c:pt>
                <c:pt idx="564">
                  <c:v>245.68262762168587</c:v>
                </c:pt>
                <c:pt idx="565">
                  <c:v>237.2922437673131</c:v>
                </c:pt>
                <c:pt idx="566">
                  <c:v>236.67194301543338</c:v>
                </c:pt>
                <c:pt idx="567">
                  <c:v>238.60902255639101</c:v>
                </c:pt>
                <c:pt idx="568">
                  <c:v>235.73011476058571</c:v>
                </c:pt>
                <c:pt idx="569">
                  <c:v>239.68045112781954</c:v>
                </c:pt>
                <c:pt idx="570">
                  <c:v>235.90027700831024</c:v>
                </c:pt>
                <c:pt idx="571">
                  <c:v>232.20221606648198</c:v>
                </c:pt>
                <c:pt idx="572">
                  <c:v>236.35833003561538</c:v>
                </c:pt>
                <c:pt idx="573">
                  <c:v>240.29184804115553</c:v>
                </c:pt>
                <c:pt idx="574">
                  <c:v>241.76098140087058</c:v>
                </c:pt>
                <c:pt idx="575">
                  <c:v>244.25999208547685</c:v>
                </c:pt>
                <c:pt idx="576">
                  <c:v>246.96082311040763</c:v>
                </c:pt>
                <c:pt idx="577">
                  <c:v>244.84269885239414</c:v>
                </c:pt>
                <c:pt idx="578">
                  <c:v>243.46260387811634</c:v>
                </c:pt>
                <c:pt idx="579">
                  <c:v>247.82053818757416</c:v>
                </c:pt>
                <c:pt idx="580">
                  <c:v>254.16106054610208</c:v>
                </c:pt>
                <c:pt idx="581">
                  <c:v>256.32865057380292</c:v>
                </c:pt>
                <c:pt idx="582">
                  <c:v>260.7409972299169</c:v>
                </c:pt>
                <c:pt idx="583">
                  <c:v>263.86426592797778</c:v>
                </c:pt>
                <c:pt idx="584">
                  <c:v>256.61159477641468</c:v>
                </c:pt>
                <c:pt idx="585">
                  <c:v>260.23743569449937</c:v>
                </c:pt>
                <c:pt idx="586">
                  <c:v>265.2146814404432</c:v>
                </c:pt>
                <c:pt idx="587">
                  <c:v>270.20379897111195</c:v>
                </c:pt>
                <c:pt idx="588">
                  <c:v>265.25326474079935</c:v>
                </c:pt>
                <c:pt idx="589">
                  <c:v>264.28868223189551</c:v>
                </c:pt>
                <c:pt idx="590">
                  <c:v>265.83003561535418</c:v>
                </c:pt>
                <c:pt idx="591">
                  <c:v>268.35872576177286</c:v>
                </c:pt>
                <c:pt idx="592">
                  <c:v>267.87989711119906</c:v>
                </c:pt>
                <c:pt idx="593">
                  <c:v>270.03561535417492</c:v>
                </c:pt>
                <c:pt idx="594">
                  <c:v>269.17392164622083</c:v>
                </c:pt>
                <c:pt idx="595">
                  <c:v>278.81381084289677</c:v>
                </c:pt>
                <c:pt idx="596">
                  <c:v>284.67451523545714</c:v>
                </c:pt>
                <c:pt idx="597">
                  <c:v>283.56351404827871</c:v>
                </c:pt>
                <c:pt idx="598">
                  <c:v>283.11139691333608</c:v>
                </c:pt>
                <c:pt idx="599">
                  <c:v>284.22338741590823</c:v>
                </c:pt>
                <c:pt idx="600">
                  <c:v>285.98239018599133</c:v>
                </c:pt>
                <c:pt idx="601">
                  <c:v>281.48694103680253</c:v>
                </c:pt>
                <c:pt idx="602">
                  <c:v>282.59299564701229</c:v>
                </c:pt>
                <c:pt idx="603">
                  <c:v>282.78492283339932</c:v>
                </c:pt>
                <c:pt idx="604">
                  <c:v>272.97783933518014</c:v>
                </c:pt>
                <c:pt idx="605">
                  <c:v>259.65373961218842</c:v>
                </c:pt>
                <c:pt idx="606">
                  <c:v>266.75900277008316</c:v>
                </c:pt>
                <c:pt idx="607">
                  <c:v>270.13949347051852</c:v>
                </c:pt>
                <c:pt idx="608">
                  <c:v>274.57360506529494</c:v>
                </c:pt>
                <c:pt idx="609">
                  <c:v>278.38642659279793</c:v>
                </c:pt>
                <c:pt idx="610">
                  <c:v>267.82152750296808</c:v>
                </c:pt>
                <c:pt idx="611">
                  <c:v>262.29422239810066</c:v>
                </c:pt>
                <c:pt idx="612">
                  <c:v>254.65868618915727</c:v>
                </c:pt>
                <c:pt idx="613">
                  <c:v>250.05540166205</c:v>
                </c:pt>
                <c:pt idx="614">
                  <c:v>244.7012267510884</c:v>
                </c:pt>
                <c:pt idx="615">
                  <c:v>246.15354174910973</c:v>
                </c:pt>
                <c:pt idx="616">
                  <c:v>253.09259992085492</c:v>
                </c:pt>
                <c:pt idx="617">
                  <c:v>260.64602295211728</c:v>
                </c:pt>
                <c:pt idx="618">
                  <c:v>256.49683419074012</c:v>
                </c:pt>
                <c:pt idx="619">
                  <c:v>259.16996438464594</c:v>
                </c:pt>
                <c:pt idx="620">
                  <c:v>262.64444004748725</c:v>
                </c:pt>
                <c:pt idx="621">
                  <c:v>267.35852789869421</c:v>
                </c:pt>
                <c:pt idx="622">
                  <c:v>265.9843688167789</c:v>
                </c:pt>
                <c:pt idx="623">
                  <c:v>259.20360110803335</c:v>
                </c:pt>
                <c:pt idx="624">
                  <c:v>260.21171349426209</c:v>
                </c:pt>
                <c:pt idx="625">
                  <c:v>262.1290067273448</c:v>
                </c:pt>
                <c:pt idx="626">
                  <c:v>260.14641867827476</c:v>
                </c:pt>
                <c:pt idx="627">
                  <c:v>260.92402057776036</c:v>
                </c:pt>
                <c:pt idx="628">
                  <c:v>266.43252869014657</c:v>
                </c:pt>
                <c:pt idx="629">
                  <c:v>267.30906212900692</c:v>
                </c:pt>
                <c:pt idx="630">
                  <c:v>267.10328452710746</c:v>
                </c:pt>
                <c:pt idx="631">
                  <c:v>270.56885635140503</c:v>
                </c:pt>
                <c:pt idx="632">
                  <c:v>271.34645825089063</c:v>
                </c:pt>
                <c:pt idx="633">
                  <c:v>270.44717055797412</c:v>
                </c:pt>
                <c:pt idx="634">
                  <c:v>270.00989315393775</c:v>
                </c:pt>
                <c:pt idx="635">
                  <c:v>262.97487138899908</c:v>
                </c:pt>
                <c:pt idx="636">
                  <c:v>256.11891571032868</c:v>
                </c:pt>
                <c:pt idx="637">
                  <c:v>268.59912940245374</c:v>
                </c:pt>
                <c:pt idx="638">
                  <c:v>273.27958053027328</c:v>
                </c:pt>
                <c:pt idx="639">
                  <c:v>273.85931935100933</c:v>
                </c:pt>
                <c:pt idx="640">
                  <c:v>278.79006727344705</c:v>
                </c:pt>
                <c:pt idx="641">
                  <c:v>278.45370003957288</c:v>
                </c:pt>
                <c:pt idx="642">
                  <c:v>286.07637514839757</c:v>
                </c:pt>
                <c:pt idx="643">
                  <c:v>291.46715472892788</c:v>
                </c:pt>
                <c:pt idx="644">
                  <c:v>280.914127423823</c:v>
                </c:pt>
                <c:pt idx="645">
                  <c:v>291.0862683023351</c:v>
                </c:pt>
                <c:pt idx="646">
                  <c:v>282.85516422635567</c:v>
                </c:pt>
                <c:pt idx="647">
                  <c:v>277.7354570637122</c:v>
                </c:pt>
                <c:pt idx="648">
                  <c:v>272.10229521171379</c:v>
                </c:pt>
                <c:pt idx="649">
                  <c:v>271.74416303917718</c:v>
                </c:pt>
                <c:pt idx="650">
                  <c:v>274.9713098535816</c:v>
                </c:pt>
                <c:pt idx="651">
                  <c:v>271.00712307083529</c:v>
                </c:pt>
                <c:pt idx="652">
                  <c:v>264.29758607043954</c:v>
                </c:pt>
                <c:pt idx="653">
                  <c:v>264.52809655718272</c:v>
                </c:pt>
                <c:pt idx="654">
                  <c:v>267.45449149188789</c:v>
                </c:pt>
                <c:pt idx="655">
                  <c:v>266.80451127819578</c:v>
                </c:pt>
                <c:pt idx="656">
                  <c:v>267.73149980213719</c:v>
                </c:pt>
                <c:pt idx="657">
                  <c:v>265.97348634744782</c:v>
                </c:pt>
                <c:pt idx="658">
                  <c:v>267.29125445191954</c:v>
                </c:pt>
                <c:pt idx="659">
                  <c:v>260.43233082706791</c:v>
                </c:pt>
                <c:pt idx="660">
                  <c:v>257.49406410763777</c:v>
                </c:pt>
                <c:pt idx="661">
                  <c:v>252.94123466561166</c:v>
                </c:pt>
                <c:pt idx="662">
                  <c:v>257.89572615749927</c:v>
                </c:pt>
                <c:pt idx="663">
                  <c:v>263.59220419469756</c:v>
                </c:pt>
                <c:pt idx="664">
                  <c:v>259.88425009893183</c:v>
                </c:pt>
                <c:pt idx="665">
                  <c:v>263.35773644637942</c:v>
                </c:pt>
                <c:pt idx="666">
                  <c:v>270.26711515631217</c:v>
                </c:pt>
                <c:pt idx="667">
                  <c:v>272.66719430154365</c:v>
                </c:pt>
                <c:pt idx="668">
                  <c:v>272.43965176098175</c:v>
                </c:pt>
                <c:pt idx="669">
                  <c:v>272.23684210526346</c:v>
                </c:pt>
                <c:pt idx="670">
                  <c:v>264.62999604273875</c:v>
                </c:pt>
                <c:pt idx="671">
                  <c:v>257.76117926394966</c:v>
                </c:pt>
                <c:pt idx="672">
                  <c:v>261.86683814800193</c:v>
                </c:pt>
                <c:pt idx="673">
                  <c:v>261.46913335971544</c:v>
                </c:pt>
                <c:pt idx="674">
                  <c:v>257.58211317768138</c:v>
                </c:pt>
                <c:pt idx="675">
                  <c:v>254.8060941828258</c:v>
                </c:pt>
                <c:pt idx="676">
                  <c:v>255.98239018599159</c:v>
                </c:pt>
                <c:pt idx="677">
                  <c:v>261.47803719825913</c:v>
                </c:pt>
                <c:pt idx="678">
                  <c:v>261.93015433320181</c:v>
                </c:pt>
                <c:pt idx="679">
                  <c:v>243.80193905817208</c:v>
                </c:pt>
                <c:pt idx="680">
                  <c:v>236.17233874159118</c:v>
                </c:pt>
                <c:pt idx="681">
                  <c:v>245.22457459438104</c:v>
                </c:pt>
                <c:pt idx="682">
                  <c:v>250.85180055401699</c:v>
                </c:pt>
                <c:pt idx="683">
                  <c:v>253.95825089038422</c:v>
                </c:pt>
                <c:pt idx="684">
                  <c:v>243.52789869410398</c:v>
                </c:pt>
                <c:pt idx="685">
                  <c:v>248.14107637514874</c:v>
                </c:pt>
                <c:pt idx="686">
                  <c:v>250.74990106846096</c:v>
                </c:pt>
                <c:pt idx="687">
                  <c:v>259.70914127423856</c:v>
                </c:pt>
                <c:pt idx="688">
                  <c:v>268.06687772061764</c:v>
                </c:pt>
                <c:pt idx="689">
                  <c:v>270.84487534626066</c:v>
                </c:pt>
                <c:pt idx="690">
                  <c:v>268.30332409972334</c:v>
                </c:pt>
                <c:pt idx="691">
                  <c:v>272.02611792639527</c:v>
                </c:pt>
                <c:pt idx="692">
                  <c:v>272.37237831420691</c:v>
                </c:pt>
                <c:pt idx="693">
                  <c:v>274.71903442817609</c:v>
                </c:pt>
                <c:pt idx="694">
                  <c:v>276.53640680649028</c:v>
                </c:pt>
                <c:pt idx="695">
                  <c:v>283.57637514839769</c:v>
                </c:pt>
                <c:pt idx="696">
                  <c:v>284.19865453106485</c:v>
                </c:pt>
                <c:pt idx="697">
                  <c:v>279.10466956865884</c:v>
                </c:pt>
                <c:pt idx="698">
                  <c:v>277.8798971111994</c:v>
                </c:pt>
                <c:pt idx="699">
                  <c:v>275.89038385437311</c:v>
                </c:pt>
                <c:pt idx="700">
                  <c:v>277.30708349821958</c:v>
                </c:pt>
                <c:pt idx="701">
                  <c:v>272.49703205381911</c:v>
                </c:pt>
                <c:pt idx="702">
                  <c:v>266.46715472892788</c:v>
                </c:pt>
                <c:pt idx="703">
                  <c:v>259.48456667985783</c:v>
                </c:pt>
                <c:pt idx="704">
                  <c:v>266.99149188761407</c:v>
                </c:pt>
                <c:pt idx="705">
                  <c:v>264.36189157103314</c:v>
                </c:pt>
                <c:pt idx="706">
                  <c:v>268.72180451127844</c:v>
                </c:pt>
                <c:pt idx="707">
                  <c:v>268.21131776810472</c:v>
                </c:pt>
                <c:pt idx="708">
                  <c:v>276.64127423822742</c:v>
                </c:pt>
                <c:pt idx="709">
                  <c:v>271.90542144835803</c:v>
                </c:pt>
                <c:pt idx="710">
                  <c:v>277.0765730114764</c:v>
                </c:pt>
                <c:pt idx="711">
                  <c:v>273.26770874554842</c:v>
                </c:pt>
                <c:pt idx="712">
                  <c:v>276.06846062524767</c:v>
                </c:pt>
                <c:pt idx="713">
                  <c:v>271.08428967154759</c:v>
                </c:pt>
                <c:pt idx="714">
                  <c:v>266.5027700831028</c:v>
                </c:pt>
                <c:pt idx="715">
                  <c:v>258.08666402849258</c:v>
                </c:pt>
                <c:pt idx="716">
                  <c:v>265.78551642263585</c:v>
                </c:pt>
                <c:pt idx="717">
                  <c:v>267.93529877324926</c:v>
                </c:pt>
                <c:pt idx="718">
                  <c:v>252.6177285318563</c:v>
                </c:pt>
                <c:pt idx="719">
                  <c:v>252.45152354570672</c:v>
                </c:pt>
                <c:pt idx="720">
                  <c:v>252.85615354174945</c:v>
                </c:pt>
                <c:pt idx="721">
                  <c:v>248.9503363672342</c:v>
                </c:pt>
                <c:pt idx="722">
                  <c:v>246.61060546102129</c:v>
                </c:pt>
                <c:pt idx="723">
                  <c:v>231.03878116343526</c:v>
                </c:pt>
                <c:pt idx="724">
                  <c:v>225.44815987336796</c:v>
                </c:pt>
                <c:pt idx="725">
                  <c:v>231.055599525129</c:v>
                </c:pt>
                <c:pt idx="726">
                  <c:v>231.99643846458289</c:v>
                </c:pt>
                <c:pt idx="727">
                  <c:v>235.15136525524375</c:v>
                </c:pt>
                <c:pt idx="728">
                  <c:v>235.36505738029325</c:v>
                </c:pt>
                <c:pt idx="729">
                  <c:v>238.51305896319786</c:v>
                </c:pt>
                <c:pt idx="730">
                  <c:v>238.23703996834229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64-4F22-B652-045BE8BA3F5D}"/>
            </c:ext>
          </c:extLst>
        </c:ser>
        <c:ser>
          <c:idx val="12"/>
          <c:order val="5"/>
          <c:tx>
            <c:strRef>
              <c:f>Index!$AB$1</c:f>
              <c:strCache>
                <c:ptCount val="1"/>
                <c:pt idx="0">
                  <c:v>Oil&amp;Gas</c:v>
                </c:pt>
              </c:strCache>
            </c:strRef>
          </c:tx>
          <c:spPr>
            <a:ln w="12700"/>
          </c:spPr>
          <c:marker>
            <c:symbol val="none"/>
          </c:marker>
          <c:cat>
            <c:numRef>
              <c:f>Index!$A$2:$A$732</c:f>
              <c:numCache>
                <c:formatCode>m/d/yyyy</c:formatCode>
                <c:ptCount val="731"/>
                <c:pt idx="0" formatCode="dd\.mm\.yyyy">
                  <c:v>37624</c:v>
                </c:pt>
                <c:pt idx="1">
                  <c:v>37631</c:v>
                </c:pt>
                <c:pt idx="2">
                  <c:v>37638</c:v>
                </c:pt>
                <c:pt idx="3">
                  <c:v>37645</c:v>
                </c:pt>
                <c:pt idx="4">
                  <c:v>37652</c:v>
                </c:pt>
                <c:pt idx="5">
                  <c:v>37659</c:v>
                </c:pt>
                <c:pt idx="6">
                  <c:v>37666</c:v>
                </c:pt>
                <c:pt idx="7">
                  <c:v>37673</c:v>
                </c:pt>
                <c:pt idx="8">
                  <c:v>37680</c:v>
                </c:pt>
                <c:pt idx="9">
                  <c:v>37687</c:v>
                </c:pt>
                <c:pt idx="10">
                  <c:v>37694</c:v>
                </c:pt>
                <c:pt idx="11">
                  <c:v>37701</c:v>
                </c:pt>
                <c:pt idx="12">
                  <c:v>37708</c:v>
                </c:pt>
                <c:pt idx="13">
                  <c:v>37715</c:v>
                </c:pt>
                <c:pt idx="14">
                  <c:v>37722</c:v>
                </c:pt>
                <c:pt idx="15">
                  <c:v>37729</c:v>
                </c:pt>
                <c:pt idx="16">
                  <c:v>37736</c:v>
                </c:pt>
                <c:pt idx="17">
                  <c:v>37743</c:v>
                </c:pt>
                <c:pt idx="18">
                  <c:v>37750</c:v>
                </c:pt>
                <c:pt idx="19">
                  <c:v>37757</c:v>
                </c:pt>
                <c:pt idx="20">
                  <c:v>37764</c:v>
                </c:pt>
                <c:pt idx="21">
                  <c:v>37771</c:v>
                </c:pt>
                <c:pt idx="22">
                  <c:v>37778</c:v>
                </c:pt>
                <c:pt idx="23">
                  <c:v>37785</c:v>
                </c:pt>
                <c:pt idx="24">
                  <c:v>37792</c:v>
                </c:pt>
                <c:pt idx="25">
                  <c:v>37799</c:v>
                </c:pt>
                <c:pt idx="26">
                  <c:v>37806</c:v>
                </c:pt>
                <c:pt idx="27">
                  <c:v>37813</c:v>
                </c:pt>
                <c:pt idx="28">
                  <c:v>37820</c:v>
                </c:pt>
                <c:pt idx="29">
                  <c:v>37827</c:v>
                </c:pt>
                <c:pt idx="30">
                  <c:v>37834</c:v>
                </c:pt>
                <c:pt idx="31">
                  <c:v>37841</c:v>
                </c:pt>
                <c:pt idx="32">
                  <c:v>37848</c:v>
                </c:pt>
                <c:pt idx="33">
                  <c:v>37855</c:v>
                </c:pt>
                <c:pt idx="34">
                  <c:v>37862</c:v>
                </c:pt>
                <c:pt idx="35">
                  <c:v>37869</c:v>
                </c:pt>
                <c:pt idx="36">
                  <c:v>37876</c:v>
                </c:pt>
                <c:pt idx="37">
                  <c:v>37883</c:v>
                </c:pt>
                <c:pt idx="38">
                  <c:v>37890</c:v>
                </c:pt>
                <c:pt idx="39">
                  <c:v>37897</c:v>
                </c:pt>
                <c:pt idx="40">
                  <c:v>37904</c:v>
                </c:pt>
                <c:pt idx="41">
                  <c:v>37911</c:v>
                </c:pt>
                <c:pt idx="42">
                  <c:v>37918</c:v>
                </c:pt>
                <c:pt idx="43">
                  <c:v>37925</c:v>
                </c:pt>
                <c:pt idx="44">
                  <c:v>37932</c:v>
                </c:pt>
                <c:pt idx="45">
                  <c:v>37939</c:v>
                </c:pt>
                <c:pt idx="46">
                  <c:v>37946</c:v>
                </c:pt>
                <c:pt idx="47">
                  <c:v>37953</c:v>
                </c:pt>
                <c:pt idx="48">
                  <c:v>37960</c:v>
                </c:pt>
                <c:pt idx="49">
                  <c:v>37967</c:v>
                </c:pt>
                <c:pt idx="50">
                  <c:v>37974</c:v>
                </c:pt>
                <c:pt idx="51">
                  <c:v>37981</c:v>
                </c:pt>
                <c:pt idx="52">
                  <c:v>37988</c:v>
                </c:pt>
                <c:pt idx="53">
                  <c:v>37995</c:v>
                </c:pt>
                <c:pt idx="54">
                  <c:v>38002</c:v>
                </c:pt>
                <c:pt idx="55">
                  <c:v>38009</c:v>
                </c:pt>
                <c:pt idx="56">
                  <c:v>38016</c:v>
                </c:pt>
                <c:pt idx="57">
                  <c:v>38023</c:v>
                </c:pt>
                <c:pt idx="58">
                  <c:v>38030</c:v>
                </c:pt>
                <c:pt idx="59">
                  <c:v>38037</c:v>
                </c:pt>
                <c:pt idx="60">
                  <c:v>38044</c:v>
                </c:pt>
                <c:pt idx="61">
                  <c:v>38051</c:v>
                </c:pt>
                <c:pt idx="62">
                  <c:v>38058</c:v>
                </c:pt>
                <c:pt idx="63">
                  <c:v>38065</c:v>
                </c:pt>
                <c:pt idx="64">
                  <c:v>38072</c:v>
                </c:pt>
                <c:pt idx="65">
                  <c:v>38079</c:v>
                </c:pt>
                <c:pt idx="66">
                  <c:v>38086</c:v>
                </c:pt>
                <c:pt idx="67">
                  <c:v>38093</c:v>
                </c:pt>
                <c:pt idx="68">
                  <c:v>38100</c:v>
                </c:pt>
                <c:pt idx="69">
                  <c:v>38107</c:v>
                </c:pt>
                <c:pt idx="70">
                  <c:v>38114</c:v>
                </c:pt>
                <c:pt idx="71">
                  <c:v>38121</c:v>
                </c:pt>
                <c:pt idx="72">
                  <c:v>38128</c:v>
                </c:pt>
                <c:pt idx="73">
                  <c:v>38135</c:v>
                </c:pt>
                <c:pt idx="74">
                  <c:v>38142</c:v>
                </c:pt>
                <c:pt idx="75">
                  <c:v>38149</c:v>
                </c:pt>
                <c:pt idx="76">
                  <c:v>38156</c:v>
                </c:pt>
                <c:pt idx="77">
                  <c:v>38163</c:v>
                </c:pt>
                <c:pt idx="78">
                  <c:v>38170</c:v>
                </c:pt>
                <c:pt idx="79">
                  <c:v>38177</c:v>
                </c:pt>
                <c:pt idx="80">
                  <c:v>38184</c:v>
                </c:pt>
                <c:pt idx="81">
                  <c:v>38191</c:v>
                </c:pt>
                <c:pt idx="82">
                  <c:v>38198</c:v>
                </c:pt>
                <c:pt idx="83">
                  <c:v>38205</c:v>
                </c:pt>
                <c:pt idx="84">
                  <c:v>38212</c:v>
                </c:pt>
                <c:pt idx="85">
                  <c:v>38219</c:v>
                </c:pt>
                <c:pt idx="86">
                  <c:v>38226</c:v>
                </c:pt>
                <c:pt idx="87">
                  <c:v>38233</c:v>
                </c:pt>
                <c:pt idx="88">
                  <c:v>38240</c:v>
                </c:pt>
                <c:pt idx="89">
                  <c:v>38247</c:v>
                </c:pt>
                <c:pt idx="90">
                  <c:v>38254</c:v>
                </c:pt>
                <c:pt idx="91">
                  <c:v>38261</c:v>
                </c:pt>
                <c:pt idx="92">
                  <c:v>38268</c:v>
                </c:pt>
                <c:pt idx="93">
                  <c:v>38275</c:v>
                </c:pt>
                <c:pt idx="94">
                  <c:v>38282</c:v>
                </c:pt>
                <c:pt idx="95">
                  <c:v>38289</c:v>
                </c:pt>
                <c:pt idx="96">
                  <c:v>38296</c:v>
                </c:pt>
                <c:pt idx="97">
                  <c:v>38303</c:v>
                </c:pt>
                <c:pt idx="98">
                  <c:v>38310</c:v>
                </c:pt>
                <c:pt idx="99">
                  <c:v>38317</c:v>
                </c:pt>
                <c:pt idx="100">
                  <c:v>38324</c:v>
                </c:pt>
                <c:pt idx="101">
                  <c:v>38331</c:v>
                </c:pt>
                <c:pt idx="102">
                  <c:v>38338</c:v>
                </c:pt>
                <c:pt idx="103">
                  <c:v>38345</c:v>
                </c:pt>
                <c:pt idx="104">
                  <c:v>38352</c:v>
                </c:pt>
                <c:pt idx="105">
                  <c:v>38359</c:v>
                </c:pt>
                <c:pt idx="106">
                  <c:v>38366</c:v>
                </c:pt>
                <c:pt idx="107">
                  <c:v>38373</c:v>
                </c:pt>
                <c:pt idx="108">
                  <c:v>38380</c:v>
                </c:pt>
                <c:pt idx="109">
                  <c:v>38387</c:v>
                </c:pt>
                <c:pt idx="110">
                  <c:v>38394</c:v>
                </c:pt>
                <c:pt idx="111">
                  <c:v>38401</c:v>
                </c:pt>
                <c:pt idx="112">
                  <c:v>38408</c:v>
                </c:pt>
                <c:pt idx="113">
                  <c:v>38415</c:v>
                </c:pt>
                <c:pt idx="114">
                  <c:v>38422</c:v>
                </c:pt>
                <c:pt idx="115">
                  <c:v>38429</c:v>
                </c:pt>
                <c:pt idx="116">
                  <c:v>38436</c:v>
                </c:pt>
                <c:pt idx="117">
                  <c:v>38443</c:v>
                </c:pt>
                <c:pt idx="118">
                  <c:v>38450</c:v>
                </c:pt>
                <c:pt idx="119">
                  <c:v>38457</c:v>
                </c:pt>
                <c:pt idx="120">
                  <c:v>38464</c:v>
                </c:pt>
                <c:pt idx="121">
                  <c:v>38471</c:v>
                </c:pt>
                <c:pt idx="122">
                  <c:v>38478</c:v>
                </c:pt>
                <c:pt idx="123">
                  <c:v>38485</c:v>
                </c:pt>
                <c:pt idx="124">
                  <c:v>38492</c:v>
                </c:pt>
                <c:pt idx="125">
                  <c:v>38499</c:v>
                </c:pt>
                <c:pt idx="126">
                  <c:v>38506</c:v>
                </c:pt>
                <c:pt idx="127">
                  <c:v>38513</c:v>
                </c:pt>
                <c:pt idx="128">
                  <c:v>38520</c:v>
                </c:pt>
                <c:pt idx="129">
                  <c:v>38527</c:v>
                </c:pt>
                <c:pt idx="130">
                  <c:v>38534</c:v>
                </c:pt>
                <c:pt idx="131">
                  <c:v>38541</c:v>
                </c:pt>
                <c:pt idx="132">
                  <c:v>38548</c:v>
                </c:pt>
                <c:pt idx="133">
                  <c:v>38555</c:v>
                </c:pt>
                <c:pt idx="134">
                  <c:v>38562</c:v>
                </c:pt>
                <c:pt idx="135">
                  <c:v>38569</c:v>
                </c:pt>
                <c:pt idx="136">
                  <c:v>38576</c:v>
                </c:pt>
                <c:pt idx="137">
                  <c:v>38583</c:v>
                </c:pt>
                <c:pt idx="138">
                  <c:v>38590</c:v>
                </c:pt>
                <c:pt idx="139">
                  <c:v>38597</c:v>
                </c:pt>
                <c:pt idx="140">
                  <c:v>38604</c:v>
                </c:pt>
                <c:pt idx="141">
                  <c:v>38611</c:v>
                </c:pt>
                <c:pt idx="142">
                  <c:v>38618</c:v>
                </c:pt>
                <c:pt idx="143">
                  <c:v>38625</c:v>
                </c:pt>
                <c:pt idx="144">
                  <c:v>38632</c:v>
                </c:pt>
                <c:pt idx="145">
                  <c:v>38639</c:v>
                </c:pt>
                <c:pt idx="146">
                  <c:v>38646</c:v>
                </c:pt>
                <c:pt idx="147">
                  <c:v>38653</c:v>
                </c:pt>
                <c:pt idx="148">
                  <c:v>38660</c:v>
                </c:pt>
                <c:pt idx="149">
                  <c:v>38667</c:v>
                </c:pt>
                <c:pt idx="150">
                  <c:v>38674</c:v>
                </c:pt>
                <c:pt idx="151">
                  <c:v>38681</c:v>
                </c:pt>
                <c:pt idx="152">
                  <c:v>38688</c:v>
                </c:pt>
                <c:pt idx="153">
                  <c:v>38695</c:v>
                </c:pt>
                <c:pt idx="154">
                  <c:v>38702</c:v>
                </c:pt>
                <c:pt idx="155">
                  <c:v>38709</c:v>
                </c:pt>
                <c:pt idx="156">
                  <c:v>38716</c:v>
                </c:pt>
                <c:pt idx="157">
                  <c:v>38723</c:v>
                </c:pt>
                <c:pt idx="158">
                  <c:v>38730</c:v>
                </c:pt>
                <c:pt idx="159">
                  <c:v>38737</c:v>
                </c:pt>
                <c:pt idx="160">
                  <c:v>38744</c:v>
                </c:pt>
                <c:pt idx="161">
                  <c:v>38751</c:v>
                </c:pt>
                <c:pt idx="162">
                  <c:v>38758</c:v>
                </c:pt>
                <c:pt idx="163">
                  <c:v>38765</c:v>
                </c:pt>
                <c:pt idx="164">
                  <c:v>38772</c:v>
                </c:pt>
                <c:pt idx="165">
                  <c:v>38779</c:v>
                </c:pt>
                <c:pt idx="166">
                  <c:v>38786</c:v>
                </c:pt>
                <c:pt idx="167">
                  <c:v>38793</c:v>
                </c:pt>
                <c:pt idx="168">
                  <c:v>38800</c:v>
                </c:pt>
                <c:pt idx="169">
                  <c:v>38807</c:v>
                </c:pt>
                <c:pt idx="170">
                  <c:v>38814</c:v>
                </c:pt>
                <c:pt idx="171">
                  <c:v>38821</c:v>
                </c:pt>
                <c:pt idx="172">
                  <c:v>38828</c:v>
                </c:pt>
                <c:pt idx="173">
                  <c:v>38835</c:v>
                </c:pt>
                <c:pt idx="174">
                  <c:v>38842</c:v>
                </c:pt>
                <c:pt idx="175">
                  <c:v>38849</c:v>
                </c:pt>
                <c:pt idx="176">
                  <c:v>38856</c:v>
                </c:pt>
                <c:pt idx="177">
                  <c:v>38863</c:v>
                </c:pt>
                <c:pt idx="178">
                  <c:v>38870</c:v>
                </c:pt>
                <c:pt idx="179">
                  <c:v>38877</c:v>
                </c:pt>
                <c:pt idx="180">
                  <c:v>38884</c:v>
                </c:pt>
                <c:pt idx="181">
                  <c:v>38891</c:v>
                </c:pt>
                <c:pt idx="182">
                  <c:v>38898</c:v>
                </c:pt>
                <c:pt idx="183">
                  <c:v>38905</c:v>
                </c:pt>
                <c:pt idx="184">
                  <c:v>38912</c:v>
                </c:pt>
                <c:pt idx="185">
                  <c:v>38919</c:v>
                </c:pt>
                <c:pt idx="186">
                  <c:v>38926</c:v>
                </c:pt>
                <c:pt idx="187">
                  <c:v>38933</c:v>
                </c:pt>
                <c:pt idx="188">
                  <c:v>38940</c:v>
                </c:pt>
                <c:pt idx="189">
                  <c:v>38947</c:v>
                </c:pt>
                <c:pt idx="190">
                  <c:v>38954</c:v>
                </c:pt>
                <c:pt idx="191">
                  <c:v>38961</c:v>
                </c:pt>
                <c:pt idx="192">
                  <c:v>38968</c:v>
                </c:pt>
                <c:pt idx="193">
                  <c:v>38975</c:v>
                </c:pt>
                <c:pt idx="194">
                  <c:v>38982</c:v>
                </c:pt>
                <c:pt idx="195">
                  <c:v>38989</c:v>
                </c:pt>
                <c:pt idx="196">
                  <c:v>38996</c:v>
                </c:pt>
                <c:pt idx="197">
                  <c:v>39003</c:v>
                </c:pt>
                <c:pt idx="198">
                  <c:v>39010</c:v>
                </c:pt>
                <c:pt idx="199">
                  <c:v>39017</c:v>
                </c:pt>
                <c:pt idx="200">
                  <c:v>39024</c:v>
                </c:pt>
                <c:pt idx="201">
                  <c:v>39031</c:v>
                </c:pt>
                <c:pt idx="202">
                  <c:v>39038</c:v>
                </c:pt>
                <c:pt idx="203">
                  <c:v>39045</c:v>
                </c:pt>
                <c:pt idx="204">
                  <c:v>39052</c:v>
                </c:pt>
                <c:pt idx="205">
                  <c:v>39059</c:v>
                </c:pt>
                <c:pt idx="206">
                  <c:v>39066</c:v>
                </c:pt>
                <c:pt idx="207">
                  <c:v>39073</c:v>
                </c:pt>
                <c:pt idx="208">
                  <c:v>39080</c:v>
                </c:pt>
                <c:pt idx="209">
                  <c:v>39087</c:v>
                </c:pt>
                <c:pt idx="210">
                  <c:v>39094</c:v>
                </c:pt>
                <c:pt idx="211">
                  <c:v>39101</c:v>
                </c:pt>
                <c:pt idx="212">
                  <c:v>39108</c:v>
                </c:pt>
                <c:pt idx="213">
                  <c:v>39115</c:v>
                </c:pt>
                <c:pt idx="214">
                  <c:v>39122</c:v>
                </c:pt>
                <c:pt idx="215">
                  <c:v>39129</c:v>
                </c:pt>
                <c:pt idx="216">
                  <c:v>39136</c:v>
                </c:pt>
                <c:pt idx="217">
                  <c:v>39143</c:v>
                </c:pt>
                <c:pt idx="218">
                  <c:v>39150</c:v>
                </c:pt>
                <c:pt idx="219">
                  <c:v>39157</c:v>
                </c:pt>
                <c:pt idx="220">
                  <c:v>39164</c:v>
                </c:pt>
                <c:pt idx="221">
                  <c:v>39171</c:v>
                </c:pt>
                <c:pt idx="222">
                  <c:v>39178</c:v>
                </c:pt>
                <c:pt idx="223">
                  <c:v>39185</c:v>
                </c:pt>
                <c:pt idx="224">
                  <c:v>39192</c:v>
                </c:pt>
                <c:pt idx="225">
                  <c:v>39199</c:v>
                </c:pt>
                <c:pt idx="226">
                  <c:v>39206</c:v>
                </c:pt>
                <c:pt idx="227">
                  <c:v>39213</c:v>
                </c:pt>
                <c:pt idx="228">
                  <c:v>39220</c:v>
                </c:pt>
                <c:pt idx="229">
                  <c:v>39227</c:v>
                </c:pt>
                <c:pt idx="230">
                  <c:v>39234</c:v>
                </c:pt>
                <c:pt idx="231">
                  <c:v>39241</c:v>
                </c:pt>
                <c:pt idx="232">
                  <c:v>39248</c:v>
                </c:pt>
                <c:pt idx="233">
                  <c:v>39255</c:v>
                </c:pt>
                <c:pt idx="234">
                  <c:v>39262</c:v>
                </c:pt>
                <c:pt idx="235">
                  <c:v>39269</c:v>
                </c:pt>
                <c:pt idx="236">
                  <c:v>39276</c:v>
                </c:pt>
                <c:pt idx="237">
                  <c:v>39283</c:v>
                </c:pt>
                <c:pt idx="238">
                  <c:v>39290</c:v>
                </c:pt>
                <c:pt idx="239">
                  <c:v>39297</c:v>
                </c:pt>
                <c:pt idx="240">
                  <c:v>39304</c:v>
                </c:pt>
                <c:pt idx="241">
                  <c:v>39311</c:v>
                </c:pt>
                <c:pt idx="242">
                  <c:v>39318</c:v>
                </c:pt>
                <c:pt idx="243">
                  <c:v>39325</c:v>
                </c:pt>
                <c:pt idx="244">
                  <c:v>39332</c:v>
                </c:pt>
                <c:pt idx="245">
                  <c:v>39339</c:v>
                </c:pt>
                <c:pt idx="246">
                  <c:v>39346</c:v>
                </c:pt>
                <c:pt idx="247">
                  <c:v>39353</c:v>
                </c:pt>
                <c:pt idx="248">
                  <c:v>39360</c:v>
                </c:pt>
                <c:pt idx="249">
                  <c:v>39367</c:v>
                </c:pt>
                <c:pt idx="250">
                  <c:v>39374</c:v>
                </c:pt>
                <c:pt idx="251">
                  <c:v>39381</c:v>
                </c:pt>
                <c:pt idx="252">
                  <c:v>39388</c:v>
                </c:pt>
                <c:pt idx="253">
                  <c:v>39395</c:v>
                </c:pt>
                <c:pt idx="254">
                  <c:v>39402</c:v>
                </c:pt>
                <c:pt idx="255">
                  <c:v>39409</c:v>
                </c:pt>
                <c:pt idx="256">
                  <c:v>39416</c:v>
                </c:pt>
                <c:pt idx="257">
                  <c:v>39423</c:v>
                </c:pt>
                <c:pt idx="258">
                  <c:v>39430</c:v>
                </c:pt>
                <c:pt idx="259">
                  <c:v>39437</c:v>
                </c:pt>
                <c:pt idx="260">
                  <c:v>39444</c:v>
                </c:pt>
                <c:pt idx="261">
                  <c:v>39451</c:v>
                </c:pt>
                <c:pt idx="262">
                  <c:v>39458</c:v>
                </c:pt>
                <c:pt idx="263">
                  <c:v>39465</c:v>
                </c:pt>
                <c:pt idx="264">
                  <c:v>39472</c:v>
                </c:pt>
                <c:pt idx="265">
                  <c:v>39479</c:v>
                </c:pt>
                <c:pt idx="266">
                  <c:v>39486</c:v>
                </c:pt>
                <c:pt idx="267">
                  <c:v>39493</c:v>
                </c:pt>
                <c:pt idx="268">
                  <c:v>39500</c:v>
                </c:pt>
                <c:pt idx="269">
                  <c:v>39507</c:v>
                </c:pt>
                <c:pt idx="270">
                  <c:v>39514</c:v>
                </c:pt>
                <c:pt idx="271">
                  <c:v>39521</c:v>
                </c:pt>
                <c:pt idx="272">
                  <c:v>39528</c:v>
                </c:pt>
                <c:pt idx="273">
                  <c:v>39535</c:v>
                </c:pt>
                <c:pt idx="274">
                  <c:v>39542</c:v>
                </c:pt>
                <c:pt idx="275">
                  <c:v>39549</c:v>
                </c:pt>
                <c:pt idx="276">
                  <c:v>39556</c:v>
                </c:pt>
                <c:pt idx="277">
                  <c:v>39563</c:v>
                </c:pt>
                <c:pt idx="278">
                  <c:v>39570</c:v>
                </c:pt>
                <c:pt idx="279">
                  <c:v>39577</c:v>
                </c:pt>
                <c:pt idx="280">
                  <c:v>39584</c:v>
                </c:pt>
                <c:pt idx="281">
                  <c:v>39591</c:v>
                </c:pt>
                <c:pt idx="282">
                  <c:v>39598</c:v>
                </c:pt>
                <c:pt idx="283">
                  <c:v>39605</c:v>
                </c:pt>
                <c:pt idx="284">
                  <c:v>39612</c:v>
                </c:pt>
                <c:pt idx="285">
                  <c:v>39619</c:v>
                </c:pt>
                <c:pt idx="286">
                  <c:v>39626</c:v>
                </c:pt>
                <c:pt idx="287">
                  <c:v>39633</c:v>
                </c:pt>
                <c:pt idx="288">
                  <c:v>39640</c:v>
                </c:pt>
                <c:pt idx="289">
                  <c:v>39647</c:v>
                </c:pt>
                <c:pt idx="290">
                  <c:v>39654</c:v>
                </c:pt>
                <c:pt idx="291">
                  <c:v>39661</c:v>
                </c:pt>
                <c:pt idx="292">
                  <c:v>39668</c:v>
                </c:pt>
                <c:pt idx="293">
                  <c:v>39675</c:v>
                </c:pt>
                <c:pt idx="294">
                  <c:v>39682</c:v>
                </c:pt>
                <c:pt idx="295">
                  <c:v>39689</c:v>
                </c:pt>
                <c:pt idx="296">
                  <c:v>39696</c:v>
                </c:pt>
                <c:pt idx="297">
                  <c:v>39703</c:v>
                </c:pt>
                <c:pt idx="298">
                  <c:v>39710</c:v>
                </c:pt>
                <c:pt idx="299">
                  <c:v>39717</c:v>
                </c:pt>
                <c:pt idx="300">
                  <c:v>39724</c:v>
                </c:pt>
                <c:pt idx="301">
                  <c:v>39731</c:v>
                </c:pt>
                <c:pt idx="302">
                  <c:v>39738</c:v>
                </c:pt>
                <c:pt idx="303">
                  <c:v>39745</c:v>
                </c:pt>
                <c:pt idx="304">
                  <c:v>39752</c:v>
                </c:pt>
                <c:pt idx="305">
                  <c:v>39759</c:v>
                </c:pt>
                <c:pt idx="306">
                  <c:v>39766</c:v>
                </c:pt>
                <c:pt idx="307">
                  <c:v>39773</c:v>
                </c:pt>
                <c:pt idx="308">
                  <c:v>39780</c:v>
                </c:pt>
                <c:pt idx="309">
                  <c:v>39787</c:v>
                </c:pt>
                <c:pt idx="310">
                  <c:v>39794</c:v>
                </c:pt>
                <c:pt idx="311">
                  <c:v>39801</c:v>
                </c:pt>
                <c:pt idx="312">
                  <c:v>39808</c:v>
                </c:pt>
                <c:pt idx="313">
                  <c:v>39815</c:v>
                </c:pt>
                <c:pt idx="314">
                  <c:v>39822</c:v>
                </c:pt>
                <c:pt idx="315">
                  <c:v>39829</c:v>
                </c:pt>
                <c:pt idx="316">
                  <c:v>39836</c:v>
                </c:pt>
                <c:pt idx="317">
                  <c:v>39843</c:v>
                </c:pt>
                <c:pt idx="318">
                  <c:v>39850</c:v>
                </c:pt>
                <c:pt idx="319">
                  <c:v>39857</c:v>
                </c:pt>
                <c:pt idx="320">
                  <c:v>39864</c:v>
                </c:pt>
                <c:pt idx="321">
                  <c:v>39871</c:v>
                </c:pt>
                <c:pt idx="322">
                  <c:v>39878</c:v>
                </c:pt>
                <c:pt idx="323">
                  <c:v>39885</c:v>
                </c:pt>
                <c:pt idx="324">
                  <c:v>39892</c:v>
                </c:pt>
                <c:pt idx="325">
                  <c:v>39899</c:v>
                </c:pt>
                <c:pt idx="326">
                  <c:v>39906</c:v>
                </c:pt>
                <c:pt idx="327">
                  <c:v>39913</c:v>
                </c:pt>
                <c:pt idx="328">
                  <c:v>39920</c:v>
                </c:pt>
                <c:pt idx="329">
                  <c:v>39927</c:v>
                </c:pt>
                <c:pt idx="330">
                  <c:v>39934</c:v>
                </c:pt>
                <c:pt idx="331">
                  <c:v>39941</c:v>
                </c:pt>
                <c:pt idx="332">
                  <c:v>39948</c:v>
                </c:pt>
                <c:pt idx="333">
                  <c:v>39955</c:v>
                </c:pt>
                <c:pt idx="334">
                  <c:v>39962</c:v>
                </c:pt>
                <c:pt idx="335">
                  <c:v>39969</c:v>
                </c:pt>
                <c:pt idx="336">
                  <c:v>39976</c:v>
                </c:pt>
                <c:pt idx="337">
                  <c:v>39983</c:v>
                </c:pt>
                <c:pt idx="338">
                  <c:v>39990</c:v>
                </c:pt>
                <c:pt idx="339">
                  <c:v>39997</c:v>
                </c:pt>
                <c:pt idx="340">
                  <c:v>40004</c:v>
                </c:pt>
                <c:pt idx="341">
                  <c:v>40011</c:v>
                </c:pt>
                <c:pt idx="342">
                  <c:v>40018</c:v>
                </c:pt>
                <c:pt idx="343">
                  <c:v>40025</c:v>
                </c:pt>
                <c:pt idx="344">
                  <c:v>40032</c:v>
                </c:pt>
                <c:pt idx="345">
                  <c:v>40039</c:v>
                </c:pt>
                <c:pt idx="346">
                  <c:v>40046</c:v>
                </c:pt>
                <c:pt idx="347">
                  <c:v>40053</c:v>
                </c:pt>
                <c:pt idx="348">
                  <c:v>40060</c:v>
                </c:pt>
                <c:pt idx="349">
                  <c:v>40067</c:v>
                </c:pt>
                <c:pt idx="350">
                  <c:v>40074</c:v>
                </c:pt>
                <c:pt idx="351">
                  <c:v>40081</c:v>
                </c:pt>
                <c:pt idx="352">
                  <c:v>40088</c:v>
                </c:pt>
                <c:pt idx="353">
                  <c:v>40095</c:v>
                </c:pt>
                <c:pt idx="354">
                  <c:v>40102</c:v>
                </c:pt>
                <c:pt idx="355">
                  <c:v>40109</c:v>
                </c:pt>
                <c:pt idx="356">
                  <c:v>40116</c:v>
                </c:pt>
                <c:pt idx="357">
                  <c:v>40123</c:v>
                </c:pt>
                <c:pt idx="358">
                  <c:v>40130</c:v>
                </c:pt>
                <c:pt idx="359">
                  <c:v>40137</c:v>
                </c:pt>
                <c:pt idx="360">
                  <c:v>40144</c:v>
                </c:pt>
                <c:pt idx="361">
                  <c:v>40151</c:v>
                </c:pt>
                <c:pt idx="362">
                  <c:v>40158</c:v>
                </c:pt>
                <c:pt idx="363">
                  <c:v>40165</c:v>
                </c:pt>
                <c:pt idx="364">
                  <c:v>40172</c:v>
                </c:pt>
                <c:pt idx="365">
                  <c:v>40179</c:v>
                </c:pt>
                <c:pt idx="366">
                  <c:v>40186</c:v>
                </c:pt>
                <c:pt idx="367">
                  <c:v>40193</c:v>
                </c:pt>
                <c:pt idx="368">
                  <c:v>40200</c:v>
                </c:pt>
                <c:pt idx="369">
                  <c:v>40207</c:v>
                </c:pt>
                <c:pt idx="370">
                  <c:v>40214</c:v>
                </c:pt>
                <c:pt idx="371">
                  <c:v>40221</c:v>
                </c:pt>
                <c:pt idx="372">
                  <c:v>40228</c:v>
                </c:pt>
                <c:pt idx="373">
                  <c:v>40235</c:v>
                </c:pt>
                <c:pt idx="374">
                  <c:v>40242</c:v>
                </c:pt>
                <c:pt idx="375">
                  <c:v>40249</c:v>
                </c:pt>
                <c:pt idx="376">
                  <c:v>40256</c:v>
                </c:pt>
                <c:pt idx="377">
                  <c:v>40263</c:v>
                </c:pt>
                <c:pt idx="378">
                  <c:v>40270</c:v>
                </c:pt>
                <c:pt idx="379">
                  <c:v>40277</c:v>
                </c:pt>
                <c:pt idx="380">
                  <c:v>40284</c:v>
                </c:pt>
                <c:pt idx="381">
                  <c:v>40291</c:v>
                </c:pt>
                <c:pt idx="382">
                  <c:v>40298</c:v>
                </c:pt>
                <c:pt idx="383">
                  <c:v>40305</c:v>
                </c:pt>
                <c:pt idx="384">
                  <c:v>40312</c:v>
                </c:pt>
                <c:pt idx="385">
                  <c:v>40319</c:v>
                </c:pt>
                <c:pt idx="386">
                  <c:v>40326</c:v>
                </c:pt>
                <c:pt idx="387">
                  <c:v>40333</c:v>
                </c:pt>
                <c:pt idx="388">
                  <c:v>40340</c:v>
                </c:pt>
                <c:pt idx="389">
                  <c:v>40347</c:v>
                </c:pt>
                <c:pt idx="390">
                  <c:v>40354</c:v>
                </c:pt>
                <c:pt idx="391">
                  <c:v>40361</c:v>
                </c:pt>
                <c:pt idx="392">
                  <c:v>40368</c:v>
                </c:pt>
                <c:pt idx="393">
                  <c:v>40375</c:v>
                </c:pt>
                <c:pt idx="394">
                  <c:v>40382</c:v>
                </c:pt>
                <c:pt idx="395">
                  <c:v>40389</c:v>
                </c:pt>
                <c:pt idx="396">
                  <c:v>40396</c:v>
                </c:pt>
                <c:pt idx="397">
                  <c:v>40403</c:v>
                </c:pt>
                <c:pt idx="398">
                  <c:v>40410</c:v>
                </c:pt>
                <c:pt idx="399">
                  <c:v>40417</c:v>
                </c:pt>
                <c:pt idx="400">
                  <c:v>40424</c:v>
                </c:pt>
                <c:pt idx="401">
                  <c:v>40431</c:v>
                </c:pt>
                <c:pt idx="402">
                  <c:v>40438</c:v>
                </c:pt>
                <c:pt idx="403">
                  <c:v>40445</c:v>
                </c:pt>
                <c:pt idx="404">
                  <c:v>40452</c:v>
                </c:pt>
                <c:pt idx="405">
                  <c:v>40459</c:v>
                </c:pt>
                <c:pt idx="406">
                  <c:v>40466</c:v>
                </c:pt>
                <c:pt idx="407">
                  <c:v>40473</c:v>
                </c:pt>
                <c:pt idx="408">
                  <c:v>40480</c:v>
                </c:pt>
                <c:pt idx="409">
                  <c:v>40487</c:v>
                </c:pt>
                <c:pt idx="410">
                  <c:v>40494</c:v>
                </c:pt>
                <c:pt idx="411">
                  <c:v>40501</c:v>
                </c:pt>
                <c:pt idx="412">
                  <c:v>40508</c:v>
                </c:pt>
                <c:pt idx="413">
                  <c:v>40515</c:v>
                </c:pt>
                <c:pt idx="414">
                  <c:v>40522</c:v>
                </c:pt>
                <c:pt idx="415">
                  <c:v>40529</c:v>
                </c:pt>
                <c:pt idx="416">
                  <c:v>40536</c:v>
                </c:pt>
                <c:pt idx="417">
                  <c:v>40543</c:v>
                </c:pt>
                <c:pt idx="418">
                  <c:v>40550</c:v>
                </c:pt>
                <c:pt idx="419">
                  <c:v>40557</c:v>
                </c:pt>
                <c:pt idx="420">
                  <c:v>40564</c:v>
                </c:pt>
                <c:pt idx="421">
                  <c:v>40571</c:v>
                </c:pt>
                <c:pt idx="422">
                  <c:v>40578</c:v>
                </c:pt>
                <c:pt idx="423">
                  <c:v>40585</c:v>
                </c:pt>
                <c:pt idx="424">
                  <c:v>40592</c:v>
                </c:pt>
                <c:pt idx="425">
                  <c:v>40599</c:v>
                </c:pt>
                <c:pt idx="426">
                  <c:v>40606</c:v>
                </c:pt>
                <c:pt idx="427">
                  <c:v>40613</c:v>
                </c:pt>
                <c:pt idx="428">
                  <c:v>40620</c:v>
                </c:pt>
                <c:pt idx="429">
                  <c:v>40627</c:v>
                </c:pt>
                <c:pt idx="430">
                  <c:v>40634</c:v>
                </c:pt>
                <c:pt idx="431">
                  <c:v>40641</c:v>
                </c:pt>
                <c:pt idx="432">
                  <c:v>40648</c:v>
                </c:pt>
                <c:pt idx="433">
                  <c:v>40655</c:v>
                </c:pt>
                <c:pt idx="434">
                  <c:v>40662</c:v>
                </c:pt>
                <c:pt idx="435">
                  <c:v>40669</c:v>
                </c:pt>
                <c:pt idx="436">
                  <c:v>40676</c:v>
                </c:pt>
                <c:pt idx="437">
                  <c:v>40683</c:v>
                </c:pt>
                <c:pt idx="438">
                  <c:v>40690</c:v>
                </c:pt>
                <c:pt idx="439">
                  <c:v>40697</c:v>
                </c:pt>
                <c:pt idx="440">
                  <c:v>40704</c:v>
                </c:pt>
                <c:pt idx="441">
                  <c:v>40711</c:v>
                </c:pt>
                <c:pt idx="442">
                  <c:v>40718</c:v>
                </c:pt>
                <c:pt idx="443">
                  <c:v>40725</c:v>
                </c:pt>
                <c:pt idx="444">
                  <c:v>40732</c:v>
                </c:pt>
                <c:pt idx="445">
                  <c:v>40739</c:v>
                </c:pt>
                <c:pt idx="446">
                  <c:v>40746</c:v>
                </c:pt>
                <c:pt idx="447">
                  <c:v>40753</c:v>
                </c:pt>
                <c:pt idx="448">
                  <c:v>40760</c:v>
                </c:pt>
                <c:pt idx="449">
                  <c:v>40767</c:v>
                </c:pt>
                <c:pt idx="450">
                  <c:v>40774</c:v>
                </c:pt>
                <c:pt idx="451">
                  <c:v>40781</c:v>
                </c:pt>
                <c:pt idx="452">
                  <c:v>40788</c:v>
                </c:pt>
                <c:pt idx="453">
                  <c:v>40795</c:v>
                </c:pt>
                <c:pt idx="454">
                  <c:v>40802</c:v>
                </c:pt>
                <c:pt idx="455">
                  <c:v>40809</c:v>
                </c:pt>
                <c:pt idx="456">
                  <c:v>40816</c:v>
                </c:pt>
                <c:pt idx="457">
                  <c:v>40823</c:v>
                </c:pt>
                <c:pt idx="458">
                  <c:v>40830</c:v>
                </c:pt>
                <c:pt idx="459">
                  <c:v>40837</c:v>
                </c:pt>
                <c:pt idx="460">
                  <c:v>40844</c:v>
                </c:pt>
                <c:pt idx="461">
                  <c:v>40851</c:v>
                </c:pt>
                <c:pt idx="462">
                  <c:v>40858</c:v>
                </c:pt>
                <c:pt idx="463">
                  <c:v>40865</c:v>
                </c:pt>
                <c:pt idx="464">
                  <c:v>40872</c:v>
                </c:pt>
                <c:pt idx="465">
                  <c:v>40879</c:v>
                </c:pt>
                <c:pt idx="466">
                  <c:v>40886</c:v>
                </c:pt>
                <c:pt idx="467">
                  <c:v>40893</c:v>
                </c:pt>
                <c:pt idx="468">
                  <c:v>40900</c:v>
                </c:pt>
                <c:pt idx="469">
                  <c:v>40907</c:v>
                </c:pt>
                <c:pt idx="470">
                  <c:v>40914</c:v>
                </c:pt>
                <c:pt idx="471">
                  <c:v>40921</c:v>
                </c:pt>
                <c:pt idx="472">
                  <c:v>40928</c:v>
                </c:pt>
                <c:pt idx="473">
                  <c:v>40935</c:v>
                </c:pt>
                <c:pt idx="474">
                  <c:v>40942</c:v>
                </c:pt>
                <c:pt idx="475">
                  <c:v>40949</c:v>
                </c:pt>
                <c:pt idx="476">
                  <c:v>40956</c:v>
                </c:pt>
                <c:pt idx="477">
                  <c:v>40963</c:v>
                </c:pt>
                <c:pt idx="478">
                  <c:v>40970</c:v>
                </c:pt>
                <c:pt idx="479">
                  <c:v>40977</c:v>
                </c:pt>
                <c:pt idx="480">
                  <c:v>40984</c:v>
                </c:pt>
                <c:pt idx="481">
                  <c:v>40991</c:v>
                </c:pt>
                <c:pt idx="482">
                  <c:v>40998</c:v>
                </c:pt>
                <c:pt idx="483">
                  <c:v>41005</c:v>
                </c:pt>
                <c:pt idx="484">
                  <c:v>41012</c:v>
                </c:pt>
                <c:pt idx="485">
                  <c:v>41019</c:v>
                </c:pt>
                <c:pt idx="486">
                  <c:v>41026</c:v>
                </c:pt>
                <c:pt idx="487">
                  <c:v>41033</c:v>
                </c:pt>
                <c:pt idx="488">
                  <c:v>41040</c:v>
                </c:pt>
                <c:pt idx="489">
                  <c:v>41047</c:v>
                </c:pt>
                <c:pt idx="490">
                  <c:v>41054</c:v>
                </c:pt>
                <c:pt idx="491">
                  <c:v>41061</c:v>
                </c:pt>
                <c:pt idx="492">
                  <c:v>41068</c:v>
                </c:pt>
                <c:pt idx="493">
                  <c:v>41075</c:v>
                </c:pt>
                <c:pt idx="494">
                  <c:v>41082</c:v>
                </c:pt>
                <c:pt idx="495">
                  <c:v>41089</c:v>
                </c:pt>
                <c:pt idx="496">
                  <c:v>41096</c:v>
                </c:pt>
                <c:pt idx="497">
                  <c:v>41103</c:v>
                </c:pt>
                <c:pt idx="498">
                  <c:v>41110</c:v>
                </c:pt>
                <c:pt idx="499">
                  <c:v>41117</c:v>
                </c:pt>
                <c:pt idx="500">
                  <c:v>41124</c:v>
                </c:pt>
                <c:pt idx="501">
                  <c:v>41131</c:v>
                </c:pt>
                <c:pt idx="502">
                  <c:v>41138</c:v>
                </c:pt>
                <c:pt idx="503">
                  <c:v>41145</c:v>
                </c:pt>
                <c:pt idx="504">
                  <c:v>41152</c:v>
                </c:pt>
                <c:pt idx="505">
                  <c:v>41159</c:v>
                </c:pt>
                <c:pt idx="506">
                  <c:v>41166</c:v>
                </c:pt>
                <c:pt idx="507">
                  <c:v>41173</c:v>
                </c:pt>
                <c:pt idx="508">
                  <c:v>41180</c:v>
                </c:pt>
                <c:pt idx="509">
                  <c:v>41187</c:v>
                </c:pt>
                <c:pt idx="510">
                  <c:v>41194</c:v>
                </c:pt>
                <c:pt idx="511">
                  <c:v>41201</c:v>
                </c:pt>
                <c:pt idx="512">
                  <c:v>41208</c:v>
                </c:pt>
                <c:pt idx="513">
                  <c:v>41215</c:v>
                </c:pt>
                <c:pt idx="514">
                  <c:v>41222</c:v>
                </c:pt>
                <c:pt idx="515">
                  <c:v>41229</c:v>
                </c:pt>
                <c:pt idx="516">
                  <c:v>41236</c:v>
                </c:pt>
                <c:pt idx="517">
                  <c:v>41243</c:v>
                </c:pt>
                <c:pt idx="518">
                  <c:v>41250</c:v>
                </c:pt>
                <c:pt idx="519">
                  <c:v>41257</c:v>
                </c:pt>
                <c:pt idx="520">
                  <c:v>41264</c:v>
                </c:pt>
                <c:pt idx="521">
                  <c:v>41271</c:v>
                </c:pt>
                <c:pt idx="522">
                  <c:v>41278</c:v>
                </c:pt>
                <c:pt idx="523">
                  <c:v>41285</c:v>
                </c:pt>
                <c:pt idx="524">
                  <c:v>41292</c:v>
                </c:pt>
                <c:pt idx="525">
                  <c:v>41299</c:v>
                </c:pt>
                <c:pt idx="526">
                  <c:v>41306</c:v>
                </c:pt>
                <c:pt idx="527">
                  <c:v>41313</c:v>
                </c:pt>
                <c:pt idx="528">
                  <c:v>41320</c:v>
                </c:pt>
                <c:pt idx="529">
                  <c:v>41327</c:v>
                </c:pt>
                <c:pt idx="530">
                  <c:v>41334</c:v>
                </c:pt>
                <c:pt idx="531">
                  <c:v>41341</c:v>
                </c:pt>
                <c:pt idx="532">
                  <c:v>41348</c:v>
                </c:pt>
                <c:pt idx="533">
                  <c:v>41355</c:v>
                </c:pt>
                <c:pt idx="534">
                  <c:v>41362</c:v>
                </c:pt>
                <c:pt idx="535">
                  <c:v>41369</c:v>
                </c:pt>
                <c:pt idx="536">
                  <c:v>41376</c:v>
                </c:pt>
                <c:pt idx="537">
                  <c:v>41383</c:v>
                </c:pt>
                <c:pt idx="538">
                  <c:v>41390</c:v>
                </c:pt>
                <c:pt idx="539">
                  <c:v>41397</c:v>
                </c:pt>
                <c:pt idx="540">
                  <c:v>41404</c:v>
                </c:pt>
                <c:pt idx="541">
                  <c:v>41411</c:v>
                </c:pt>
                <c:pt idx="542">
                  <c:v>41418</c:v>
                </c:pt>
                <c:pt idx="543">
                  <c:v>41425</c:v>
                </c:pt>
                <c:pt idx="544">
                  <c:v>41432</c:v>
                </c:pt>
                <c:pt idx="545">
                  <c:v>41439</c:v>
                </c:pt>
                <c:pt idx="546">
                  <c:v>41446</c:v>
                </c:pt>
                <c:pt idx="547">
                  <c:v>41453</c:v>
                </c:pt>
                <c:pt idx="548">
                  <c:v>41460</c:v>
                </c:pt>
                <c:pt idx="549">
                  <c:v>41467</c:v>
                </c:pt>
                <c:pt idx="550">
                  <c:v>41474</c:v>
                </c:pt>
                <c:pt idx="551">
                  <c:v>41481</c:v>
                </c:pt>
                <c:pt idx="552">
                  <c:v>41488</c:v>
                </c:pt>
                <c:pt idx="553">
                  <c:v>41495</c:v>
                </c:pt>
                <c:pt idx="554">
                  <c:v>41502</c:v>
                </c:pt>
                <c:pt idx="555">
                  <c:v>41509</c:v>
                </c:pt>
                <c:pt idx="556">
                  <c:v>41516</c:v>
                </c:pt>
                <c:pt idx="557">
                  <c:v>41523</c:v>
                </c:pt>
                <c:pt idx="558">
                  <c:v>41530</c:v>
                </c:pt>
                <c:pt idx="559">
                  <c:v>41537</c:v>
                </c:pt>
                <c:pt idx="560">
                  <c:v>41544</c:v>
                </c:pt>
                <c:pt idx="561">
                  <c:v>41551</c:v>
                </c:pt>
                <c:pt idx="562">
                  <c:v>41558</c:v>
                </c:pt>
                <c:pt idx="563">
                  <c:v>41565</c:v>
                </c:pt>
                <c:pt idx="564">
                  <c:v>41572</c:v>
                </c:pt>
                <c:pt idx="565">
                  <c:v>41579</c:v>
                </c:pt>
                <c:pt idx="566">
                  <c:v>41586</c:v>
                </c:pt>
                <c:pt idx="567">
                  <c:v>41593</c:v>
                </c:pt>
                <c:pt idx="568">
                  <c:v>41600</c:v>
                </c:pt>
                <c:pt idx="569">
                  <c:v>41607</c:v>
                </c:pt>
                <c:pt idx="570">
                  <c:v>41614</c:v>
                </c:pt>
                <c:pt idx="571">
                  <c:v>41621</c:v>
                </c:pt>
                <c:pt idx="572">
                  <c:v>41628</c:v>
                </c:pt>
                <c:pt idx="573">
                  <c:v>41635</c:v>
                </c:pt>
                <c:pt idx="574">
                  <c:v>41642</c:v>
                </c:pt>
                <c:pt idx="575">
                  <c:v>41649</c:v>
                </c:pt>
                <c:pt idx="576">
                  <c:v>41656</c:v>
                </c:pt>
                <c:pt idx="577">
                  <c:v>41663</c:v>
                </c:pt>
                <c:pt idx="578">
                  <c:v>41670</c:v>
                </c:pt>
                <c:pt idx="579">
                  <c:v>41677</c:v>
                </c:pt>
                <c:pt idx="580">
                  <c:v>41684</c:v>
                </c:pt>
                <c:pt idx="581">
                  <c:v>41691</c:v>
                </c:pt>
                <c:pt idx="582">
                  <c:v>41698</c:v>
                </c:pt>
                <c:pt idx="583">
                  <c:v>41705</c:v>
                </c:pt>
                <c:pt idx="584">
                  <c:v>41712</c:v>
                </c:pt>
                <c:pt idx="585">
                  <c:v>41719</c:v>
                </c:pt>
                <c:pt idx="586">
                  <c:v>41726</c:v>
                </c:pt>
                <c:pt idx="587">
                  <c:v>41733</c:v>
                </c:pt>
                <c:pt idx="588">
                  <c:v>41740</c:v>
                </c:pt>
                <c:pt idx="589">
                  <c:v>41747</c:v>
                </c:pt>
                <c:pt idx="590">
                  <c:v>41754</c:v>
                </c:pt>
                <c:pt idx="591">
                  <c:v>41761</c:v>
                </c:pt>
                <c:pt idx="592">
                  <c:v>41768</c:v>
                </c:pt>
                <c:pt idx="593">
                  <c:v>41775</c:v>
                </c:pt>
                <c:pt idx="594">
                  <c:v>41782</c:v>
                </c:pt>
                <c:pt idx="595">
                  <c:v>41789</c:v>
                </c:pt>
                <c:pt idx="596">
                  <c:v>41796</c:v>
                </c:pt>
                <c:pt idx="597">
                  <c:v>41803</c:v>
                </c:pt>
                <c:pt idx="598">
                  <c:v>41810</c:v>
                </c:pt>
                <c:pt idx="599">
                  <c:v>41817</c:v>
                </c:pt>
                <c:pt idx="600">
                  <c:v>41824</c:v>
                </c:pt>
                <c:pt idx="601">
                  <c:v>41831</c:v>
                </c:pt>
                <c:pt idx="602">
                  <c:v>41838</c:v>
                </c:pt>
                <c:pt idx="603">
                  <c:v>41845</c:v>
                </c:pt>
                <c:pt idx="604">
                  <c:v>41852</c:v>
                </c:pt>
                <c:pt idx="605">
                  <c:v>41859</c:v>
                </c:pt>
                <c:pt idx="606">
                  <c:v>41866</c:v>
                </c:pt>
                <c:pt idx="607">
                  <c:v>41873</c:v>
                </c:pt>
                <c:pt idx="608">
                  <c:v>41880</c:v>
                </c:pt>
                <c:pt idx="609">
                  <c:v>41887</c:v>
                </c:pt>
                <c:pt idx="610">
                  <c:v>41894</c:v>
                </c:pt>
                <c:pt idx="611">
                  <c:v>41901</c:v>
                </c:pt>
                <c:pt idx="612">
                  <c:v>41908</c:v>
                </c:pt>
                <c:pt idx="613">
                  <c:v>41915</c:v>
                </c:pt>
                <c:pt idx="614">
                  <c:v>41922</c:v>
                </c:pt>
                <c:pt idx="615">
                  <c:v>41929</c:v>
                </c:pt>
                <c:pt idx="616">
                  <c:v>41936</c:v>
                </c:pt>
                <c:pt idx="617">
                  <c:v>41943</c:v>
                </c:pt>
                <c:pt idx="618">
                  <c:v>41950</c:v>
                </c:pt>
                <c:pt idx="619">
                  <c:v>41957</c:v>
                </c:pt>
                <c:pt idx="620">
                  <c:v>41964</c:v>
                </c:pt>
                <c:pt idx="621">
                  <c:v>41971</c:v>
                </c:pt>
                <c:pt idx="622">
                  <c:v>41978</c:v>
                </c:pt>
                <c:pt idx="623">
                  <c:v>41985</c:v>
                </c:pt>
                <c:pt idx="624">
                  <c:v>41992</c:v>
                </c:pt>
                <c:pt idx="625">
                  <c:v>41999</c:v>
                </c:pt>
                <c:pt idx="626">
                  <c:v>42006</c:v>
                </c:pt>
                <c:pt idx="627">
                  <c:v>42013</c:v>
                </c:pt>
                <c:pt idx="628">
                  <c:v>42020</c:v>
                </c:pt>
                <c:pt idx="629">
                  <c:v>42027</c:v>
                </c:pt>
                <c:pt idx="630">
                  <c:v>42034</c:v>
                </c:pt>
                <c:pt idx="631">
                  <c:v>42041</c:v>
                </c:pt>
                <c:pt idx="632">
                  <c:v>42048</c:v>
                </c:pt>
                <c:pt idx="633">
                  <c:v>42055</c:v>
                </c:pt>
                <c:pt idx="634">
                  <c:v>42062</c:v>
                </c:pt>
                <c:pt idx="635">
                  <c:v>42069</c:v>
                </c:pt>
                <c:pt idx="636">
                  <c:v>42076</c:v>
                </c:pt>
                <c:pt idx="637">
                  <c:v>42083</c:v>
                </c:pt>
                <c:pt idx="638">
                  <c:v>42090</c:v>
                </c:pt>
                <c:pt idx="639">
                  <c:v>42097</c:v>
                </c:pt>
                <c:pt idx="640">
                  <c:v>42104</c:v>
                </c:pt>
                <c:pt idx="641">
                  <c:v>42111</c:v>
                </c:pt>
                <c:pt idx="642">
                  <c:v>42118</c:v>
                </c:pt>
                <c:pt idx="643">
                  <c:v>42125</c:v>
                </c:pt>
                <c:pt idx="644">
                  <c:v>42132</c:v>
                </c:pt>
                <c:pt idx="645">
                  <c:v>42139</c:v>
                </c:pt>
                <c:pt idx="646">
                  <c:v>42146</c:v>
                </c:pt>
                <c:pt idx="647">
                  <c:v>42153</c:v>
                </c:pt>
                <c:pt idx="648">
                  <c:v>42160</c:v>
                </c:pt>
                <c:pt idx="649">
                  <c:v>42167</c:v>
                </c:pt>
                <c:pt idx="650">
                  <c:v>42174</c:v>
                </c:pt>
                <c:pt idx="651">
                  <c:v>42181</c:v>
                </c:pt>
                <c:pt idx="652">
                  <c:v>42188</c:v>
                </c:pt>
                <c:pt idx="653">
                  <c:v>42195</c:v>
                </c:pt>
                <c:pt idx="654">
                  <c:v>42202</c:v>
                </c:pt>
                <c:pt idx="655">
                  <c:v>42209</c:v>
                </c:pt>
                <c:pt idx="656">
                  <c:v>42216</c:v>
                </c:pt>
                <c:pt idx="657">
                  <c:v>42223</c:v>
                </c:pt>
                <c:pt idx="658">
                  <c:v>42230</c:v>
                </c:pt>
                <c:pt idx="659">
                  <c:v>42237</c:v>
                </c:pt>
                <c:pt idx="660">
                  <c:v>42244</c:v>
                </c:pt>
                <c:pt idx="661">
                  <c:v>42251</c:v>
                </c:pt>
                <c:pt idx="662">
                  <c:v>42258</c:v>
                </c:pt>
                <c:pt idx="663">
                  <c:v>42265</c:v>
                </c:pt>
                <c:pt idx="664">
                  <c:v>42272</c:v>
                </c:pt>
                <c:pt idx="665">
                  <c:v>42279</c:v>
                </c:pt>
                <c:pt idx="666">
                  <c:v>42286</c:v>
                </c:pt>
                <c:pt idx="667">
                  <c:v>42293</c:v>
                </c:pt>
                <c:pt idx="668">
                  <c:v>42300</c:v>
                </c:pt>
                <c:pt idx="669">
                  <c:v>42307</c:v>
                </c:pt>
                <c:pt idx="670">
                  <c:v>42314</c:v>
                </c:pt>
                <c:pt idx="671">
                  <c:v>42321</c:v>
                </c:pt>
                <c:pt idx="672">
                  <c:v>42328</c:v>
                </c:pt>
                <c:pt idx="673">
                  <c:v>42335</c:v>
                </c:pt>
                <c:pt idx="674">
                  <c:v>42342</c:v>
                </c:pt>
                <c:pt idx="675">
                  <c:v>42349</c:v>
                </c:pt>
                <c:pt idx="676">
                  <c:v>42356</c:v>
                </c:pt>
                <c:pt idx="677">
                  <c:v>42363</c:v>
                </c:pt>
                <c:pt idx="678">
                  <c:v>42370</c:v>
                </c:pt>
                <c:pt idx="679">
                  <c:v>42377</c:v>
                </c:pt>
                <c:pt idx="680">
                  <c:v>42384</c:v>
                </c:pt>
                <c:pt idx="681">
                  <c:v>42391</c:v>
                </c:pt>
                <c:pt idx="682">
                  <c:v>42398</c:v>
                </c:pt>
                <c:pt idx="683">
                  <c:v>42405</c:v>
                </c:pt>
                <c:pt idx="684">
                  <c:v>42412</c:v>
                </c:pt>
                <c:pt idx="685">
                  <c:v>42419</c:v>
                </c:pt>
                <c:pt idx="686">
                  <c:v>42426</c:v>
                </c:pt>
                <c:pt idx="687">
                  <c:v>42433</c:v>
                </c:pt>
                <c:pt idx="688">
                  <c:v>42440</c:v>
                </c:pt>
                <c:pt idx="689">
                  <c:v>42447</c:v>
                </c:pt>
                <c:pt idx="690">
                  <c:v>42454</c:v>
                </c:pt>
                <c:pt idx="691">
                  <c:v>42461</c:v>
                </c:pt>
                <c:pt idx="692">
                  <c:v>42468</c:v>
                </c:pt>
                <c:pt idx="693">
                  <c:v>42475</c:v>
                </c:pt>
                <c:pt idx="694">
                  <c:v>42482</c:v>
                </c:pt>
                <c:pt idx="695">
                  <c:v>42489</c:v>
                </c:pt>
                <c:pt idx="696">
                  <c:v>42496</c:v>
                </c:pt>
                <c:pt idx="697">
                  <c:v>42503</c:v>
                </c:pt>
                <c:pt idx="698">
                  <c:v>42510</c:v>
                </c:pt>
                <c:pt idx="699">
                  <c:v>42517</c:v>
                </c:pt>
                <c:pt idx="700">
                  <c:v>42524</c:v>
                </c:pt>
                <c:pt idx="701">
                  <c:v>42531</c:v>
                </c:pt>
                <c:pt idx="702">
                  <c:v>42538</c:v>
                </c:pt>
                <c:pt idx="703">
                  <c:v>42545</c:v>
                </c:pt>
                <c:pt idx="704">
                  <c:v>42552</c:v>
                </c:pt>
                <c:pt idx="705">
                  <c:v>42559</c:v>
                </c:pt>
                <c:pt idx="706">
                  <c:v>42566</c:v>
                </c:pt>
                <c:pt idx="707">
                  <c:v>42573</c:v>
                </c:pt>
                <c:pt idx="708">
                  <c:v>42580</c:v>
                </c:pt>
                <c:pt idx="709">
                  <c:v>42587</c:v>
                </c:pt>
                <c:pt idx="710">
                  <c:v>42594</c:v>
                </c:pt>
                <c:pt idx="711">
                  <c:v>42601</c:v>
                </c:pt>
                <c:pt idx="712">
                  <c:v>42608</c:v>
                </c:pt>
                <c:pt idx="713">
                  <c:v>42615</c:v>
                </c:pt>
                <c:pt idx="714">
                  <c:v>42622</c:v>
                </c:pt>
                <c:pt idx="715">
                  <c:v>42629</c:v>
                </c:pt>
                <c:pt idx="716">
                  <c:v>42636</c:v>
                </c:pt>
                <c:pt idx="717">
                  <c:v>42643</c:v>
                </c:pt>
                <c:pt idx="718">
                  <c:v>42650</c:v>
                </c:pt>
                <c:pt idx="719">
                  <c:v>42657</c:v>
                </c:pt>
                <c:pt idx="720">
                  <c:v>42664</c:v>
                </c:pt>
                <c:pt idx="721">
                  <c:v>42671</c:v>
                </c:pt>
                <c:pt idx="722">
                  <c:v>42678</c:v>
                </c:pt>
                <c:pt idx="723">
                  <c:v>42685</c:v>
                </c:pt>
                <c:pt idx="724">
                  <c:v>42692</c:v>
                </c:pt>
                <c:pt idx="725">
                  <c:v>42699</c:v>
                </c:pt>
                <c:pt idx="726">
                  <c:v>42706</c:v>
                </c:pt>
                <c:pt idx="727">
                  <c:v>42713</c:v>
                </c:pt>
                <c:pt idx="728">
                  <c:v>42720</c:v>
                </c:pt>
                <c:pt idx="729">
                  <c:v>42727</c:v>
                </c:pt>
                <c:pt idx="730">
                  <c:v>42734</c:v>
                </c:pt>
              </c:numCache>
            </c:numRef>
          </c:cat>
          <c:val>
            <c:numRef>
              <c:f>Index!$AB$2:$AB$732</c:f>
              <c:numCache>
                <c:formatCode>General</c:formatCode>
                <c:ptCount val="731"/>
                <c:pt idx="0">
                  <c:v>100</c:v>
                </c:pt>
                <c:pt idx="1">
                  <c:v>100.60229772671718</c:v>
                </c:pt>
                <c:pt idx="2">
                  <c:v>99.651918846247852</c:v>
                </c:pt>
                <c:pt idx="3">
                  <c:v>98.568565142996803</c:v>
                </c:pt>
                <c:pt idx="4">
                  <c:v>96.263994133463683</c:v>
                </c:pt>
                <c:pt idx="5">
                  <c:v>94.631141530188216</c:v>
                </c:pt>
                <c:pt idx="6">
                  <c:v>94.305548765582984</c:v>
                </c:pt>
                <c:pt idx="7">
                  <c:v>95.612808604253232</c:v>
                </c:pt>
                <c:pt idx="8">
                  <c:v>95.527743827914932</c:v>
                </c:pt>
                <c:pt idx="9">
                  <c:v>96.026399413346368</c:v>
                </c:pt>
                <c:pt idx="10">
                  <c:v>93.163529699340017</c:v>
                </c:pt>
                <c:pt idx="11">
                  <c:v>95.259838670251767</c:v>
                </c:pt>
                <c:pt idx="12">
                  <c:v>95.374236128086039</c:v>
                </c:pt>
                <c:pt idx="13">
                  <c:v>96.590564654118793</c:v>
                </c:pt>
                <c:pt idx="14">
                  <c:v>96.853581031532627</c:v>
                </c:pt>
                <c:pt idx="15">
                  <c:v>98.594964556343172</c:v>
                </c:pt>
                <c:pt idx="16">
                  <c:v>100.49376680518209</c:v>
                </c:pt>
                <c:pt idx="17">
                  <c:v>101.86360303104374</c:v>
                </c:pt>
                <c:pt idx="18">
                  <c:v>103.83671473967243</c:v>
                </c:pt>
                <c:pt idx="19">
                  <c:v>104.72549498900023</c:v>
                </c:pt>
                <c:pt idx="20">
                  <c:v>107.72329503788805</c:v>
                </c:pt>
                <c:pt idx="21">
                  <c:v>108.27866047421169</c:v>
                </c:pt>
                <c:pt idx="22">
                  <c:v>109.91737961378638</c:v>
                </c:pt>
                <c:pt idx="23">
                  <c:v>110.97140063554144</c:v>
                </c:pt>
                <c:pt idx="24">
                  <c:v>110.94304571009535</c:v>
                </c:pt>
                <c:pt idx="25">
                  <c:v>109.27108286482523</c:v>
                </c:pt>
                <c:pt idx="26">
                  <c:v>109.60743094597898</c:v>
                </c:pt>
                <c:pt idx="27">
                  <c:v>109.17037399168906</c:v>
                </c:pt>
                <c:pt idx="28">
                  <c:v>107.58054265460767</c:v>
                </c:pt>
                <c:pt idx="29">
                  <c:v>108.99731117086287</c:v>
                </c:pt>
                <c:pt idx="30">
                  <c:v>107.23735028110487</c:v>
                </c:pt>
                <c:pt idx="31">
                  <c:v>107.28232705939868</c:v>
                </c:pt>
                <c:pt idx="32">
                  <c:v>108.92495722317281</c:v>
                </c:pt>
                <c:pt idx="33">
                  <c:v>107.62160840870203</c:v>
                </c:pt>
                <c:pt idx="34">
                  <c:v>108.52407724272794</c:v>
                </c:pt>
                <c:pt idx="35">
                  <c:v>109.77658274260571</c:v>
                </c:pt>
                <c:pt idx="36">
                  <c:v>109.78440479100463</c:v>
                </c:pt>
                <c:pt idx="37">
                  <c:v>111.1992177951601</c:v>
                </c:pt>
                <c:pt idx="38">
                  <c:v>109.77560498655585</c:v>
                </c:pt>
                <c:pt idx="39">
                  <c:v>111.92764605230994</c:v>
                </c:pt>
                <c:pt idx="40">
                  <c:v>113.24175018332924</c:v>
                </c:pt>
                <c:pt idx="41">
                  <c:v>112.95331214861891</c:v>
                </c:pt>
                <c:pt idx="42">
                  <c:v>112.04986555854312</c:v>
                </c:pt>
                <c:pt idx="43">
                  <c:v>113.26032754827666</c:v>
                </c:pt>
                <c:pt idx="44">
                  <c:v>114.15692984600338</c:v>
                </c:pt>
                <c:pt idx="45">
                  <c:v>115.33708139819112</c:v>
                </c:pt>
                <c:pt idx="46">
                  <c:v>114.97922268394034</c:v>
                </c:pt>
                <c:pt idx="47">
                  <c:v>116.05670985089218</c:v>
                </c:pt>
                <c:pt idx="48">
                  <c:v>116.83793693473477</c:v>
                </c:pt>
                <c:pt idx="49">
                  <c:v>118.3867025177218</c:v>
                </c:pt>
                <c:pt idx="50">
                  <c:v>119.19628452701048</c:v>
                </c:pt>
                <c:pt idx="51">
                  <c:v>121.76191640185769</c:v>
                </c:pt>
                <c:pt idx="52">
                  <c:v>123.15912979711557</c:v>
                </c:pt>
                <c:pt idx="53">
                  <c:v>122.68394035688092</c:v>
                </c:pt>
                <c:pt idx="54">
                  <c:v>122.06013199706669</c:v>
                </c:pt>
                <c:pt idx="55">
                  <c:v>123.1073087264727</c:v>
                </c:pt>
                <c:pt idx="56">
                  <c:v>120.76949401124416</c:v>
                </c:pt>
                <c:pt idx="57">
                  <c:v>121.75702762160837</c:v>
                </c:pt>
                <c:pt idx="58">
                  <c:v>123.20801759960885</c:v>
                </c:pt>
                <c:pt idx="59">
                  <c:v>122.34172573942799</c:v>
                </c:pt>
                <c:pt idx="60">
                  <c:v>123.60009777560495</c:v>
                </c:pt>
                <c:pt idx="61">
                  <c:v>126.3671473967245</c:v>
                </c:pt>
                <c:pt idx="62">
                  <c:v>123.57076509410899</c:v>
                </c:pt>
                <c:pt idx="63">
                  <c:v>124.21706184307014</c:v>
                </c:pt>
                <c:pt idx="64">
                  <c:v>122.25274993889022</c:v>
                </c:pt>
                <c:pt idx="65">
                  <c:v>125.13908579809333</c:v>
                </c:pt>
                <c:pt idx="66">
                  <c:v>124.40283549254457</c:v>
                </c:pt>
                <c:pt idx="67">
                  <c:v>120.77731605964308</c:v>
                </c:pt>
                <c:pt idx="68">
                  <c:v>119.86409190906866</c:v>
                </c:pt>
                <c:pt idx="69">
                  <c:v>118.11586409190903</c:v>
                </c:pt>
                <c:pt idx="70">
                  <c:v>117.8068931801515</c:v>
                </c:pt>
                <c:pt idx="71">
                  <c:v>116.21608408702025</c:v>
                </c:pt>
                <c:pt idx="72">
                  <c:v>115.90906868736248</c:v>
                </c:pt>
                <c:pt idx="73">
                  <c:v>117.80493766805179</c:v>
                </c:pt>
                <c:pt idx="74">
                  <c:v>118.03666585186993</c:v>
                </c:pt>
                <c:pt idx="75">
                  <c:v>117.65240772427275</c:v>
                </c:pt>
                <c:pt idx="76">
                  <c:v>119.73600586653623</c:v>
                </c:pt>
                <c:pt idx="77">
                  <c:v>120.0127108286482</c:v>
                </c:pt>
                <c:pt idx="78">
                  <c:v>120.87998044487892</c:v>
                </c:pt>
                <c:pt idx="79">
                  <c:v>121.70325103886573</c:v>
                </c:pt>
                <c:pt idx="80">
                  <c:v>121.33463700806642</c:v>
                </c:pt>
                <c:pt idx="81">
                  <c:v>119.88266927401605</c:v>
                </c:pt>
                <c:pt idx="82">
                  <c:v>119.71938401368853</c:v>
                </c:pt>
                <c:pt idx="83">
                  <c:v>120.96602297726712</c:v>
                </c:pt>
                <c:pt idx="84">
                  <c:v>121.85675873869464</c:v>
                </c:pt>
                <c:pt idx="85">
                  <c:v>122.89122463945239</c:v>
                </c:pt>
                <c:pt idx="86">
                  <c:v>122.03568809582003</c:v>
                </c:pt>
                <c:pt idx="87">
                  <c:v>124.08702028843797</c:v>
                </c:pt>
                <c:pt idx="88">
                  <c:v>126.31434857003173</c:v>
                </c:pt>
                <c:pt idx="89">
                  <c:v>126.96162307504271</c:v>
                </c:pt>
                <c:pt idx="90">
                  <c:v>126.68296260083103</c:v>
                </c:pt>
                <c:pt idx="91">
                  <c:v>129.74236128086037</c:v>
                </c:pt>
                <c:pt idx="92">
                  <c:v>129.50281104864328</c:v>
                </c:pt>
                <c:pt idx="93">
                  <c:v>129.22610608653133</c:v>
                </c:pt>
                <c:pt idx="94">
                  <c:v>129.94084575898304</c:v>
                </c:pt>
                <c:pt idx="95">
                  <c:v>133.46663407479824</c:v>
                </c:pt>
                <c:pt idx="96">
                  <c:v>134.7963823026154</c:v>
                </c:pt>
                <c:pt idx="97">
                  <c:v>137.12050843314583</c:v>
                </c:pt>
                <c:pt idx="98">
                  <c:v>137.21828403813237</c:v>
                </c:pt>
                <c:pt idx="99">
                  <c:v>141.58298704473219</c:v>
                </c:pt>
                <c:pt idx="100">
                  <c:v>140.85064776338288</c:v>
                </c:pt>
                <c:pt idx="101">
                  <c:v>139.64507455389867</c:v>
                </c:pt>
                <c:pt idx="102">
                  <c:v>143.23930579320447</c:v>
                </c:pt>
                <c:pt idx="103">
                  <c:v>145.70618430701529</c:v>
                </c:pt>
                <c:pt idx="104">
                  <c:v>146.78171596186741</c:v>
                </c:pt>
                <c:pt idx="105">
                  <c:v>140.99926668296249</c:v>
                </c:pt>
                <c:pt idx="106">
                  <c:v>143.61280860425313</c:v>
                </c:pt>
                <c:pt idx="107">
                  <c:v>144.04497677829372</c:v>
                </c:pt>
                <c:pt idx="108">
                  <c:v>145.48716695184541</c:v>
                </c:pt>
                <c:pt idx="109">
                  <c:v>149.89782449278894</c:v>
                </c:pt>
                <c:pt idx="110">
                  <c:v>149.6240527988266</c:v>
                </c:pt>
                <c:pt idx="111">
                  <c:v>149.48325592764596</c:v>
                </c:pt>
                <c:pt idx="112">
                  <c:v>148.22977267171831</c:v>
                </c:pt>
                <c:pt idx="113">
                  <c:v>151.07504277682708</c:v>
                </c:pt>
                <c:pt idx="114">
                  <c:v>148.78709362014169</c:v>
                </c:pt>
                <c:pt idx="115">
                  <c:v>148.87215839647999</c:v>
                </c:pt>
                <c:pt idx="116">
                  <c:v>145.43632363725243</c:v>
                </c:pt>
                <c:pt idx="117">
                  <c:v>147.16401857736486</c:v>
                </c:pt>
                <c:pt idx="118">
                  <c:v>148.04693229039347</c:v>
                </c:pt>
                <c:pt idx="119">
                  <c:v>145.62991933512581</c:v>
                </c:pt>
                <c:pt idx="120">
                  <c:v>147.32534832559267</c:v>
                </c:pt>
                <c:pt idx="121">
                  <c:v>146.00048887802484</c:v>
                </c:pt>
                <c:pt idx="122">
                  <c:v>148.24932779271563</c:v>
                </c:pt>
                <c:pt idx="123">
                  <c:v>146.67514055243205</c:v>
                </c:pt>
                <c:pt idx="124">
                  <c:v>148.86922512833038</c:v>
                </c:pt>
                <c:pt idx="125">
                  <c:v>149.90955756538736</c:v>
                </c:pt>
                <c:pt idx="126">
                  <c:v>150.42679051576624</c:v>
                </c:pt>
                <c:pt idx="127">
                  <c:v>150.0699095575653</c:v>
                </c:pt>
                <c:pt idx="128">
                  <c:v>153.35321437301386</c:v>
                </c:pt>
                <c:pt idx="129">
                  <c:v>153.00415546321184</c:v>
                </c:pt>
                <c:pt idx="130">
                  <c:v>156.61794182351497</c:v>
                </c:pt>
                <c:pt idx="131">
                  <c:v>157.97897824492782</c:v>
                </c:pt>
                <c:pt idx="132">
                  <c:v>157.04131019310677</c:v>
                </c:pt>
                <c:pt idx="133">
                  <c:v>157.63187484722556</c:v>
                </c:pt>
                <c:pt idx="134">
                  <c:v>158.95673429479336</c:v>
                </c:pt>
                <c:pt idx="135">
                  <c:v>158.92740161329741</c:v>
                </c:pt>
                <c:pt idx="136">
                  <c:v>158.93229039354674</c:v>
                </c:pt>
                <c:pt idx="137">
                  <c:v>155.7135174773893</c:v>
                </c:pt>
                <c:pt idx="138">
                  <c:v>156.45661207528713</c:v>
                </c:pt>
                <c:pt idx="139">
                  <c:v>162.32999266682953</c:v>
                </c:pt>
                <c:pt idx="140">
                  <c:v>163.55218772916146</c:v>
                </c:pt>
                <c:pt idx="141">
                  <c:v>163.40259105353203</c:v>
                </c:pt>
                <c:pt idx="142">
                  <c:v>162.34270349547776</c:v>
                </c:pt>
                <c:pt idx="143">
                  <c:v>164.0342214617452</c:v>
                </c:pt>
                <c:pt idx="144">
                  <c:v>157.7296504522121</c:v>
                </c:pt>
                <c:pt idx="145">
                  <c:v>153.42459056465404</c:v>
                </c:pt>
                <c:pt idx="146">
                  <c:v>151.10828648252252</c:v>
                </c:pt>
                <c:pt idx="147">
                  <c:v>153.66805182107058</c:v>
                </c:pt>
                <c:pt idx="148">
                  <c:v>153.9398680029332</c:v>
                </c:pt>
                <c:pt idx="149">
                  <c:v>151.56294304571</c:v>
                </c:pt>
                <c:pt idx="150">
                  <c:v>151.82693717917371</c:v>
                </c:pt>
                <c:pt idx="151">
                  <c:v>155.55120997311164</c:v>
                </c:pt>
                <c:pt idx="152">
                  <c:v>154.4111464189684</c:v>
                </c:pt>
                <c:pt idx="153">
                  <c:v>153.40601319970659</c:v>
                </c:pt>
                <c:pt idx="154">
                  <c:v>156.72060620875084</c:v>
                </c:pt>
                <c:pt idx="155">
                  <c:v>154.428746027866</c:v>
                </c:pt>
                <c:pt idx="156">
                  <c:v>152.87020288438029</c:v>
                </c:pt>
                <c:pt idx="157">
                  <c:v>156.10168662918596</c:v>
                </c:pt>
                <c:pt idx="158">
                  <c:v>155.33708139819112</c:v>
                </c:pt>
                <c:pt idx="159">
                  <c:v>155.49156685406987</c:v>
                </c:pt>
                <c:pt idx="160">
                  <c:v>157.29454901002197</c:v>
                </c:pt>
                <c:pt idx="161">
                  <c:v>155.40161329748224</c:v>
                </c:pt>
                <c:pt idx="162">
                  <c:v>153.92715717428499</c:v>
                </c:pt>
                <c:pt idx="163">
                  <c:v>156.80567098508919</c:v>
                </c:pt>
                <c:pt idx="164">
                  <c:v>159.13859692006841</c:v>
                </c:pt>
                <c:pt idx="165">
                  <c:v>157.20166218528476</c:v>
                </c:pt>
                <c:pt idx="166">
                  <c:v>154.10021999511122</c:v>
                </c:pt>
                <c:pt idx="167">
                  <c:v>157.71889513566364</c:v>
                </c:pt>
                <c:pt idx="168">
                  <c:v>155.63334148130042</c:v>
                </c:pt>
                <c:pt idx="169">
                  <c:v>155.22659496455634</c:v>
                </c:pt>
                <c:pt idx="170">
                  <c:v>155.46810070887312</c:v>
                </c:pt>
                <c:pt idx="171">
                  <c:v>153.95942312393058</c:v>
                </c:pt>
                <c:pt idx="172">
                  <c:v>158.53336592520168</c:v>
                </c:pt>
                <c:pt idx="173">
                  <c:v>159.19335125886096</c:v>
                </c:pt>
                <c:pt idx="174">
                  <c:v>161.6983622586165</c:v>
                </c:pt>
                <c:pt idx="175">
                  <c:v>158.89513566365193</c:v>
                </c:pt>
                <c:pt idx="176">
                  <c:v>154.92740161329749</c:v>
                </c:pt>
                <c:pt idx="177">
                  <c:v>156.97384502566612</c:v>
                </c:pt>
                <c:pt idx="178">
                  <c:v>162.98215595208998</c:v>
                </c:pt>
                <c:pt idx="179">
                  <c:v>159.05255438768029</c:v>
                </c:pt>
                <c:pt idx="180">
                  <c:v>156.90931312637497</c:v>
                </c:pt>
                <c:pt idx="181">
                  <c:v>157.01197751161084</c:v>
                </c:pt>
                <c:pt idx="182">
                  <c:v>162.39061354192125</c:v>
                </c:pt>
                <c:pt idx="183">
                  <c:v>163.60596431190416</c:v>
                </c:pt>
                <c:pt idx="184">
                  <c:v>162.69274016132974</c:v>
                </c:pt>
                <c:pt idx="185">
                  <c:v>164.74798337814715</c:v>
                </c:pt>
                <c:pt idx="186">
                  <c:v>170.10999755560988</c:v>
                </c:pt>
                <c:pt idx="187">
                  <c:v>169.15375213884138</c:v>
                </c:pt>
                <c:pt idx="188">
                  <c:v>167.54827670496215</c:v>
                </c:pt>
                <c:pt idx="189">
                  <c:v>168.5015888535811</c:v>
                </c:pt>
                <c:pt idx="190">
                  <c:v>168.35199217795167</c:v>
                </c:pt>
                <c:pt idx="191">
                  <c:v>170.79540454656569</c:v>
                </c:pt>
                <c:pt idx="192">
                  <c:v>167.47396724517239</c:v>
                </c:pt>
                <c:pt idx="193">
                  <c:v>168.9875336103643</c:v>
                </c:pt>
                <c:pt idx="194">
                  <c:v>168.48790026888301</c:v>
                </c:pt>
                <c:pt idx="195">
                  <c:v>172.08897580053787</c:v>
                </c:pt>
                <c:pt idx="196">
                  <c:v>171.62258616475199</c:v>
                </c:pt>
                <c:pt idx="197">
                  <c:v>173.23686140308001</c:v>
                </c:pt>
                <c:pt idx="198">
                  <c:v>177.58787582498175</c:v>
                </c:pt>
                <c:pt idx="199">
                  <c:v>179.43681251527755</c:v>
                </c:pt>
                <c:pt idx="200">
                  <c:v>180.73331703739927</c:v>
                </c:pt>
                <c:pt idx="201">
                  <c:v>183.97457834270358</c:v>
                </c:pt>
                <c:pt idx="202">
                  <c:v>184.22781715961878</c:v>
                </c:pt>
                <c:pt idx="203">
                  <c:v>185.96431190417999</c:v>
                </c:pt>
                <c:pt idx="204">
                  <c:v>187.14446345636773</c:v>
                </c:pt>
                <c:pt idx="205">
                  <c:v>190.90784649230028</c:v>
                </c:pt>
                <c:pt idx="206">
                  <c:v>189.86946956734306</c:v>
                </c:pt>
                <c:pt idx="207">
                  <c:v>185.7795160107554</c:v>
                </c:pt>
                <c:pt idx="208">
                  <c:v>185.42850158885366</c:v>
                </c:pt>
                <c:pt idx="209">
                  <c:v>183.7125397213396</c:v>
                </c:pt>
                <c:pt idx="210">
                  <c:v>180.4018577364948</c:v>
                </c:pt>
                <c:pt idx="211">
                  <c:v>180.46638963578593</c:v>
                </c:pt>
                <c:pt idx="212">
                  <c:v>180.88584698117825</c:v>
                </c:pt>
                <c:pt idx="213">
                  <c:v>182.84331459300907</c:v>
                </c:pt>
                <c:pt idx="214">
                  <c:v>185.51161085309218</c:v>
                </c:pt>
                <c:pt idx="215">
                  <c:v>187.00366658518701</c:v>
                </c:pt>
                <c:pt idx="216">
                  <c:v>185.71987289171355</c:v>
                </c:pt>
                <c:pt idx="217">
                  <c:v>181.08335370325105</c:v>
                </c:pt>
                <c:pt idx="218">
                  <c:v>182.10119775116112</c:v>
                </c:pt>
                <c:pt idx="219">
                  <c:v>182.43656807626499</c:v>
                </c:pt>
                <c:pt idx="220">
                  <c:v>189.13419701784409</c:v>
                </c:pt>
                <c:pt idx="221">
                  <c:v>190.33097042287955</c:v>
                </c:pt>
                <c:pt idx="222">
                  <c:v>192.28452701051094</c:v>
                </c:pt>
                <c:pt idx="223">
                  <c:v>193.15864091909077</c:v>
                </c:pt>
                <c:pt idx="224">
                  <c:v>195.91004644341248</c:v>
                </c:pt>
                <c:pt idx="225">
                  <c:v>195.80249327792725</c:v>
                </c:pt>
                <c:pt idx="226">
                  <c:v>197.7540943534589</c:v>
                </c:pt>
                <c:pt idx="227">
                  <c:v>197.81373747250069</c:v>
                </c:pt>
                <c:pt idx="228">
                  <c:v>201.56440967978497</c:v>
                </c:pt>
                <c:pt idx="229">
                  <c:v>198.21461745294556</c:v>
                </c:pt>
                <c:pt idx="230">
                  <c:v>201.15179662674171</c:v>
                </c:pt>
                <c:pt idx="231">
                  <c:v>191.64409679784902</c:v>
                </c:pt>
                <c:pt idx="232">
                  <c:v>196.19457345392331</c:v>
                </c:pt>
                <c:pt idx="233">
                  <c:v>191.57956489855789</c:v>
                </c:pt>
                <c:pt idx="234">
                  <c:v>192.51723295037894</c:v>
                </c:pt>
                <c:pt idx="235">
                  <c:v>195.26961623075044</c:v>
                </c:pt>
                <c:pt idx="236">
                  <c:v>197.9085798093376</c:v>
                </c:pt>
                <c:pt idx="237">
                  <c:v>198.36225861647523</c:v>
                </c:pt>
                <c:pt idx="238">
                  <c:v>185.86262527499395</c:v>
                </c:pt>
                <c:pt idx="239">
                  <c:v>184.0635541432413</c:v>
                </c:pt>
                <c:pt idx="240">
                  <c:v>184.74113908579815</c:v>
                </c:pt>
                <c:pt idx="241">
                  <c:v>177.64458567587391</c:v>
                </c:pt>
                <c:pt idx="242">
                  <c:v>182.53336592520171</c:v>
                </c:pt>
                <c:pt idx="243">
                  <c:v>181.88315815204112</c:v>
                </c:pt>
                <c:pt idx="244">
                  <c:v>180.73625030554882</c:v>
                </c:pt>
                <c:pt idx="245">
                  <c:v>184.20923979467128</c:v>
                </c:pt>
                <c:pt idx="246">
                  <c:v>191.28526032754831</c:v>
                </c:pt>
                <c:pt idx="247">
                  <c:v>189.9916890735762</c:v>
                </c:pt>
                <c:pt idx="248">
                  <c:v>193.82742605719875</c:v>
                </c:pt>
                <c:pt idx="249">
                  <c:v>197.57809826448303</c:v>
                </c:pt>
                <c:pt idx="250">
                  <c:v>193.52725494989002</c:v>
                </c:pt>
                <c:pt idx="251">
                  <c:v>199.77609386458082</c:v>
                </c:pt>
                <c:pt idx="252">
                  <c:v>200.57980933757025</c:v>
                </c:pt>
                <c:pt idx="253">
                  <c:v>197.2349058909802</c:v>
                </c:pt>
                <c:pt idx="254">
                  <c:v>194.81104864336348</c:v>
                </c:pt>
                <c:pt idx="255">
                  <c:v>192.52114397457834</c:v>
                </c:pt>
                <c:pt idx="256">
                  <c:v>193.34343681251531</c:v>
                </c:pt>
                <c:pt idx="257">
                  <c:v>197.06575409435348</c:v>
                </c:pt>
                <c:pt idx="258">
                  <c:v>193.5301882180396</c:v>
                </c:pt>
                <c:pt idx="259">
                  <c:v>196.8486922512833</c:v>
                </c:pt>
                <c:pt idx="260">
                  <c:v>198.421901735517</c:v>
                </c:pt>
                <c:pt idx="261">
                  <c:v>193.51552187729163</c:v>
                </c:pt>
                <c:pt idx="262">
                  <c:v>195.59129797115622</c:v>
                </c:pt>
                <c:pt idx="263">
                  <c:v>187.9775116108531</c:v>
                </c:pt>
                <c:pt idx="264">
                  <c:v>183.26081642630163</c:v>
                </c:pt>
                <c:pt idx="265">
                  <c:v>191.07993155707652</c:v>
                </c:pt>
                <c:pt idx="266">
                  <c:v>188.55732094842338</c:v>
                </c:pt>
                <c:pt idx="267">
                  <c:v>190.80127108286482</c:v>
                </c:pt>
                <c:pt idx="268">
                  <c:v>191.16108530921534</c:v>
                </c:pt>
                <c:pt idx="269">
                  <c:v>191.37521388413592</c:v>
                </c:pt>
                <c:pt idx="270">
                  <c:v>189.66707406502078</c:v>
                </c:pt>
                <c:pt idx="271">
                  <c:v>191.85138108042048</c:v>
                </c:pt>
                <c:pt idx="272">
                  <c:v>184.90931312637503</c:v>
                </c:pt>
                <c:pt idx="273">
                  <c:v>188.56123197262286</c:v>
                </c:pt>
                <c:pt idx="274">
                  <c:v>193.41383524810564</c:v>
                </c:pt>
                <c:pt idx="275">
                  <c:v>191.26668296260087</c:v>
                </c:pt>
                <c:pt idx="276">
                  <c:v>198.83255927646056</c:v>
                </c:pt>
                <c:pt idx="277">
                  <c:v>198.75922757272065</c:v>
                </c:pt>
                <c:pt idx="278">
                  <c:v>199.8054265460768</c:v>
                </c:pt>
                <c:pt idx="279">
                  <c:v>205.22708384258132</c:v>
                </c:pt>
                <c:pt idx="280">
                  <c:v>208.38523588364711</c:v>
                </c:pt>
                <c:pt idx="281">
                  <c:v>207.89440234661456</c:v>
                </c:pt>
                <c:pt idx="282">
                  <c:v>208.09777560498665</c:v>
                </c:pt>
                <c:pt idx="283">
                  <c:v>207.20508433145937</c:v>
                </c:pt>
                <c:pt idx="284">
                  <c:v>204.75287215839654</c:v>
                </c:pt>
                <c:pt idx="285">
                  <c:v>205.42947934490351</c:v>
                </c:pt>
                <c:pt idx="286">
                  <c:v>205.3131263749695</c:v>
                </c:pt>
                <c:pt idx="287">
                  <c:v>201.6338303593254</c:v>
                </c:pt>
                <c:pt idx="288">
                  <c:v>200.78318259594238</c:v>
                </c:pt>
                <c:pt idx="289">
                  <c:v>196.04008799804453</c:v>
                </c:pt>
                <c:pt idx="290">
                  <c:v>197.34539232461503</c:v>
                </c:pt>
                <c:pt idx="291">
                  <c:v>198.40625763871918</c:v>
                </c:pt>
                <c:pt idx="292">
                  <c:v>194.57247616719633</c:v>
                </c:pt>
                <c:pt idx="293">
                  <c:v>192.96308970911761</c:v>
                </c:pt>
                <c:pt idx="294">
                  <c:v>195.35761427523838</c:v>
                </c:pt>
                <c:pt idx="295">
                  <c:v>197.58787582498169</c:v>
                </c:pt>
                <c:pt idx="296">
                  <c:v>186.5705206550966</c:v>
                </c:pt>
                <c:pt idx="297">
                  <c:v>186.5480322659497</c:v>
                </c:pt>
                <c:pt idx="298">
                  <c:v>189.60254216572969</c:v>
                </c:pt>
                <c:pt idx="299">
                  <c:v>186.35639208017602</c:v>
                </c:pt>
                <c:pt idx="300">
                  <c:v>171.92080175996091</c:v>
                </c:pt>
                <c:pt idx="301">
                  <c:v>135.15717428501591</c:v>
                </c:pt>
                <c:pt idx="302">
                  <c:v>147.39281349303354</c:v>
                </c:pt>
                <c:pt idx="303">
                  <c:v>142.77487166951852</c:v>
                </c:pt>
                <c:pt idx="304">
                  <c:v>156.95135663651925</c:v>
                </c:pt>
                <c:pt idx="305">
                  <c:v>152.20435101442197</c:v>
                </c:pt>
                <c:pt idx="306">
                  <c:v>144.59838670251779</c:v>
                </c:pt>
                <c:pt idx="307">
                  <c:v>135.87582498166714</c:v>
                </c:pt>
                <c:pt idx="308">
                  <c:v>144.95428990466883</c:v>
                </c:pt>
                <c:pt idx="309">
                  <c:v>135.7653385480323</c:v>
                </c:pt>
                <c:pt idx="310">
                  <c:v>141.4461011977512</c:v>
                </c:pt>
                <c:pt idx="311">
                  <c:v>143.00464434123688</c:v>
                </c:pt>
                <c:pt idx="312">
                  <c:v>141.64458567587391</c:v>
                </c:pt>
                <c:pt idx="313">
                  <c:v>148.59936445856761</c:v>
                </c:pt>
                <c:pt idx="314">
                  <c:v>146.01808848692255</c:v>
                </c:pt>
                <c:pt idx="315">
                  <c:v>142.54216572965049</c:v>
                </c:pt>
                <c:pt idx="316">
                  <c:v>139.396724517233</c:v>
                </c:pt>
                <c:pt idx="317">
                  <c:v>141.04522121730631</c:v>
                </c:pt>
                <c:pt idx="318">
                  <c:v>145.52041065754096</c:v>
                </c:pt>
                <c:pt idx="319">
                  <c:v>140.49474456123201</c:v>
                </c:pt>
                <c:pt idx="320">
                  <c:v>131.60303104375461</c:v>
                </c:pt>
                <c:pt idx="321">
                  <c:v>128.90833537032515</c:v>
                </c:pt>
                <c:pt idx="322">
                  <c:v>119.01246638963582</c:v>
                </c:pt>
                <c:pt idx="323">
                  <c:v>124.01759960889761</c:v>
                </c:pt>
                <c:pt idx="324">
                  <c:v>132.27768271816183</c:v>
                </c:pt>
                <c:pt idx="325">
                  <c:v>133.63187484722565</c:v>
                </c:pt>
                <c:pt idx="326">
                  <c:v>135.07895380102667</c:v>
                </c:pt>
                <c:pt idx="327">
                  <c:v>136.4839892446835</c:v>
                </c:pt>
                <c:pt idx="328">
                  <c:v>138.56563187484727</c:v>
                </c:pt>
                <c:pt idx="329">
                  <c:v>139.21583964800786</c:v>
                </c:pt>
                <c:pt idx="330">
                  <c:v>142.92349058909807</c:v>
                </c:pt>
                <c:pt idx="331">
                  <c:v>147.48374480567105</c:v>
                </c:pt>
                <c:pt idx="332">
                  <c:v>143.4446345636764</c:v>
                </c:pt>
                <c:pt idx="333">
                  <c:v>145.34539232461506</c:v>
                </c:pt>
                <c:pt idx="334">
                  <c:v>151.30677096064539</c:v>
                </c:pt>
                <c:pt idx="335">
                  <c:v>154.19701784404799</c:v>
                </c:pt>
                <c:pt idx="336">
                  <c:v>157.26521632852612</c:v>
                </c:pt>
                <c:pt idx="337">
                  <c:v>154.29186018088495</c:v>
                </c:pt>
                <c:pt idx="338">
                  <c:v>156.80469322903943</c:v>
                </c:pt>
                <c:pt idx="339">
                  <c:v>154.91860180884876</c:v>
                </c:pt>
                <c:pt idx="340">
                  <c:v>152.43314593009052</c:v>
                </c:pt>
                <c:pt idx="341">
                  <c:v>160.69322903935475</c:v>
                </c:pt>
                <c:pt idx="342">
                  <c:v>165.81862625275002</c:v>
                </c:pt>
                <c:pt idx="343">
                  <c:v>167.44365680762655</c:v>
                </c:pt>
                <c:pt idx="344">
                  <c:v>167.57956489855786</c:v>
                </c:pt>
                <c:pt idx="345">
                  <c:v>167.48667807382063</c:v>
                </c:pt>
                <c:pt idx="346">
                  <c:v>169.18601808848695</c:v>
                </c:pt>
                <c:pt idx="347">
                  <c:v>170.0190662429724</c:v>
                </c:pt>
                <c:pt idx="348">
                  <c:v>168.4663896357859</c:v>
                </c:pt>
                <c:pt idx="349">
                  <c:v>172.95233439256907</c:v>
                </c:pt>
                <c:pt idx="350">
                  <c:v>176.68149596675633</c:v>
                </c:pt>
                <c:pt idx="351">
                  <c:v>174.66340747983381</c:v>
                </c:pt>
                <c:pt idx="352">
                  <c:v>174.16768516255198</c:v>
                </c:pt>
                <c:pt idx="353">
                  <c:v>180.54069909557569</c:v>
                </c:pt>
                <c:pt idx="354">
                  <c:v>182.82375947201174</c:v>
                </c:pt>
                <c:pt idx="355">
                  <c:v>181.3229039354681</c:v>
                </c:pt>
                <c:pt idx="356">
                  <c:v>176.29137130285994</c:v>
                </c:pt>
                <c:pt idx="357">
                  <c:v>178.34759227572718</c:v>
                </c:pt>
                <c:pt idx="358">
                  <c:v>181.79907113175258</c:v>
                </c:pt>
                <c:pt idx="359">
                  <c:v>181.28086042532382</c:v>
                </c:pt>
                <c:pt idx="360">
                  <c:v>183.12490833537026</c:v>
                </c:pt>
                <c:pt idx="361">
                  <c:v>188.39012466389627</c:v>
                </c:pt>
                <c:pt idx="362">
                  <c:v>192.38132485944746</c:v>
                </c:pt>
                <c:pt idx="363">
                  <c:v>192.39794671229515</c:v>
                </c:pt>
                <c:pt idx="364">
                  <c:v>194.90197995600082</c:v>
                </c:pt>
                <c:pt idx="365">
                  <c:v>196.22683940356868</c:v>
                </c:pt>
                <c:pt idx="366">
                  <c:v>196.66194084575883</c:v>
                </c:pt>
                <c:pt idx="367">
                  <c:v>195.87289171351733</c:v>
                </c:pt>
                <c:pt idx="368">
                  <c:v>191.92177951601062</c:v>
                </c:pt>
                <c:pt idx="369">
                  <c:v>186.2077731605963</c:v>
                </c:pt>
                <c:pt idx="370">
                  <c:v>183.8885358103152</c:v>
                </c:pt>
                <c:pt idx="371">
                  <c:v>185.47445612319714</c:v>
                </c:pt>
                <c:pt idx="372">
                  <c:v>189.66022977267158</c:v>
                </c:pt>
                <c:pt idx="373">
                  <c:v>190.19897335614752</c:v>
                </c:pt>
                <c:pt idx="374">
                  <c:v>196.93473478367136</c:v>
                </c:pt>
                <c:pt idx="375">
                  <c:v>201.31410413101921</c:v>
                </c:pt>
                <c:pt idx="376">
                  <c:v>202.5186995844536</c:v>
                </c:pt>
                <c:pt idx="377">
                  <c:v>201.2837936934734</c:v>
                </c:pt>
                <c:pt idx="378">
                  <c:v>207.36152529943766</c:v>
                </c:pt>
                <c:pt idx="379">
                  <c:v>209.77560498655572</c:v>
                </c:pt>
                <c:pt idx="380">
                  <c:v>207.30090442434599</c:v>
                </c:pt>
                <c:pt idx="381">
                  <c:v>210.27426057198716</c:v>
                </c:pt>
                <c:pt idx="382">
                  <c:v>204.49278904913211</c:v>
                </c:pt>
                <c:pt idx="383">
                  <c:v>191.06722072842817</c:v>
                </c:pt>
                <c:pt idx="384">
                  <c:v>196.81447078953792</c:v>
                </c:pt>
                <c:pt idx="385">
                  <c:v>185.00513321926172</c:v>
                </c:pt>
                <c:pt idx="386">
                  <c:v>186.89220239550224</c:v>
                </c:pt>
                <c:pt idx="387">
                  <c:v>185.19384013688577</c:v>
                </c:pt>
                <c:pt idx="388">
                  <c:v>191.54827670496206</c:v>
                </c:pt>
                <c:pt idx="389">
                  <c:v>198.74847225617202</c:v>
                </c:pt>
                <c:pt idx="390">
                  <c:v>194.63016377413828</c:v>
                </c:pt>
                <c:pt idx="391">
                  <c:v>190.50109997555603</c:v>
                </c:pt>
                <c:pt idx="392">
                  <c:v>200.37839159129791</c:v>
                </c:pt>
                <c:pt idx="393">
                  <c:v>197.09606453189923</c:v>
                </c:pt>
                <c:pt idx="394">
                  <c:v>201.90466878513806</c:v>
                </c:pt>
                <c:pt idx="395">
                  <c:v>200.61109753116594</c:v>
                </c:pt>
                <c:pt idx="396">
                  <c:v>205.75213884135903</c:v>
                </c:pt>
                <c:pt idx="397">
                  <c:v>200.19066242972374</c:v>
                </c:pt>
                <c:pt idx="398">
                  <c:v>198.56074309459785</c:v>
                </c:pt>
                <c:pt idx="399">
                  <c:v>202.00635541432408</c:v>
                </c:pt>
                <c:pt idx="400">
                  <c:v>206.61745294549002</c:v>
                </c:pt>
                <c:pt idx="401">
                  <c:v>207.26277193840133</c:v>
                </c:pt>
                <c:pt idx="402">
                  <c:v>207.08677584942552</c:v>
                </c:pt>
                <c:pt idx="403">
                  <c:v>210.57052065509652</c:v>
                </c:pt>
                <c:pt idx="404">
                  <c:v>213.89391346858955</c:v>
                </c:pt>
                <c:pt idx="405">
                  <c:v>217.20361769738443</c:v>
                </c:pt>
                <c:pt idx="406">
                  <c:v>219.45930090442428</c:v>
                </c:pt>
                <c:pt idx="407">
                  <c:v>218.49816670740645</c:v>
                </c:pt>
                <c:pt idx="408">
                  <c:v>218.83647030065993</c:v>
                </c:pt>
                <c:pt idx="409">
                  <c:v>222.33292593497916</c:v>
                </c:pt>
                <c:pt idx="410">
                  <c:v>217.79613786360301</c:v>
                </c:pt>
                <c:pt idx="411">
                  <c:v>216.57492055732089</c:v>
                </c:pt>
                <c:pt idx="412">
                  <c:v>215.22855047665601</c:v>
                </c:pt>
                <c:pt idx="413">
                  <c:v>219.13566365191878</c:v>
                </c:pt>
                <c:pt idx="414">
                  <c:v>217.12735272549494</c:v>
                </c:pt>
                <c:pt idx="415">
                  <c:v>217.45783427034954</c:v>
                </c:pt>
                <c:pt idx="416">
                  <c:v>219.9618675140552</c:v>
                </c:pt>
                <c:pt idx="417">
                  <c:v>220.40087998044487</c:v>
                </c:pt>
                <c:pt idx="418">
                  <c:v>218.51087753605475</c:v>
                </c:pt>
                <c:pt idx="419">
                  <c:v>221.75996088975799</c:v>
                </c:pt>
                <c:pt idx="420">
                  <c:v>221.28086042532388</c:v>
                </c:pt>
                <c:pt idx="421">
                  <c:v>220.77633830359323</c:v>
                </c:pt>
                <c:pt idx="422">
                  <c:v>224.53092153507697</c:v>
                </c:pt>
                <c:pt idx="423">
                  <c:v>224.43510144219016</c:v>
                </c:pt>
                <c:pt idx="424">
                  <c:v>227.37814715228552</c:v>
                </c:pt>
                <c:pt idx="425">
                  <c:v>228.14177462723052</c:v>
                </c:pt>
                <c:pt idx="426">
                  <c:v>231.68907357614273</c:v>
                </c:pt>
                <c:pt idx="427">
                  <c:v>228.70202884380348</c:v>
                </c:pt>
                <c:pt idx="428">
                  <c:v>226.45514544121241</c:v>
                </c:pt>
                <c:pt idx="429">
                  <c:v>233.09215350769978</c:v>
                </c:pt>
                <c:pt idx="430">
                  <c:v>237.5771205084331</c:v>
                </c:pt>
                <c:pt idx="431">
                  <c:v>237.77169396235632</c:v>
                </c:pt>
                <c:pt idx="432">
                  <c:v>237.95453434368119</c:v>
                </c:pt>
                <c:pt idx="433">
                  <c:v>241.60058665362985</c:v>
                </c:pt>
                <c:pt idx="434">
                  <c:v>246.01711073087259</c:v>
                </c:pt>
                <c:pt idx="435">
                  <c:v>242.58714250794421</c:v>
                </c:pt>
                <c:pt idx="436">
                  <c:v>240.76949401124412</c:v>
                </c:pt>
                <c:pt idx="437">
                  <c:v>243.59716450745535</c:v>
                </c:pt>
                <c:pt idx="438">
                  <c:v>243.97066731850401</c:v>
                </c:pt>
                <c:pt idx="439">
                  <c:v>241.98386702517718</c:v>
                </c:pt>
                <c:pt idx="440">
                  <c:v>237.11659740894646</c:v>
                </c:pt>
                <c:pt idx="441">
                  <c:v>236.56416524077241</c:v>
                </c:pt>
                <c:pt idx="442">
                  <c:v>238.4923001711073</c:v>
                </c:pt>
                <c:pt idx="443">
                  <c:v>248.02346614519678</c:v>
                </c:pt>
                <c:pt idx="444">
                  <c:v>246.41799071131751</c:v>
                </c:pt>
                <c:pt idx="445">
                  <c:v>244.17306282082623</c:v>
                </c:pt>
                <c:pt idx="446">
                  <c:v>248.29137130285997</c:v>
                </c:pt>
                <c:pt idx="447">
                  <c:v>243.66951845514546</c:v>
                </c:pt>
                <c:pt idx="448">
                  <c:v>226.23710584209243</c:v>
                </c:pt>
                <c:pt idx="449">
                  <c:v>230.64776338303594</c:v>
                </c:pt>
                <c:pt idx="450">
                  <c:v>226.28012710828651</c:v>
                </c:pt>
                <c:pt idx="451">
                  <c:v>233.84111464189687</c:v>
                </c:pt>
                <c:pt idx="452">
                  <c:v>237.86262527499389</c:v>
                </c:pt>
                <c:pt idx="453">
                  <c:v>233.33268149596677</c:v>
                </c:pt>
                <c:pt idx="454">
                  <c:v>237.83818137374723</c:v>
                </c:pt>
                <c:pt idx="455">
                  <c:v>226.96064531899287</c:v>
                </c:pt>
                <c:pt idx="456">
                  <c:v>230.30750427768265</c:v>
                </c:pt>
                <c:pt idx="457">
                  <c:v>230.8540699095575</c:v>
                </c:pt>
                <c:pt idx="458">
                  <c:v>239.28917135174765</c:v>
                </c:pt>
                <c:pt idx="459">
                  <c:v>247.74969445123432</c:v>
                </c:pt>
                <c:pt idx="460">
                  <c:v>251.89929112686374</c:v>
                </c:pt>
                <c:pt idx="461">
                  <c:v>247.58152041065742</c:v>
                </c:pt>
                <c:pt idx="462">
                  <c:v>247.25886091420182</c:v>
                </c:pt>
                <c:pt idx="463">
                  <c:v>246.69469567342941</c:v>
                </c:pt>
                <c:pt idx="464">
                  <c:v>237.89782449278894</c:v>
                </c:pt>
                <c:pt idx="465">
                  <c:v>250.96357858714239</c:v>
                </c:pt>
                <c:pt idx="466">
                  <c:v>250.52847714495223</c:v>
                </c:pt>
                <c:pt idx="467">
                  <c:v>249.35028110486422</c:v>
                </c:pt>
                <c:pt idx="468">
                  <c:v>257.9672451723294</c:v>
                </c:pt>
                <c:pt idx="469">
                  <c:v>259.52578831581508</c:v>
                </c:pt>
                <c:pt idx="470">
                  <c:v>256.79784893669017</c:v>
                </c:pt>
                <c:pt idx="471">
                  <c:v>253.76876069420669</c:v>
                </c:pt>
                <c:pt idx="472">
                  <c:v>255.7731605964311</c:v>
                </c:pt>
                <c:pt idx="473">
                  <c:v>259.04571009533106</c:v>
                </c:pt>
                <c:pt idx="474">
                  <c:v>260.64629674896099</c:v>
                </c:pt>
                <c:pt idx="475">
                  <c:v>262.02395502322156</c:v>
                </c:pt>
                <c:pt idx="476">
                  <c:v>262.49132241505731</c:v>
                </c:pt>
                <c:pt idx="477">
                  <c:v>264.1407968711805</c:v>
                </c:pt>
                <c:pt idx="478">
                  <c:v>266.64483011488619</c:v>
                </c:pt>
                <c:pt idx="479">
                  <c:v>267.52285504766542</c:v>
                </c:pt>
                <c:pt idx="480">
                  <c:v>266.35639208017574</c:v>
                </c:pt>
                <c:pt idx="481">
                  <c:v>264.98166707406477</c:v>
                </c:pt>
                <c:pt idx="482">
                  <c:v>265.48032265949621</c:v>
                </c:pt>
                <c:pt idx="483">
                  <c:v>268.27866047421145</c:v>
                </c:pt>
                <c:pt idx="484">
                  <c:v>264.09582009288658</c:v>
                </c:pt>
                <c:pt idx="485">
                  <c:v>267.82498166707381</c:v>
                </c:pt>
                <c:pt idx="486">
                  <c:v>271.22170618430681</c:v>
                </c:pt>
                <c:pt idx="487">
                  <c:v>267.8064043021264</c:v>
                </c:pt>
                <c:pt idx="488">
                  <c:v>267.71058420923964</c:v>
                </c:pt>
                <c:pt idx="489">
                  <c:v>256.21999511121953</c:v>
                </c:pt>
                <c:pt idx="490">
                  <c:v>257.92520166218509</c:v>
                </c:pt>
                <c:pt idx="491">
                  <c:v>252.00977756049846</c:v>
                </c:pt>
                <c:pt idx="492">
                  <c:v>254.71131752627704</c:v>
                </c:pt>
                <c:pt idx="493">
                  <c:v>258.16572965045208</c:v>
                </c:pt>
                <c:pt idx="494">
                  <c:v>256.04008799804438</c:v>
                </c:pt>
                <c:pt idx="495">
                  <c:v>261.9291126863846</c:v>
                </c:pt>
                <c:pt idx="496">
                  <c:v>263.97848936690281</c:v>
                </c:pt>
                <c:pt idx="497">
                  <c:v>267.86018088486907</c:v>
                </c:pt>
                <c:pt idx="498">
                  <c:v>271.82400391102402</c:v>
                </c:pt>
                <c:pt idx="499">
                  <c:v>274.21461745294533</c:v>
                </c:pt>
                <c:pt idx="500">
                  <c:v>273.10193106819833</c:v>
                </c:pt>
                <c:pt idx="501">
                  <c:v>271.82987044732323</c:v>
                </c:pt>
                <c:pt idx="502">
                  <c:v>273.85578098264472</c:v>
                </c:pt>
                <c:pt idx="503">
                  <c:v>272.98557809826434</c:v>
                </c:pt>
                <c:pt idx="504">
                  <c:v>272.32363725250536</c:v>
                </c:pt>
                <c:pt idx="505">
                  <c:v>277.96528966022964</c:v>
                </c:pt>
                <c:pt idx="506">
                  <c:v>281.26032754827662</c:v>
                </c:pt>
                <c:pt idx="507">
                  <c:v>279.68027377169386</c:v>
                </c:pt>
                <c:pt idx="508">
                  <c:v>279.93840136885837</c:v>
                </c:pt>
                <c:pt idx="509">
                  <c:v>285.73845025666083</c:v>
                </c:pt>
                <c:pt idx="510">
                  <c:v>279.6352969934</c:v>
                </c:pt>
                <c:pt idx="511">
                  <c:v>280.33145930090433</c:v>
                </c:pt>
                <c:pt idx="512">
                  <c:v>278.27132730383761</c:v>
                </c:pt>
                <c:pt idx="513">
                  <c:v>276.81740405768755</c:v>
                </c:pt>
                <c:pt idx="514">
                  <c:v>270.19212906379852</c:v>
                </c:pt>
                <c:pt idx="515">
                  <c:v>268.00782204839891</c:v>
                </c:pt>
                <c:pt idx="516">
                  <c:v>275.21192862380832</c:v>
                </c:pt>
                <c:pt idx="517">
                  <c:v>278.00439990222435</c:v>
                </c:pt>
                <c:pt idx="518">
                  <c:v>277.88609142019061</c:v>
                </c:pt>
                <c:pt idx="519">
                  <c:v>278.69469567342946</c:v>
                </c:pt>
                <c:pt idx="520">
                  <c:v>282.67611830848205</c:v>
                </c:pt>
                <c:pt idx="521">
                  <c:v>278.60669762894156</c:v>
                </c:pt>
                <c:pt idx="522">
                  <c:v>288.03128819359569</c:v>
                </c:pt>
                <c:pt idx="523">
                  <c:v>289.89391346858957</c:v>
                </c:pt>
                <c:pt idx="524">
                  <c:v>293.71302859936441</c:v>
                </c:pt>
                <c:pt idx="525">
                  <c:v>294.16377413835244</c:v>
                </c:pt>
                <c:pt idx="526">
                  <c:v>297.30334881447072</c:v>
                </c:pt>
                <c:pt idx="527">
                  <c:v>298.05719872891706</c:v>
                </c:pt>
                <c:pt idx="528">
                  <c:v>295.68222928379362</c:v>
                </c:pt>
                <c:pt idx="529">
                  <c:v>295.63138596920061</c:v>
                </c:pt>
                <c:pt idx="530">
                  <c:v>295.89244683451466</c:v>
                </c:pt>
                <c:pt idx="531">
                  <c:v>300.70691762405272</c:v>
                </c:pt>
                <c:pt idx="532">
                  <c:v>302.73282815937409</c:v>
                </c:pt>
                <c:pt idx="533">
                  <c:v>307.59912001955496</c:v>
                </c:pt>
                <c:pt idx="534">
                  <c:v>312.08995355658755</c:v>
                </c:pt>
                <c:pt idx="535">
                  <c:v>306.58616475189433</c:v>
                </c:pt>
                <c:pt idx="536">
                  <c:v>314.57052065509646</c:v>
                </c:pt>
                <c:pt idx="537">
                  <c:v>313.52236616964058</c:v>
                </c:pt>
                <c:pt idx="538">
                  <c:v>316.38914690784634</c:v>
                </c:pt>
                <c:pt idx="539">
                  <c:v>318.8667807382057</c:v>
                </c:pt>
                <c:pt idx="540">
                  <c:v>318.66047421168406</c:v>
                </c:pt>
                <c:pt idx="541">
                  <c:v>322.15497433390362</c:v>
                </c:pt>
                <c:pt idx="542">
                  <c:v>317.11757516499625</c:v>
                </c:pt>
                <c:pt idx="543">
                  <c:v>305.22317281838173</c:v>
                </c:pt>
                <c:pt idx="544">
                  <c:v>302.58616475189433</c:v>
                </c:pt>
                <c:pt idx="545">
                  <c:v>304.88389146907838</c:v>
                </c:pt>
                <c:pt idx="546">
                  <c:v>293.57809826448295</c:v>
                </c:pt>
                <c:pt idx="547">
                  <c:v>298.19897335614752</c:v>
                </c:pt>
                <c:pt idx="548">
                  <c:v>299.0769982889268</c:v>
                </c:pt>
                <c:pt idx="549">
                  <c:v>310.38083598142254</c:v>
                </c:pt>
                <c:pt idx="550">
                  <c:v>311.72916157418712</c:v>
                </c:pt>
                <c:pt idx="551">
                  <c:v>312.80860425323874</c:v>
                </c:pt>
                <c:pt idx="552">
                  <c:v>314.8599364458567</c:v>
                </c:pt>
                <c:pt idx="553">
                  <c:v>309.00317770716197</c:v>
                </c:pt>
                <c:pt idx="554">
                  <c:v>303.51894402346602</c:v>
                </c:pt>
                <c:pt idx="555">
                  <c:v>302.07284282571487</c:v>
                </c:pt>
                <c:pt idx="556">
                  <c:v>299.57174285015878</c:v>
                </c:pt>
                <c:pt idx="557">
                  <c:v>298.19017355169876</c:v>
                </c:pt>
                <c:pt idx="558">
                  <c:v>300.13786360303095</c:v>
                </c:pt>
                <c:pt idx="559">
                  <c:v>307.53263260816419</c:v>
                </c:pt>
                <c:pt idx="560">
                  <c:v>307.76240527988261</c:v>
                </c:pt>
                <c:pt idx="561">
                  <c:v>305.45978978244926</c:v>
                </c:pt>
                <c:pt idx="562">
                  <c:v>308.73625030554871</c:v>
                </c:pt>
                <c:pt idx="563">
                  <c:v>314.11195306770952</c:v>
                </c:pt>
                <c:pt idx="564">
                  <c:v>317.9252016621852</c:v>
                </c:pt>
                <c:pt idx="565">
                  <c:v>315.80835981422626</c:v>
                </c:pt>
                <c:pt idx="566">
                  <c:v>312.58176484966992</c:v>
                </c:pt>
                <c:pt idx="567">
                  <c:v>315.72622830603757</c:v>
                </c:pt>
                <c:pt idx="568">
                  <c:v>314.65362991933506</c:v>
                </c:pt>
                <c:pt idx="569">
                  <c:v>313.65729650452204</c:v>
                </c:pt>
                <c:pt idx="570">
                  <c:v>313.46565631874836</c:v>
                </c:pt>
                <c:pt idx="571">
                  <c:v>308.07235394768998</c:v>
                </c:pt>
                <c:pt idx="572">
                  <c:v>318.01515521877286</c:v>
                </c:pt>
                <c:pt idx="573">
                  <c:v>322.9371791737961</c:v>
                </c:pt>
                <c:pt idx="574">
                  <c:v>322.74749450012217</c:v>
                </c:pt>
                <c:pt idx="575">
                  <c:v>324.49767782938153</c:v>
                </c:pt>
                <c:pt idx="576">
                  <c:v>325.75800537765826</c:v>
                </c:pt>
                <c:pt idx="577">
                  <c:v>321.30334881447078</c:v>
                </c:pt>
                <c:pt idx="578">
                  <c:v>322.13737472500605</c:v>
                </c:pt>
                <c:pt idx="579">
                  <c:v>322.74260571987287</c:v>
                </c:pt>
                <c:pt idx="580">
                  <c:v>328.32559276460518</c:v>
                </c:pt>
                <c:pt idx="581">
                  <c:v>329.13419701784397</c:v>
                </c:pt>
                <c:pt idx="582">
                  <c:v>329.55854314348562</c:v>
                </c:pt>
                <c:pt idx="583">
                  <c:v>332.03226594964548</c:v>
                </c:pt>
                <c:pt idx="584">
                  <c:v>330.97433390369093</c:v>
                </c:pt>
                <c:pt idx="585">
                  <c:v>330.27914935223652</c:v>
                </c:pt>
                <c:pt idx="586">
                  <c:v>334.69274016132965</c:v>
                </c:pt>
                <c:pt idx="587">
                  <c:v>339.50134441456845</c:v>
                </c:pt>
                <c:pt idx="588">
                  <c:v>339.91004644341223</c:v>
                </c:pt>
                <c:pt idx="589">
                  <c:v>345.89782449278897</c:v>
                </c:pt>
                <c:pt idx="590">
                  <c:v>344.40576876069412</c:v>
                </c:pt>
                <c:pt idx="591">
                  <c:v>348.16719628452694</c:v>
                </c:pt>
                <c:pt idx="592">
                  <c:v>346.59398680029324</c:v>
                </c:pt>
                <c:pt idx="593">
                  <c:v>351.44561231972614</c:v>
                </c:pt>
                <c:pt idx="594">
                  <c:v>356.71180640430208</c:v>
                </c:pt>
                <c:pt idx="595">
                  <c:v>357.68760694206793</c:v>
                </c:pt>
                <c:pt idx="596">
                  <c:v>361.74431679296009</c:v>
                </c:pt>
                <c:pt idx="597">
                  <c:v>361.48618919579559</c:v>
                </c:pt>
                <c:pt idx="598">
                  <c:v>375.4153018821803</c:v>
                </c:pt>
                <c:pt idx="599">
                  <c:v>378.92740161329738</c:v>
                </c:pt>
                <c:pt idx="600">
                  <c:v>378.29870447323384</c:v>
                </c:pt>
                <c:pt idx="601">
                  <c:v>378.93913468589574</c:v>
                </c:pt>
                <c:pt idx="602">
                  <c:v>383.84942556832061</c:v>
                </c:pt>
                <c:pt idx="603">
                  <c:v>387.73209484233672</c:v>
                </c:pt>
                <c:pt idx="604">
                  <c:v>373.49987778049359</c:v>
                </c:pt>
                <c:pt idx="605">
                  <c:v>373.27303837692477</c:v>
                </c:pt>
                <c:pt idx="606">
                  <c:v>388.71180640430197</c:v>
                </c:pt>
                <c:pt idx="607">
                  <c:v>391.8924468345146</c:v>
                </c:pt>
                <c:pt idx="608">
                  <c:v>397.15277438279134</c:v>
                </c:pt>
                <c:pt idx="609">
                  <c:v>402.15301882180381</c:v>
                </c:pt>
                <c:pt idx="610">
                  <c:v>389.88706917624035</c:v>
                </c:pt>
                <c:pt idx="611">
                  <c:v>393.18406257638702</c:v>
                </c:pt>
                <c:pt idx="612">
                  <c:v>380.47127841603503</c:v>
                </c:pt>
                <c:pt idx="613">
                  <c:v>375.71351747738925</c:v>
                </c:pt>
                <c:pt idx="614">
                  <c:v>359.84649230017095</c:v>
                </c:pt>
                <c:pt idx="615">
                  <c:v>361.74040576876052</c:v>
                </c:pt>
                <c:pt idx="616">
                  <c:v>374.79833781471507</c:v>
                </c:pt>
                <c:pt idx="617">
                  <c:v>378.90686873625009</c:v>
                </c:pt>
                <c:pt idx="618">
                  <c:v>376.1447078953799</c:v>
                </c:pt>
                <c:pt idx="619">
                  <c:v>371.04473233928115</c:v>
                </c:pt>
                <c:pt idx="620">
                  <c:v>378.85602542165702</c:v>
                </c:pt>
                <c:pt idx="621">
                  <c:v>368.61598631141504</c:v>
                </c:pt>
                <c:pt idx="622">
                  <c:v>371.38401368858445</c:v>
                </c:pt>
                <c:pt idx="623">
                  <c:v>345.62503055487633</c:v>
                </c:pt>
                <c:pt idx="624">
                  <c:v>362.449278904913</c:v>
                </c:pt>
                <c:pt idx="625">
                  <c:v>370.35052554387664</c:v>
                </c:pt>
                <c:pt idx="626">
                  <c:v>371.01637741383507</c:v>
                </c:pt>
                <c:pt idx="627">
                  <c:v>355.19726228306024</c:v>
                </c:pt>
                <c:pt idx="628">
                  <c:v>354.6086531410412</c:v>
                </c:pt>
                <c:pt idx="629">
                  <c:v>362.0972867269615</c:v>
                </c:pt>
                <c:pt idx="630">
                  <c:v>356.22977267171831</c:v>
                </c:pt>
                <c:pt idx="631">
                  <c:v>360.7274505010999</c:v>
                </c:pt>
                <c:pt idx="632">
                  <c:v>363.97848936690292</c:v>
                </c:pt>
                <c:pt idx="633">
                  <c:v>363.72133952578827</c:v>
                </c:pt>
                <c:pt idx="634">
                  <c:v>359.72231728183812</c:v>
                </c:pt>
                <c:pt idx="635">
                  <c:v>356.57100953312141</c:v>
                </c:pt>
                <c:pt idx="636">
                  <c:v>347.94622341725733</c:v>
                </c:pt>
                <c:pt idx="637">
                  <c:v>364.87704717672938</c:v>
                </c:pt>
                <c:pt idx="638">
                  <c:v>362.87460278660473</c:v>
                </c:pt>
                <c:pt idx="639">
                  <c:v>367.25690540210212</c:v>
                </c:pt>
                <c:pt idx="640">
                  <c:v>374.24590564654113</c:v>
                </c:pt>
                <c:pt idx="641">
                  <c:v>380.31483744805661</c:v>
                </c:pt>
                <c:pt idx="642">
                  <c:v>386.11097531165962</c:v>
                </c:pt>
                <c:pt idx="643">
                  <c:v>378.01613297482265</c:v>
                </c:pt>
                <c:pt idx="644">
                  <c:v>373.26032754827656</c:v>
                </c:pt>
                <c:pt idx="645">
                  <c:v>377.14593009044233</c:v>
                </c:pt>
                <c:pt idx="646">
                  <c:v>371.15619652896589</c:v>
                </c:pt>
                <c:pt idx="647">
                  <c:v>363.28134930334869</c:v>
                </c:pt>
                <c:pt idx="648">
                  <c:v>351.54925446101186</c:v>
                </c:pt>
                <c:pt idx="649">
                  <c:v>346.57149841114631</c:v>
                </c:pt>
                <c:pt idx="650">
                  <c:v>350.38474700562199</c:v>
                </c:pt>
                <c:pt idx="651">
                  <c:v>353.92129063798575</c:v>
                </c:pt>
                <c:pt idx="652">
                  <c:v>347.92080175996085</c:v>
                </c:pt>
                <c:pt idx="653">
                  <c:v>344.07822048398918</c:v>
                </c:pt>
                <c:pt idx="654">
                  <c:v>344.57687606942062</c:v>
                </c:pt>
                <c:pt idx="655">
                  <c:v>329.49107797604495</c:v>
                </c:pt>
                <c:pt idx="656">
                  <c:v>335.59129797115617</c:v>
                </c:pt>
                <c:pt idx="657">
                  <c:v>323.25592764605227</c:v>
                </c:pt>
                <c:pt idx="658">
                  <c:v>330.53629919335123</c:v>
                </c:pt>
                <c:pt idx="659">
                  <c:v>310.18039599120016</c:v>
                </c:pt>
                <c:pt idx="660">
                  <c:v>313.93497922268392</c:v>
                </c:pt>
                <c:pt idx="661">
                  <c:v>300.79296015644098</c:v>
                </c:pt>
                <c:pt idx="662">
                  <c:v>295.06722072842825</c:v>
                </c:pt>
                <c:pt idx="663">
                  <c:v>300.87313615252987</c:v>
                </c:pt>
                <c:pt idx="664">
                  <c:v>292.32461500855527</c:v>
                </c:pt>
                <c:pt idx="665">
                  <c:v>293.8401368858469</c:v>
                </c:pt>
                <c:pt idx="666">
                  <c:v>314.49230017110716</c:v>
                </c:pt>
                <c:pt idx="667">
                  <c:v>314.10804204351001</c:v>
                </c:pt>
                <c:pt idx="668">
                  <c:v>305.05010999755547</c:v>
                </c:pt>
                <c:pt idx="669">
                  <c:v>301.39036910290866</c:v>
                </c:pt>
                <c:pt idx="670">
                  <c:v>290.11781960400867</c:v>
                </c:pt>
                <c:pt idx="671">
                  <c:v>275.52676607186498</c:v>
                </c:pt>
                <c:pt idx="672">
                  <c:v>282.11097531165967</c:v>
                </c:pt>
                <c:pt idx="673">
                  <c:v>278.85309215350759</c:v>
                </c:pt>
                <c:pt idx="674">
                  <c:v>258.35052554387676</c:v>
                </c:pt>
                <c:pt idx="675">
                  <c:v>246.10901979955995</c:v>
                </c:pt>
                <c:pt idx="676">
                  <c:v>242.09044243461253</c:v>
                </c:pt>
                <c:pt idx="677">
                  <c:v>252.86238083598136</c:v>
                </c:pt>
                <c:pt idx="678">
                  <c:v>250.36714739672445</c:v>
                </c:pt>
                <c:pt idx="679">
                  <c:v>238.69567342947931</c:v>
                </c:pt>
                <c:pt idx="680">
                  <c:v>228.86531410413096</c:v>
                </c:pt>
                <c:pt idx="681">
                  <c:v>242.59300904424339</c:v>
                </c:pt>
                <c:pt idx="682">
                  <c:v>249.75898313370803</c:v>
                </c:pt>
                <c:pt idx="683">
                  <c:v>248.1368858469811</c:v>
                </c:pt>
                <c:pt idx="684">
                  <c:v>237.23588364702997</c:v>
                </c:pt>
                <c:pt idx="685">
                  <c:v>248.71962845270099</c:v>
                </c:pt>
                <c:pt idx="686">
                  <c:v>255.52578831581513</c:v>
                </c:pt>
                <c:pt idx="687">
                  <c:v>267.12784160351987</c:v>
                </c:pt>
                <c:pt idx="688">
                  <c:v>268.3471033977022</c:v>
                </c:pt>
                <c:pt idx="689">
                  <c:v>274.45025666096302</c:v>
                </c:pt>
                <c:pt idx="690">
                  <c:v>269.6220972867269</c:v>
                </c:pt>
                <c:pt idx="691">
                  <c:v>270.60669762894156</c:v>
                </c:pt>
                <c:pt idx="692">
                  <c:v>274.58420923979463</c:v>
                </c:pt>
                <c:pt idx="693">
                  <c:v>280.09093131263751</c:v>
                </c:pt>
                <c:pt idx="694">
                  <c:v>284.57394280127107</c:v>
                </c:pt>
                <c:pt idx="695">
                  <c:v>285.79711561965286</c:v>
                </c:pt>
                <c:pt idx="696">
                  <c:v>279.12490833537032</c:v>
                </c:pt>
                <c:pt idx="697">
                  <c:v>279.97946712295283</c:v>
                </c:pt>
                <c:pt idx="698">
                  <c:v>283.19628452701056</c:v>
                </c:pt>
                <c:pt idx="699">
                  <c:v>285.04522121730639</c:v>
                </c:pt>
                <c:pt idx="700">
                  <c:v>291.20312881935968</c:v>
                </c:pt>
                <c:pt idx="701">
                  <c:v>292.65020777316067</c:v>
                </c:pt>
                <c:pt idx="702">
                  <c:v>292.01759960889768</c:v>
                </c:pt>
                <c:pt idx="703">
                  <c:v>291.36739183573707</c:v>
                </c:pt>
                <c:pt idx="704">
                  <c:v>303.02322170618436</c:v>
                </c:pt>
                <c:pt idx="705">
                  <c:v>300.56905402102183</c:v>
                </c:pt>
                <c:pt idx="706">
                  <c:v>308.8095820092887</c:v>
                </c:pt>
                <c:pt idx="707">
                  <c:v>307.32632608164266</c:v>
                </c:pt>
                <c:pt idx="708">
                  <c:v>305.27206062087515</c:v>
                </c:pt>
                <c:pt idx="709">
                  <c:v>305.09313126374974</c:v>
                </c:pt>
                <c:pt idx="710">
                  <c:v>310.81887069176247</c:v>
                </c:pt>
                <c:pt idx="711">
                  <c:v>313.57809826448306</c:v>
                </c:pt>
                <c:pt idx="712">
                  <c:v>309.484233683696</c:v>
                </c:pt>
                <c:pt idx="713">
                  <c:v>309.94769005133224</c:v>
                </c:pt>
                <c:pt idx="714">
                  <c:v>318.60669762894162</c:v>
                </c:pt>
                <c:pt idx="715">
                  <c:v>315.10730872647275</c:v>
                </c:pt>
                <c:pt idx="716">
                  <c:v>321.61231972622824</c:v>
                </c:pt>
                <c:pt idx="717">
                  <c:v>322.32705939867992</c:v>
                </c:pt>
                <c:pt idx="718">
                  <c:v>312.15252994377897</c:v>
                </c:pt>
                <c:pt idx="719">
                  <c:v>311.27841603519914</c:v>
                </c:pt>
                <c:pt idx="720">
                  <c:v>315.91102419946219</c:v>
                </c:pt>
                <c:pt idx="721">
                  <c:v>309.93791249083347</c:v>
                </c:pt>
                <c:pt idx="722">
                  <c:v>299.27059398680024</c:v>
                </c:pt>
                <c:pt idx="723">
                  <c:v>295.79858225372766</c:v>
                </c:pt>
                <c:pt idx="724">
                  <c:v>302.67905157663159</c:v>
                </c:pt>
                <c:pt idx="725">
                  <c:v>306.40136885846971</c:v>
                </c:pt>
                <c:pt idx="726">
                  <c:v>304.95037888046926</c:v>
                </c:pt>
                <c:pt idx="727">
                  <c:v>307.81715961867508</c:v>
                </c:pt>
                <c:pt idx="728">
                  <c:v>312.80273771693959</c:v>
                </c:pt>
                <c:pt idx="729">
                  <c:v>313.22708384258124</c:v>
                </c:pt>
                <c:pt idx="730">
                  <c:v>310.57149841114637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64-4F22-B652-045BE8BA3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087176008"/>
        <c:axId val="-2086995112"/>
      </c:lineChart>
      <c:dateAx>
        <c:axId val="-2087176008"/>
        <c:scaling>
          <c:orientation val="minMax"/>
        </c:scaling>
        <c:delete val="0"/>
        <c:axPos val="b"/>
        <c:numFmt formatCode="dd\.mm\.yyyy" sourceLinked="1"/>
        <c:majorTickMark val="out"/>
        <c:minorTickMark val="none"/>
        <c:tickLblPos val="nextTo"/>
        <c:crossAx val="-2086995112"/>
        <c:crosses val="autoZero"/>
        <c:auto val="1"/>
        <c:lblOffset val="100"/>
        <c:baseTimeUnit val="days"/>
      </c:dateAx>
      <c:valAx>
        <c:axId val="-2086995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8717600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8740157499999996" r="0.78740157499999996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Dow Jones Europe Infrastructure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30292104111986001"/>
          <c:y val="0.34045858850977001"/>
          <c:w val="0.38860258092738398"/>
          <c:h val="0.64767096821230696"/>
        </c:manualLayout>
      </c:layout>
      <c:pieChart>
        <c:varyColors val="1"/>
        <c:ser>
          <c:idx val="0"/>
          <c:order val="0"/>
          <c:explosion val="28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1323-4806-9467-BBA4AE1ADC5C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3-1323-4806-9467-BBA4AE1ADC5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1323-4806-9467-BBA4AE1ADC5C}"/>
              </c:ext>
            </c:extLst>
          </c:dPt>
          <c:dPt>
            <c:idx val="3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7-1323-4806-9467-BBA4AE1ADC5C}"/>
              </c:ext>
            </c:extLst>
          </c:dPt>
          <c:dLbls>
            <c:dLbl>
              <c:idx val="0"/>
              <c:layout>
                <c:manualLayout>
                  <c:x val="9.73617672790901E-2"/>
                  <c:y val="4.750656167978999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23-4806-9467-BBA4AE1ADC5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'Continents Sector'!$B$17:$B$21</c:f>
              <c:strCache>
                <c:ptCount val="5"/>
                <c:pt idx="0">
                  <c:v>Oil &amp; Gas Storage &amp; Transportation </c:v>
                </c:pt>
                <c:pt idx="1">
                  <c:v>Transportation</c:v>
                </c:pt>
                <c:pt idx="2">
                  <c:v>Utilities</c:v>
                </c:pt>
                <c:pt idx="3">
                  <c:v>Communication</c:v>
                </c:pt>
                <c:pt idx="4">
                  <c:v>Other Infrastructure </c:v>
                </c:pt>
              </c:strCache>
            </c:strRef>
          </c:cat>
          <c:val>
            <c:numRef>
              <c:f>'Continents Sector'!$C$17:$C$21</c:f>
              <c:numCache>
                <c:formatCode>0.00%</c:formatCode>
                <c:ptCount val="5"/>
                <c:pt idx="0">
                  <c:v>0.11560542797494781</c:v>
                </c:pt>
                <c:pt idx="1">
                  <c:v>0.33520354906054278</c:v>
                </c:pt>
                <c:pt idx="2">
                  <c:v>0.39500695894224086</c:v>
                </c:pt>
                <c:pt idx="3">
                  <c:v>9.7077244258872653E-2</c:v>
                </c:pt>
                <c:pt idx="4">
                  <c:v>5.7106819763395968E-2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323-4806-9467-BBA4AE1ADC5C}"/>
            </c:ext>
          </c:extLst>
        </c:ser>
        <c:ser>
          <c:idx val="1"/>
          <c:order val="1"/>
          <c:explosion val="25"/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'Continents Sector'!$B$17:$B$21</c:f>
              <c:strCache>
                <c:ptCount val="5"/>
                <c:pt idx="0">
                  <c:v>Oil &amp; Gas Storage &amp; Transportation </c:v>
                </c:pt>
                <c:pt idx="1">
                  <c:v>Transportation</c:v>
                </c:pt>
                <c:pt idx="2">
                  <c:v>Utilities</c:v>
                </c:pt>
                <c:pt idx="3">
                  <c:v>Communication</c:v>
                </c:pt>
                <c:pt idx="4">
                  <c:v>Other Infrastructure </c:v>
                </c:pt>
              </c:strCache>
            </c:strRef>
          </c:cat>
          <c:val>
            <c:numRef>
              <c:f>'Continents Sector'!$D$17:$D$21</c:f>
              <c:numCache>
                <c:formatCode>General</c:formatCode>
                <c:ptCount val="5"/>
                <c:pt idx="0">
                  <c:v>26.58</c:v>
                </c:pt>
                <c:pt idx="1">
                  <c:v>77.069999999999993</c:v>
                </c:pt>
                <c:pt idx="2">
                  <c:v>90.820000000000007</c:v>
                </c:pt>
                <c:pt idx="3">
                  <c:v>22.32</c:v>
                </c:pt>
                <c:pt idx="4">
                  <c:v>13.13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323-4806-9467-BBA4AE1ADC5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Dow Jones North America Infrastructure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explosion val="25"/>
          <c:dPt>
            <c:idx val="0"/>
            <c:bubble3D val="0"/>
            <c:spPr>
              <a:solidFill>
                <a:srgbClr val="C4BD97"/>
              </a:solidFill>
            </c:spPr>
            <c:extLst>
              <c:ext xmlns:c16="http://schemas.microsoft.com/office/drawing/2014/chart" uri="{C3380CC4-5D6E-409C-BE32-E72D297353CC}">
                <c16:uniqueId val="{00000001-3F6D-49B9-95DC-C18C7289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3F6D-49B9-95DC-C18C7289DA97}"/>
              </c:ext>
            </c:extLst>
          </c:dPt>
          <c:dLbls>
            <c:dLbl>
              <c:idx val="0"/>
              <c:layout>
                <c:manualLayout>
                  <c:x val="0.10113615485564301"/>
                  <c:y val="1.359871682706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6D-49B9-95DC-C18C7289DA97}"/>
                </c:ext>
              </c:extLst>
            </c:dLbl>
            <c:dLbl>
              <c:idx val="3"/>
              <c:layout>
                <c:manualLayout>
                  <c:x val="-1.0126582278481001E-2"/>
                  <c:y val="0.17326732673267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6D-49B9-95DC-C18C7289DA9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'Continents Sector'!$B$37:$B$41</c:f>
              <c:strCache>
                <c:ptCount val="5"/>
                <c:pt idx="0">
                  <c:v>Oil &amp; Gas Storage and Transportation</c:v>
                </c:pt>
                <c:pt idx="1">
                  <c:v>Transportation</c:v>
                </c:pt>
                <c:pt idx="2">
                  <c:v>Utilities </c:v>
                </c:pt>
                <c:pt idx="3">
                  <c:v>Communication</c:v>
                </c:pt>
                <c:pt idx="4">
                  <c:v>Other Infrastructure </c:v>
                </c:pt>
              </c:strCache>
            </c:strRef>
          </c:cat>
          <c:val>
            <c:numRef>
              <c:f>'Continents Sector'!$C$37:$C$41</c:f>
              <c:numCache>
                <c:formatCode>0.00%</c:formatCode>
                <c:ptCount val="5"/>
                <c:pt idx="0">
                  <c:v>0.43659417099586162</c:v>
                </c:pt>
                <c:pt idx="1">
                  <c:v>2.1273223562560534E-2</c:v>
                </c:pt>
                <c:pt idx="2">
                  <c:v>0.38420357488773443</c:v>
                </c:pt>
                <c:pt idx="3">
                  <c:v>0</c:v>
                </c:pt>
                <c:pt idx="4">
                  <c:v>0.15792903055384344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6D-49B9-95DC-C18C7289DA97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Dow Jones Asian-Pasific Infrastructure </a:t>
            </a:r>
          </a:p>
        </c:rich>
      </c:tx>
      <c:layout>
        <c:manualLayout>
          <c:xMode val="edge"/>
          <c:yMode val="edge"/>
          <c:x val="0.20556933508311501"/>
          <c:y val="3.703703703703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240441819772498"/>
          <c:y val="0.44046551472732598"/>
          <c:w val="0.33519138232720902"/>
          <c:h val="0.55865230387868203"/>
        </c:manualLayout>
      </c:layout>
      <c:pieChart>
        <c:varyColors val="1"/>
        <c:ser>
          <c:idx val="0"/>
          <c:order val="0"/>
          <c:explosion val="25"/>
          <c:dPt>
            <c:idx val="1"/>
            <c:bubble3D val="0"/>
            <c:spPr>
              <a:solidFill>
                <a:srgbClr val="C0504D"/>
              </a:solidFill>
            </c:spPr>
            <c:extLst>
              <c:ext xmlns:c16="http://schemas.microsoft.com/office/drawing/2014/chart" uri="{C3380CC4-5D6E-409C-BE32-E72D297353CC}">
                <c16:uniqueId val="{00000001-86FD-4A3C-B4EF-8F84840A7BE4}"/>
              </c:ext>
            </c:extLst>
          </c:dPt>
          <c:dLbls>
            <c:dLbl>
              <c:idx val="0"/>
              <c:layout>
                <c:manualLayout>
                  <c:x val="0.36909623797025398"/>
                  <c:y val="0.154444808982211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FD-4A3C-B4EF-8F84840A7BE4}"/>
                </c:ext>
              </c:extLst>
            </c:dLbl>
            <c:dLbl>
              <c:idx val="4"/>
              <c:layout>
                <c:manualLayout>
                  <c:x val="0.222568460192476"/>
                  <c:y val="-6.2939268008165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FD-4A3C-B4EF-8F84840A7BE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'Continents Sector'!$B$56:$B$60</c:f>
              <c:strCache>
                <c:ptCount val="5"/>
                <c:pt idx="0">
                  <c:v>Oil &amp; Gas Storage and Transportation</c:v>
                </c:pt>
                <c:pt idx="1">
                  <c:v>Transportation</c:v>
                </c:pt>
                <c:pt idx="2">
                  <c:v>Utilities </c:v>
                </c:pt>
                <c:pt idx="3">
                  <c:v>Communication</c:v>
                </c:pt>
                <c:pt idx="4">
                  <c:v>Other Infrastructure </c:v>
                </c:pt>
              </c:strCache>
            </c:strRef>
          </c:cat>
          <c:val>
            <c:numRef>
              <c:f>'Continents Sector'!$C$56:$C$60</c:f>
              <c:numCache>
                <c:formatCode>0.00%</c:formatCode>
                <c:ptCount val="5"/>
                <c:pt idx="0" formatCode="0%">
                  <c:v>0</c:v>
                </c:pt>
                <c:pt idx="1">
                  <c:v>0.44637496007665284</c:v>
                </c:pt>
                <c:pt idx="2">
                  <c:v>0.51549025870328979</c:v>
                </c:pt>
                <c:pt idx="3">
                  <c:v>0</c:v>
                </c:pt>
                <c:pt idx="4">
                  <c:v>3.8134781220057493E-2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FD-4A3C-B4EF-8F84840A7BE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114300</xdr:colOff>
      <xdr:row>30</xdr:row>
      <xdr:rowOff>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0</xdr:row>
      <xdr:rowOff>0</xdr:rowOff>
    </xdr:from>
    <xdr:to>
      <xdr:col>25</xdr:col>
      <xdr:colOff>114300</xdr:colOff>
      <xdr:row>20</xdr:row>
      <xdr:rowOff>152400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22</xdr:row>
      <xdr:rowOff>0</xdr:rowOff>
    </xdr:from>
    <xdr:to>
      <xdr:col>24</xdr:col>
      <xdr:colOff>647700</xdr:colOff>
      <xdr:row>53</xdr:row>
      <xdr:rowOff>25400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9</xdr:col>
      <xdr:colOff>114300</xdr:colOff>
      <xdr:row>62</xdr:row>
      <xdr:rowOff>101600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6350</xdr:colOff>
      <xdr:row>7</xdr:row>
      <xdr:rowOff>176212</xdr:rowOff>
    </xdr:from>
    <xdr:to>
      <xdr:col>16</xdr:col>
      <xdr:colOff>311150</xdr:colOff>
      <xdr:row>22</xdr:row>
      <xdr:rowOff>74612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609600</xdr:colOff>
      <xdr:row>23</xdr:row>
      <xdr:rowOff>87312</xdr:rowOff>
    </xdr:from>
    <xdr:to>
      <xdr:col>16</xdr:col>
      <xdr:colOff>241300</xdr:colOff>
      <xdr:row>37</xdr:row>
      <xdr:rowOff>163512</xdr:rowOff>
    </xdr:to>
    <xdr:graphicFrame macro="">
      <xdr:nvGraphicFramePr>
        <xdr:cNvPr id="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9525</xdr:colOff>
      <xdr:row>44</xdr:row>
      <xdr:rowOff>109537</xdr:rowOff>
    </xdr:from>
    <xdr:to>
      <xdr:col>16</xdr:col>
      <xdr:colOff>314325</xdr:colOff>
      <xdr:row>59</xdr:row>
      <xdr:rowOff>7937</xdr:rowOff>
    </xdr:to>
    <xdr:graphicFrame macro="">
      <xdr:nvGraphicFramePr>
        <xdr:cNvPr id="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idarlienagenturer/Dropbox/Master%20thesis/A&amp;J%20Excel/Performance&amp;Spanning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Weights"/>
      <sheetName val="Base Portfolio Market"/>
      <sheetName val="Base Portfolio2"/>
      <sheetName val="Base Portfolio3"/>
      <sheetName val="Base Portfolio4"/>
      <sheetName val="Base Portfolio5"/>
      <sheetName val="Infra Portfolio Market"/>
      <sheetName val="Infra Portfolio Sector"/>
      <sheetName val="Infra Portfolio 3"/>
      <sheetName val="Infra Portfolio4"/>
      <sheetName val="Infra Portfolio5"/>
      <sheetName val="Ark1"/>
    </sheetNames>
    <sheetDataSet>
      <sheetData sheetId="0">
        <row r="3">
          <cell r="W3">
            <v>2.2692307692307693E-4</v>
          </cell>
        </row>
        <row r="4">
          <cell r="W4">
            <v>2.2499999999999997E-4</v>
          </cell>
        </row>
        <row r="5">
          <cell r="W5">
            <v>2.2115384615384616E-4</v>
          </cell>
        </row>
        <row r="6">
          <cell r="W6">
            <v>2.2307692307692306E-4</v>
          </cell>
        </row>
        <row r="7">
          <cell r="W7">
            <v>2.2115384615384616E-4</v>
          </cell>
        </row>
        <row r="8">
          <cell r="W8">
            <v>2.2307692307692306E-4</v>
          </cell>
        </row>
        <row r="9">
          <cell r="W9">
            <v>2.2499999999999997E-4</v>
          </cell>
        </row>
        <row r="10">
          <cell r="W10">
            <v>2.2884615384615383E-4</v>
          </cell>
        </row>
        <row r="11">
          <cell r="W11">
            <v>2.2115384615384616E-4</v>
          </cell>
        </row>
        <row r="12">
          <cell r="W12">
            <v>2.0961538461538462E-4</v>
          </cell>
        </row>
        <row r="13">
          <cell r="W13">
            <v>2.192307692307692E-4</v>
          </cell>
        </row>
        <row r="14">
          <cell r="W14">
            <v>2.2115384615384616E-4</v>
          </cell>
        </row>
        <row r="15">
          <cell r="W15">
            <v>2.1153846153846155E-4</v>
          </cell>
        </row>
        <row r="16">
          <cell r="W16">
            <v>2.1730769230769229E-4</v>
          </cell>
        </row>
        <row r="17">
          <cell r="W17">
            <v>2.2307692307692306E-4</v>
          </cell>
        </row>
        <row r="18">
          <cell r="W18">
            <v>2.192307692307692E-4</v>
          </cell>
        </row>
        <row r="19">
          <cell r="W19">
            <v>2.1346153846153848E-4</v>
          </cell>
        </row>
        <row r="20">
          <cell r="W20">
            <v>2.0961538461538462E-4</v>
          </cell>
        </row>
        <row r="21">
          <cell r="W21">
            <v>2.0192307692307694E-4</v>
          </cell>
        </row>
        <row r="22">
          <cell r="W22">
            <v>1.9999999999999998E-4</v>
          </cell>
        </row>
        <row r="23">
          <cell r="W23">
            <v>2.0961538461538462E-4</v>
          </cell>
        </row>
        <row r="24">
          <cell r="W24">
            <v>2.0192307692307694E-4</v>
          </cell>
        </row>
        <row r="25">
          <cell r="W25">
            <v>1.7692307692307693E-4</v>
          </cell>
        </row>
        <row r="26">
          <cell r="W26">
            <v>1.6153846153846153E-4</v>
          </cell>
        </row>
        <row r="27">
          <cell r="W27">
            <v>1.6538461538461539E-4</v>
          </cell>
        </row>
        <row r="28">
          <cell r="W28">
            <v>1.673076923076923E-4</v>
          </cell>
        </row>
        <row r="29">
          <cell r="W29">
            <v>1.6923076923076923E-4</v>
          </cell>
        </row>
        <row r="30">
          <cell r="W30">
            <v>1.7115384615384616E-4</v>
          </cell>
        </row>
        <row r="31">
          <cell r="W31">
            <v>1.75E-4</v>
          </cell>
        </row>
        <row r="32">
          <cell r="W32">
            <v>1.826923076923077E-4</v>
          </cell>
        </row>
        <row r="33">
          <cell r="W33">
            <v>1.8076923076923074E-4</v>
          </cell>
        </row>
        <row r="34">
          <cell r="W34">
            <v>1.8076923076923074E-4</v>
          </cell>
        </row>
        <row r="35">
          <cell r="W35">
            <v>1.826923076923077E-4</v>
          </cell>
        </row>
        <row r="36">
          <cell r="W36">
            <v>1.8846153846153844E-4</v>
          </cell>
        </row>
        <row r="37">
          <cell r="W37">
            <v>1.826923076923077E-4</v>
          </cell>
        </row>
        <row r="38">
          <cell r="W38">
            <v>1.8076923076923074E-4</v>
          </cell>
        </row>
        <row r="39">
          <cell r="W39">
            <v>1.7884615384615386E-4</v>
          </cell>
        </row>
        <row r="40">
          <cell r="W40">
            <v>1.7884615384615386E-4</v>
          </cell>
        </row>
        <row r="41">
          <cell r="W41">
            <v>1.7884615384615386E-4</v>
          </cell>
        </row>
        <row r="42">
          <cell r="W42">
            <v>1.7307692307692309E-4</v>
          </cell>
        </row>
        <row r="43">
          <cell r="W43">
            <v>1.75E-4</v>
          </cell>
        </row>
        <row r="44">
          <cell r="W44">
            <v>1.7884615384615386E-4</v>
          </cell>
        </row>
        <row r="45">
          <cell r="W45">
            <v>1.8076923076923074E-4</v>
          </cell>
        </row>
        <row r="46">
          <cell r="W46">
            <v>1.8076923076923074E-4</v>
          </cell>
        </row>
        <row r="47">
          <cell r="W47">
            <v>1.7884615384615386E-4</v>
          </cell>
        </row>
        <row r="48">
          <cell r="W48">
            <v>1.7884615384615386E-4</v>
          </cell>
        </row>
        <row r="49">
          <cell r="W49">
            <v>1.7884615384615386E-4</v>
          </cell>
        </row>
        <row r="50">
          <cell r="W50">
            <v>1.7692307692307693E-4</v>
          </cell>
        </row>
        <row r="51">
          <cell r="W51">
            <v>1.7307692307692309E-4</v>
          </cell>
        </row>
        <row r="52">
          <cell r="W52">
            <v>1.6923076923076923E-4</v>
          </cell>
        </row>
        <row r="53">
          <cell r="W53">
            <v>1.6923076923076923E-4</v>
          </cell>
        </row>
        <row r="54">
          <cell r="W54">
            <v>1.75E-4</v>
          </cell>
        </row>
        <row r="55">
          <cell r="W55">
            <v>1.6923076923076923E-4</v>
          </cell>
        </row>
        <row r="56">
          <cell r="W56">
            <v>1.673076923076923E-4</v>
          </cell>
        </row>
        <row r="57">
          <cell r="W57">
            <v>1.673076923076923E-4</v>
          </cell>
        </row>
        <row r="58">
          <cell r="W58">
            <v>1.7307692307692309E-4</v>
          </cell>
        </row>
        <row r="59">
          <cell r="W59">
            <v>1.7692307692307693E-4</v>
          </cell>
        </row>
        <row r="60">
          <cell r="W60">
            <v>1.7692307692307693E-4</v>
          </cell>
        </row>
        <row r="61">
          <cell r="W61">
            <v>1.7692307692307693E-4</v>
          </cell>
        </row>
        <row r="62">
          <cell r="W62">
            <v>1.8076923076923074E-4</v>
          </cell>
        </row>
        <row r="63">
          <cell r="W63">
            <v>1.8076923076923074E-4</v>
          </cell>
        </row>
        <row r="64">
          <cell r="W64">
            <v>1.8076923076923074E-4</v>
          </cell>
        </row>
        <row r="65">
          <cell r="W65">
            <v>1.7884615384615386E-4</v>
          </cell>
        </row>
        <row r="66">
          <cell r="W66">
            <v>1.7884615384615386E-4</v>
          </cell>
        </row>
        <row r="67">
          <cell r="W67">
            <v>1.7884615384615386E-4</v>
          </cell>
        </row>
        <row r="68">
          <cell r="W68">
            <v>1.7884615384615386E-4</v>
          </cell>
        </row>
        <row r="69">
          <cell r="W69">
            <v>1.7884615384615386E-4</v>
          </cell>
        </row>
        <row r="70">
          <cell r="W70">
            <v>1.8461538461538461E-4</v>
          </cell>
        </row>
        <row r="71">
          <cell r="W71">
            <v>1.8461538461538461E-4</v>
          </cell>
        </row>
        <row r="72">
          <cell r="W72">
            <v>1.9230769230769231E-4</v>
          </cell>
        </row>
        <row r="73">
          <cell r="W73">
            <v>1.9615384615384617E-4</v>
          </cell>
        </row>
        <row r="74">
          <cell r="W74">
            <v>1.9807692307692308E-4</v>
          </cell>
        </row>
        <row r="75">
          <cell r="W75">
            <v>2.0384615384615385E-4</v>
          </cell>
        </row>
        <row r="76">
          <cell r="W76">
            <v>2.2307692307692306E-4</v>
          </cell>
        </row>
        <row r="77">
          <cell r="W77">
            <v>2.403846153846154E-4</v>
          </cell>
        </row>
        <row r="78">
          <cell r="W78">
            <v>2.5000000000000001E-4</v>
          </cell>
        </row>
        <row r="79">
          <cell r="W79">
            <v>2.4807692307692307E-4</v>
          </cell>
        </row>
        <row r="80">
          <cell r="W80">
            <v>2.5000000000000001E-4</v>
          </cell>
        </row>
        <row r="81">
          <cell r="W81">
            <v>2.4615384615384614E-4</v>
          </cell>
        </row>
        <row r="82">
          <cell r="W82">
            <v>2.5384615384615387E-4</v>
          </cell>
        </row>
        <row r="83">
          <cell r="W83">
            <v>2.5769230769230768E-4</v>
          </cell>
        </row>
        <row r="84">
          <cell r="W84">
            <v>2.7500000000000002E-4</v>
          </cell>
        </row>
        <row r="85">
          <cell r="W85">
            <v>2.7884615384615383E-4</v>
          </cell>
        </row>
        <row r="86">
          <cell r="W86">
            <v>2.7692307692307689E-4</v>
          </cell>
        </row>
        <row r="87">
          <cell r="W87">
            <v>2.8076923076923076E-4</v>
          </cell>
        </row>
        <row r="88">
          <cell r="W88">
            <v>2.923076923076923E-4</v>
          </cell>
        </row>
        <row r="89">
          <cell r="W89">
            <v>3.0384615384615389E-4</v>
          </cell>
        </row>
        <row r="90">
          <cell r="W90">
            <v>3.1346153846153845E-4</v>
          </cell>
        </row>
        <row r="91">
          <cell r="W91">
            <v>3.1730769230769231E-4</v>
          </cell>
        </row>
        <row r="92">
          <cell r="W92">
            <v>3.2499999999999999E-4</v>
          </cell>
        </row>
        <row r="93">
          <cell r="W93">
            <v>3.2499999999999999E-4</v>
          </cell>
        </row>
        <row r="94">
          <cell r="W94">
            <v>3.2307692307692305E-4</v>
          </cell>
        </row>
        <row r="95">
          <cell r="W95">
            <v>3.2692307692307697E-4</v>
          </cell>
        </row>
        <row r="96">
          <cell r="W96">
            <v>3.4615384615384619E-4</v>
          </cell>
        </row>
        <row r="97">
          <cell r="W97">
            <v>3.5961538461538466E-4</v>
          </cell>
        </row>
        <row r="98">
          <cell r="W98">
            <v>3.7500000000000001E-4</v>
          </cell>
        </row>
        <row r="99">
          <cell r="W99">
            <v>3.9230769230769234E-4</v>
          </cell>
        </row>
        <row r="100">
          <cell r="W100">
            <v>4.019230769230769E-4</v>
          </cell>
        </row>
        <row r="101">
          <cell r="W101">
            <v>4.1346153846153844E-4</v>
          </cell>
        </row>
        <row r="102">
          <cell r="W102">
            <v>4.2115384615384617E-4</v>
          </cell>
        </row>
        <row r="103">
          <cell r="W103">
            <v>4.2499999999999998E-4</v>
          </cell>
        </row>
        <row r="104">
          <cell r="W104">
            <v>4.1923076923076923E-4</v>
          </cell>
        </row>
        <row r="105">
          <cell r="W105">
            <v>4.173076923076923E-4</v>
          </cell>
        </row>
        <row r="106">
          <cell r="W106">
            <v>4.230769230769231E-4</v>
          </cell>
        </row>
        <row r="107">
          <cell r="W107">
            <v>4.4038461538461538E-4</v>
          </cell>
        </row>
        <row r="108">
          <cell r="W108">
            <v>4.4423076923076919E-4</v>
          </cell>
        </row>
        <row r="109">
          <cell r="W109">
            <v>4.4807692307692311E-4</v>
          </cell>
        </row>
        <row r="110">
          <cell r="W110">
            <v>4.5769230769230766E-4</v>
          </cell>
        </row>
        <row r="111">
          <cell r="W111">
            <v>4.7307692307692307E-4</v>
          </cell>
        </row>
        <row r="112">
          <cell r="W112">
            <v>4.7692307692307693E-4</v>
          </cell>
        </row>
        <row r="113">
          <cell r="W113">
            <v>4.8846153846153842E-4</v>
          </cell>
        </row>
        <row r="114">
          <cell r="W114">
            <v>5.0961538461538462E-4</v>
          </cell>
        </row>
        <row r="115">
          <cell r="W115">
            <v>5.1923076923076933E-4</v>
          </cell>
        </row>
        <row r="116">
          <cell r="W116">
            <v>5.1923076923076933E-4</v>
          </cell>
        </row>
        <row r="117">
          <cell r="W117">
            <v>5.2692307692307695E-4</v>
          </cell>
        </row>
        <row r="118">
          <cell r="W118">
            <v>5.3846153846153844E-4</v>
          </cell>
        </row>
        <row r="119">
          <cell r="W119">
            <v>5.3076923076923071E-4</v>
          </cell>
        </row>
        <row r="120">
          <cell r="W120">
            <v>5.2500000000000008E-4</v>
          </cell>
        </row>
        <row r="121">
          <cell r="W121">
            <v>5.2307692307692309E-4</v>
          </cell>
        </row>
        <row r="122">
          <cell r="W122">
            <v>5.4615384615384617E-4</v>
          </cell>
        </row>
        <row r="123">
          <cell r="W123">
            <v>5.4807692307692305E-4</v>
          </cell>
        </row>
        <row r="124">
          <cell r="W124">
            <v>5.423076923076923E-4</v>
          </cell>
        </row>
        <row r="125">
          <cell r="W125">
            <v>5.423076923076923E-4</v>
          </cell>
        </row>
        <row r="126">
          <cell r="W126">
            <v>5.423076923076923E-4</v>
          </cell>
        </row>
        <row r="127">
          <cell r="W127">
            <v>5.5576923076923078E-4</v>
          </cell>
        </row>
        <row r="128">
          <cell r="W128">
            <v>5.6153846153846152E-4</v>
          </cell>
        </row>
        <row r="129">
          <cell r="W129">
            <v>5.6730769230769237E-4</v>
          </cell>
        </row>
        <row r="130">
          <cell r="W130">
            <v>5.6538461538461538E-4</v>
          </cell>
        </row>
        <row r="131">
          <cell r="W131">
            <v>5.7307692307692311E-4</v>
          </cell>
        </row>
        <row r="132">
          <cell r="W132">
            <v>5.9230769230769233E-4</v>
          </cell>
        </row>
        <row r="133">
          <cell r="W133">
            <v>5.9807692307692307E-4</v>
          </cell>
        </row>
        <row r="134">
          <cell r="W134">
            <v>6.057692307692308E-4</v>
          </cell>
        </row>
        <row r="135">
          <cell r="W135">
            <v>6.2500000000000001E-4</v>
          </cell>
        </row>
        <row r="136">
          <cell r="W136">
            <v>6.4423076923076923E-4</v>
          </cell>
        </row>
        <row r="137">
          <cell r="W137">
            <v>6.5576923076923071E-4</v>
          </cell>
        </row>
        <row r="138">
          <cell r="W138">
            <v>6.6153846153846156E-4</v>
          </cell>
        </row>
        <row r="139">
          <cell r="W139">
            <v>6.6346153846153855E-4</v>
          </cell>
        </row>
        <row r="140">
          <cell r="W140">
            <v>6.6538461538461532E-4</v>
          </cell>
        </row>
        <row r="141">
          <cell r="W141">
            <v>6.5961538461538469E-4</v>
          </cell>
        </row>
        <row r="142">
          <cell r="W142">
            <v>6.576923076923077E-4</v>
          </cell>
        </row>
        <row r="143">
          <cell r="W143">
            <v>6.5384615384615394E-4</v>
          </cell>
        </row>
        <row r="144">
          <cell r="W144">
            <v>6.6153846153846156E-4</v>
          </cell>
        </row>
        <row r="145">
          <cell r="W145">
            <v>6.6153846153846156E-4</v>
          </cell>
        </row>
        <row r="146">
          <cell r="W146">
            <v>6.7884615384615379E-4</v>
          </cell>
        </row>
        <row r="147">
          <cell r="W147">
            <v>7.0384615384615386E-4</v>
          </cell>
        </row>
        <row r="148">
          <cell r="W148">
            <v>7.2499999999999995E-4</v>
          </cell>
        </row>
        <row r="149">
          <cell r="W149">
            <v>7.3461538461538456E-4</v>
          </cell>
        </row>
        <row r="150">
          <cell r="W150">
            <v>7.4423076923076916E-4</v>
          </cell>
        </row>
        <row r="151">
          <cell r="W151">
            <v>7.4615384615384615E-4</v>
          </cell>
        </row>
        <row r="152">
          <cell r="W152">
            <v>7.5384615384615377E-4</v>
          </cell>
        </row>
        <row r="153">
          <cell r="W153">
            <v>7.4423076923076916E-4</v>
          </cell>
        </row>
        <row r="154">
          <cell r="W154">
            <v>7.4615384615384615E-4</v>
          </cell>
        </row>
        <row r="155">
          <cell r="W155">
            <v>7.51923076923077E-4</v>
          </cell>
        </row>
        <row r="156">
          <cell r="W156">
            <v>7.3653846153846154E-4</v>
          </cell>
        </row>
        <row r="157">
          <cell r="W157">
            <v>7.4807692307692314E-4</v>
          </cell>
        </row>
        <row r="158">
          <cell r="W158">
            <v>7.5384615384615377E-4</v>
          </cell>
        </row>
        <row r="159">
          <cell r="W159">
            <v>7.8846153846153834E-4</v>
          </cell>
        </row>
        <row r="160">
          <cell r="W160">
            <v>8.0769230769230777E-4</v>
          </cell>
        </row>
        <row r="161">
          <cell r="W161">
            <v>8.1923076923076925E-4</v>
          </cell>
        </row>
        <row r="162">
          <cell r="W162">
            <v>8.3076923076923085E-4</v>
          </cell>
        </row>
        <row r="163">
          <cell r="W163">
            <v>8.4038461538461545E-4</v>
          </cell>
        </row>
        <row r="164">
          <cell r="W164">
            <v>8.461538461538462E-4</v>
          </cell>
        </row>
        <row r="165">
          <cell r="W165">
            <v>8.5384615384615393E-4</v>
          </cell>
        </row>
        <row r="166">
          <cell r="W166">
            <v>8.5961538461538456E-4</v>
          </cell>
        </row>
        <row r="167">
          <cell r="W167">
            <v>8.653846153846153E-4</v>
          </cell>
        </row>
        <row r="168">
          <cell r="W168">
            <v>8.6346153846153853E-4</v>
          </cell>
        </row>
        <row r="169">
          <cell r="W169">
            <v>8.653846153846153E-4</v>
          </cell>
        </row>
        <row r="170">
          <cell r="W170">
            <v>8.7692307692307679E-4</v>
          </cell>
        </row>
        <row r="171">
          <cell r="W171">
            <v>8.6730769230769229E-4</v>
          </cell>
        </row>
        <row r="172">
          <cell r="W172">
            <v>8.7692307692307679E-4</v>
          </cell>
        </row>
        <row r="173">
          <cell r="W173">
            <v>8.8076923076923076E-4</v>
          </cell>
        </row>
        <row r="174">
          <cell r="W174">
            <v>8.8653846153846161E-4</v>
          </cell>
        </row>
        <row r="175">
          <cell r="W175">
            <v>8.9615384615384622E-4</v>
          </cell>
        </row>
        <row r="176">
          <cell r="W176">
            <v>9.0192307692307696E-4</v>
          </cell>
        </row>
        <row r="177">
          <cell r="W177">
            <v>9.1153846153846168E-4</v>
          </cell>
        </row>
        <row r="178">
          <cell r="W178">
            <v>9.0576923076923083E-4</v>
          </cell>
        </row>
        <row r="179">
          <cell r="W179">
            <v>9.0576923076923083E-4</v>
          </cell>
        </row>
        <row r="180">
          <cell r="W180">
            <v>9.076923076923077E-4</v>
          </cell>
        </row>
        <row r="181">
          <cell r="W181">
            <v>9.1153846153846168E-4</v>
          </cell>
        </row>
        <row r="182">
          <cell r="W182">
            <v>9.1538461538461533E-4</v>
          </cell>
        </row>
        <row r="183">
          <cell r="W183">
            <v>9.2499999999999993E-4</v>
          </cell>
        </row>
        <row r="184">
          <cell r="W184">
            <v>9.4038461538461539E-4</v>
          </cell>
        </row>
        <row r="185">
          <cell r="W185">
            <v>9.4230769230769238E-4</v>
          </cell>
        </row>
        <row r="186">
          <cell r="W186">
            <v>9.4807692307692301E-4</v>
          </cell>
        </row>
        <row r="187">
          <cell r="W187">
            <v>9.5576923076923063E-4</v>
          </cell>
        </row>
        <row r="188">
          <cell r="W188">
            <v>9.5576923076923063E-4</v>
          </cell>
        </row>
        <row r="189">
          <cell r="W189">
            <v>9.5576923076923063E-4</v>
          </cell>
        </row>
        <row r="190">
          <cell r="W190">
            <v>9.5192307692307698E-4</v>
          </cell>
        </row>
        <row r="191">
          <cell r="W191">
            <v>9.5576923076923063E-4</v>
          </cell>
        </row>
        <row r="192">
          <cell r="W192">
            <v>9.5576923076923063E-4</v>
          </cell>
        </row>
        <row r="193">
          <cell r="W193">
            <v>9.4807692307692301E-4</v>
          </cell>
        </row>
        <row r="194">
          <cell r="W194">
            <v>9.3076923076923078E-4</v>
          </cell>
        </row>
        <row r="195">
          <cell r="W195">
            <v>9.2499999999999993E-4</v>
          </cell>
        </row>
        <row r="196">
          <cell r="W196">
            <v>9.2499999999999993E-4</v>
          </cell>
        </row>
        <row r="197">
          <cell r="W197">
            <v>9.1538461538461533E-4</v>
          </cell>
        </row>
        <row r="198">
          <cell r="W198">
            <v>9.2115384615384607E-4</v>
          </cell>
        </row>
        <row r="199">
          <cell r="W199">
            <v>9.4230769230769238E-4</v>
          </cell>
        </row>
        <row r="200">
          <cell r="W200">
            <v>9.5384615384615386E-4</v>
          </cell>
        </row>
        <row r="201">
          <cell r="W201">
            <v>9.5961538461538461E-4</v>
          </cell>
        </row>
        <row r="202">
          <cell r="W202">
            <v>9.5192307692307698E-4</v>
          </cell>
        </row>
        <row r="203">
          <cell r="W203">
            <v>9.5384615384615386E-4</v>
          </cell>
        </row>
        <row r="204">
          <cell r="W204">
            <v>9.5384615384615386E-4</v>
          </cell>
        </row>
        <row r="205">
          <cell r="W205">
            <v>9.4807692307692301E-4</v>
          </cell>
        </row>
        <row r="206">
          <cell r="W206">
            <v>9.4423076923076936E-4</v>
          </cell>
        </row>
        <row r="207">
          <cell r="W207">
            <v>9.3461538461538465E-4</v>
          </cell>
        </row>
        <row r="208">
          <cell r="W208">
            <v>9.2499999999999993E-4</v>
          </cell>
        </row>
        <row r="209">
          <cell r="W209">
            <v>9.3076923076923078E-4</v>
          </cell>
        </row>
        <row r="210">
          <cell r="W210">
            <v>9.3653846153846153E-4</v>
          </cell>
        </row>
        <row r="211">
          <cell r="W211">
            <v>9.4615384615384613E-4</v>
          </cell>
        </row>
        <row r="212">
          <cell r="W212">
            <v>9.5384615384615386E-4</v>
          </cell>
        </row>
        <row r="213">
          <cell r="W213">
            <v>9.5961538461538461E-4</v>
          </cell>
        </row>
        <row r="214">
          <cell r="W214">
            <v>9.6153846153846159E-4</v>
          </cell>
        </row>
        <row r="215">
          <cell r="W215">
            <v>9.6153846153846159E-4</v>
          </cell>
        </row>
        <row r="216">
          <cell r="W216">
            <v>9.6538461538461524E-4</v>
          </cell>
        </row>
        <row r="217">
          <cell r="W217">
            <v>9.6730769230769244E-4</v>
          </cell>
        </row>
        <row r="218">
          <cell r="W218">
            <v>9.7115384615384609E-4</v>
          </cell>
        </row>
        <row r="219">
          <cell r="W219">
            <v>9.6346153846153847E-4</v>
          </cell>
        </row>
        <row r="220">
          <cell r="W220">
            <v>9.5576923076923063E-4</v>
          </cell>
        </row>
        <row r="221">
          <cell r="W221">
            <v>9.4807692307692301E-4</v>
          </cell>
        </row>
        <row r="222">
          <cell r="W222">
            <v>9.4615384615384613E-4</v>
          </cell>
        </row>
        <row r="223">
          <cell r="W223">
            <v>9.4615384615384613E-4</v>
          </cell>
        </row>
        <row r="224">
          <cell r="W224">
            <v>9.4423076923076936E-4</v>
          </cell>
        </row>
        <row r="225">
          <cell r="W225">
            <v>9.4038461538461539E-4</v>
          </cell>
        </row>
        <row r="226">
          <cell r="W226">
            <v>9.3461538461538465E-4</v>
          </cell>
        </row>
        <row r="227">
          <cell r="W227">
            <v>9.2884615384615391E-4</v>
          </cell>
        </row>
        <row r="228">
          <cell r="W228">
            <v>9.173076923076922E-4</v>
          </cell>
        </row>
        <row r="229">
          <cell r="W229">
            <v>9.1346153846153845E-4</v>
          </cell>
        </row>
        <row r="230">
          <cell r="W230">
            <v>9.0192307692307696E-4</v>
          </cell>
        </row>
        <row r="231">
          <cell r="W231">
            <v>9.173076923076922E-4</v>
          </cell>
        </row>
        <row r="232">
          <cell r="W232">
            <v>8.9999999999999987E-4</v>
          </cell>
        </row>
        <row r="233">
          <cell r="W233">
            <v>8.980769230769231E-4</v>
          </cell>
        </row>
        <row r="234">
          <cell r="W234">
            <v>8.7115384615384615E-4</v>
          </cell>
        </row>
        <row r="235">
          <cell r="W235">
            <v>8.7692307692307679E-4</v>
          </cell>
        </row>
        <row r="236">
          <cell r="W236">
            <v>8.980769230769231E-4</v>
          </cell>
        </row>
        <row r="237">
          <cell r="W237">
            <v>9.2499999999999993E-4</v>
          </cell>
        </row>
        <row r="238">
          <cell r="W238">
            <v>9.2692307692307692E-4</v>
          </cell>
        </row>
        <row r="239">
          <cell r="W239">
            <v>9.2884615384615391E-4</v>
          </cell>
        </row>
        <row r="240">
          <cell r="W240">
            <v>9.2692307692307692E-4</v>
          </cell>
        </row>
        <row r="241">
          <cell r="W241">
            <v>9.173076923076922E-4</v>
          </cell>
        </row>
        <row r="242">
          <cell r="W242">
            <v>9.0192307692307696E-4</v>
          </cell>
        </row>
        <row r="243">
          <cell r="W243">
            <v>7.9038461538461543E-4</v>
          </cell>
        </row>
        <row r="244">
          <cell r="W244">
            <v>6.9615384615384624E-4</v>
          </cell>
        </row>
        <row r="245">
          <cell r="W245">
            <v>7.8076923076923072E-4</v>
          </cell>
        </row>
        <row r="246">
          <cell r="W246">
            <v>8.0384615384615379E-4</v>
          </cell>
        </row>
        <row r="247">
          <cell r="W247">
            <v>7.5576923076923076E-4</v>
          </cell>
        </row>
        <row r="248">
          <cell r="W248">
            <v>7.3461538461538456E-4</v>
          </cell>
        </row>
        <row r="249">
          <cell r="W249">
            <v>7.0961538461538471E-4</v>
          </cell>
        </row>
        <row r="250">
          <cell r="W250">
            <v>7.4230769230769218E-4</v>
          </cell>
        </row>
        <row r="251">
          <cell r="W251">
            <v>7.6923076923076923E-4</v>
          </cell>
        </row>
        <row r="252">
          <cell r="W252">
            <v>7.5576923076923076E-4</v>
          </cell>
        </row>
        <row r="253">
          <cell r="W253">
            <v>7.4038461538461541E-4</v>
          </cell>
        </row>
        <row r="254">
          <cell r="W254">
            <v>7.2499999999999995E-4</v>
          </cell>
        </row>
        <row r="255">
          <cell r="W255">
            <v>6.5961538461538469E-4</v>
          </cell>
        </row>
        <row r="256">
          <cell r="W256">
            <v>6.3846153846153848E-4</v>
          </cell>
        </row>
        <row r="257">
          <cell r="W257">
            <v>6.0961538461538455E-4</v>
          </cell>
        </row>
        <row r="258">
          <cell r="W258">
            <v>5.8076923076923084E-4</v>
          </cell>
        </row>
        <row r="259">
          <cell r="W259">
            <v>5.7884615384615385E-4</v>
          </cell>
        </row>
        <row r="260">
          <cell r="W260">
            <v>5.4807692307692305E-4</v>
          </cell>
        </row>
        <row r="261">
          <cell r="W261">
            <v>5.6153846153846152E-4</v>
          </cell>
        </row>
        <row r="262">
          <cell r="W262">
            <v>6.0961538461538455E-4</v>
          </cell>
        </row>
        <row r="263">
          <cell r="W263">
            <v>6.1346153846153842E-4</v>
          </cell>
        </row>
        <row r="264">
          <cell r="W264">
            <v>6.0384615384615392E-4</v>
          </cell>
        </row>
        <row r="265">
          <cell r="W265">
            <v>5.7884615384615385E-4</v>
          </cell>
        </row>
        <row r="266">
          <cell r="W266">
            <v>4.3461538461538458E-4</v>
          </cell>
        </row>
        <row r="267">
          <cell r="W267">
            <v>4.0961538461538463E-4</v>
          </cell>
        </row>
        <row r="268">
          <cell r="W268">
            <v>4.1153846153846156E-4</v>
          </cell>
        </row>
        <row r="269">
          <cell r="W269">
            <v>4.2884615384615384E-4</v>
          </cell>
        </row>
        <row r="270">
          <cell r="W270">
            <v>4.1923076923076923E-4</v>
          </cell>
        </row>
        <row r="271">
          <cell r="W271">
            <v>3.7884615384615382E-4</v>
          </cell>
        </row>
        <row r="272">
          <cell r="W272">
            <v>2.923076923076923E-4</v>
          </cell>
        </row>
        <row r="273">
          <cell r="W273">
            <v>2.5769230769230768E-4</v>
          </cell>
        </row>
        <row r="274">
          <cell r="W274">
            <v>1.5576923076923078E-4</v>
          </cell>
        </row>
        <row r="275">
          <cell r="W275">
            <v>2.4423076923076921E-4</v>
          </cell>
        </row>
        <row r="276">
          <cell r="W276">
            <v>2.6346153846153848E-4</v>
          </cell>
        </row>
        <row r="277">
          <cell r="W277">
            <v>2.5192307692307694E-4</v>
          </cell>
        </row>
        <row r="278">
          <cell r="W278">
            <v>2.2307692307692306E-4</v>
          </cell>
        </row>
        <row r="279">
          <cell r="W279">
            <v>2.4615384615384614E-4</v>
          </cell>
        </row>
        <row r="280">
          <cell r="W280">
            <v>2.7500000000000002E-4</v>
          </cell>
        </row>
        <row r="281">
          <cell r="W281">
            <v>3.0961538461538464E-4</v>
          </cell>
        </row>
        <row r="282">
          <cell r="W282">
            <v>3.442307692307692E-4</v>
          </cell>
        </row>
        <row r="283">
          <cell r="W283">
            <v>3.5E-4</v>
          </cell>
        </row>
        <row r="284">
          <cell r="W284">
            <v>3.5769230769230773E-4</v>
          </cell>
        </row>
        <row r="285">
          <cell r="W285">
            <v>3.5E-4</v>
          </cell>
        </row>
        <row r="286">
          <cell r="W286">
            <v>3.7115384615384609E-4</v>
          </cell>
        </row>
        <row r="287">
          <cell r="W287">
            <v>3.6923076923076921E-4</v>
          </cell>
        </row>
        <row r="288">
          <cell r="W288">
            <v>3.3653846153846158E-4</v>
          </cell>
        </row>
        <row r="289">
          <cell r="W289">
            <v>3.5192307692307693E-4</v>
          </cell>
        </row>
        <row r="290">
          <cell r="W290">
            <v>3.3461538461538459E-4</v>
          </cell>
        </row>
        <row r="291">
          <cell r="W291">
            <v>2.7115384615384615E-4</v>
          </cell>
        </row>
        <row r="292">
          <cell r="W292">
            <v>3.0192307692307696E-4</v>
          </cell>
        </row>
        <row r="293">
          <cell r="W293">
            <v>3.2115384615384612E-4</v>
          </cell>
        </row>
        <row r="294">
          <cell r="W294">
            <v>3.2115384615384612E-4</v>
          </cell>
        </row>
        <row r="295">
          <cell r="W295">
            <v>3.5192307692307693E-4</v>
          </cell>
        </row>
        <row r="296">
          <cell r="W296">
            <v>3.3076923076923078E-4</v>
          </cell>
        </row>
        <row r="297">
          <cell r="W297">
            <v>3.2499999999999999E-4</v>
          </cell>
        </row>
        <row r="298">
          <cell r="W298">
            <v>3.2115384615384612E-4</v>
          </cell>
        </row>
        <row r="299">
          <cell r="W299">
            <v>3.076923076923077E-4</v>
          </cell>
        </row>
        <row r="300">
          <cell r="W300">
            <v>1.1923076923076923E-4</v>
          </cell>
        </row>
        <row r="301">
          <cell r="W301">
            <v>1.6153846153846153E-4</v>
          </cell>
        </row>
        <row r="302">
          <cell r="W302">
            <v>1.4615384615384615E-4</v>
          </cell>
        </row>
        <row r="303">
          <cell r="W303">
            <v>1.096153846153846E-4</v>
          </cell>
        </row>
        <row r="304">
          <cell r="W304">
            <v>8.6538461538461547E-5</v>
          </cell>
        </row>
        <row r="305">
          <cell r="W305">
            <v>1.9999999999999998E-4</v>
          </cell>
        </row>
        <row r="306">
          <cell r="W306">
            <v>1.173076923076923E-4</v>
          </cell>
        </row>
        <row r="307">
          <cell r="W307">
            <v>7.5000000000000007E-5</v>
          </cell>
        </row>
        <row r="308">
          <cell r="W308">
            <v>4.0384615384615382E-5</v>
          </cell>
        </row>
        <row r="309">
          <cell r="W309">
            <v>1.3461538461538463E-5</v>
          </cell>
        </row>
        <row r="310">
          <cell r="W310">
            <v>1.3461538461538463E-5</v>
          </cell>
        </row>
        <row r="311">
          <cell r="W311">
            <v>7.6923076923076919E-6</v>
          </cell>
        </row>
        <row r="312">
          <cell r="W312">
            <v>3.8461538461538459E-6</v>
          </cell>
        </row>
        <row r="313">
          <cell r="W313">
            <v>5.7692307692307689E-6</v>
          </cell>
        </row>
        <row r="314">
          <cell r="W314">
            <v>3.8461538461538459E-6</v>
          </cell>
        </row>
        <row r="315">
          <cell r="W315">
            <v>1.7307692307692306E-5</v>
          </cell>
        </row>
        <row r="316">
          <cell r="W316">
            <v>2.1153846153846154E-5</v>
          </cell>
        </row>
        <row r="317">
          <cell r="W317">
            <v>2.3076923076923076E-5</v>
          </cell>
        </row>
        <row r="318">
          <cell r="W318">
            <v>2.1153846153846154E-5</v>
          </cell>
        </row>
        <row r="319">
          <cell r="W319">
            <v>3.6538461538461537E-5</v>
          </cell>
        </row>
        <row r="320">
          <cell r="W320">
            <v>5.5769230769230765E-5</v>
          </cell>
        </row>
        <row r="321">
          <cell r="W321">
            <v>5.7692307692307691E-5</v>
          </cell>
        </row>
        <row r="322">
          <cell r="W322">
            <v>5.7692307692307691E-5</v>
          </cell>
        </row>
        <row r="323">
          <cell r="W323">
            <v>5.5769230769230765E-5</v>
          </cell>
        </row>
        <row r="324">
          <cell r="W324">
            <v>4.6153846153846151E-5</v>
          </cell>
        </row>
        <row r="325">
          <cell r="W325">
            <v>4.2307692307692307E-5</v>
          </cell>
        </row>
        <row r="326">
          <cell r="W326">
            <v>4.2307692307692307E-5</v>
          </cell>
        </row>
        <row r="327">
          <cell r="W327">
            <v>3.4615384615384612E-5</v>
          </cell>
        </row>
        <row r="328">
          <cell r="W328">
            <v>4.0384615384615382E-5</v>
          </cell>
        </row>
        <row r="329">
          <cell r="W329">
            <v>3.6538461538461537E-5</v>
          </cell>
        </row>
        <row r="330">
          <cell r="W330">
            <v>2.8846153846153845E-5</v>
          </cell>
        </row>
        <row r="331">
          <cell r="W331">
            <v>2.4999999999999998E-5</v>
          </cell>
        </row>
        <row r="332">
          <cell r="W332">
            <v>2.4999999999999998E-5</v>
          </cell>
        </row>
        <row r="333">
          <cell r="W333">
            <v>3.6538461538461537E-5</v>
          </cell>
        </row>
        <row r="334">
          <cell r="W334">
            <v>3.4615384615384612E-5</v>
          </cell>
        </row>
        <row r="335">
          <cell r="W335">
            <v>3.4615384615384612E-5</v>
          </cell>
        </row>
        <row r="336">
          <cell r="W336">
            <v>3.0769230769230768E-5</v>
          </cell>
        </row>
        <row r="337">
          <cell r="W337">
            <v>2.8846153846153845E-5</v>
          </cell>
        </row>
        <row r="338">
          <cell r="W338">
            <v>3.6538461538461537E-5</v>
          </cell>
        </row>
        <row r="339">
          <cell r="W339">
            <v>3.2692307692307693E-5</v>
          </cell>
        </row>
        <row r="340">
          <cell r="W340">
            <v>3.6538461538461537E-5</v>
          </cell>
        </row>
        <row r="341">
          <cell r="W341">
            <v>3.4615384615384612E-5</v>
          </cell>
        </row>
        <row r="342">
          <cell r="W342">
            <v>3.6538461538461537E-5</v>
          </cell>
        </row>
        <row r="343">
          <cell r="W343">
            <v>3.4615384615384612E-5</v>
          </cell>
        </row>
        <row r="344">
          <cell r="W344">
            <v>3.6538461538461537E-5</v>
          </cell>
        </row>
        <row r="345">
          <cell r="W345">
            <v>3.6538461538461537E-5</v>
          </cell>
        </row>
        <row r="346">
          <cell r="W346">
            <v>3.4615384615384612E-5</v>
          </cell>
        </row>
        <row r="347">
          <cell r="W347">
            <v>3.4615384615384612E-5</v>
          </cell>
        </row>
        <row r="348">
          <cell r="W348">
            <v>3.2692307692307693E-5</v>
          </cell>
        </row>
        <row r="349">
          <cell r="W349">
            <v>3.0769230769230768E-5</v>
          </cell>
        </row>
        <row r="350">
          <cell r="W350">
            <v>2.6923076923076927E-5</v>
          </cell>
        </row>
        <row r="351">
          <cell r="W351">
            <v>2.6923076923076927E-5</v>
          </cell>
        </row>
        <row r="352">
          <cell r="W352">
            <v>2.1153846153846154E-5</v>
          </cell>
        </row>
        <row r="353">
          <cell r="W353">
            <v>2.1153846153846154E-5</v>
          </cell>
        </row>
        <row r="354">
          <cell r="W354">
            <v>2.3076923076923076E-5</v>
          </cell>
        </row>
        <row r="355">
          <cell r="W355">
            <v>1.5384615384615384E-5</v>
          </cell>
        </row>
        <row r="356">
          <cell r="W356">
            <v>1.3461538461538463E-5</v>
          </cell>
        </row>
        <row r="357">
          <cell r="W357">
            <v>1.3461538461538463E-5</v>
          </cell>
        </row>
        <row r="358">
          <cell r="W358">
            <v>1.3461538461538463E-5</v>
          </cell>
        </row>
        <row r="359">
          <cell r="W359">
            <v>9.6153846153846157E-6</v>
          </cell>
        </row>
        <row r="360">
          <cell r="W360">
            <v>1.3461538461538463E-5</v>
          </cell>
        </row>
        <row r="361">
          <cell r="W361">
            <v>7.6923076923076919E-6</v>
          </cell>
        </row>
        <row r="362">
          <cell r="W362">
            <v>9.6153846153846157E-6</v>
          </cell>
        </row>
        <row r="363">
          <cell r="W363">
            <v>1.1538461538461538E-5</v>
          </cell>
        </row>
        <row r="364">
          <cell r="W364">
            <v>5.7692307692307689E-6</v>
          </cell>
        </row>
        <row r="365">
          <cell r="W365">
            <v>7.6923076923076919E-6</v>
          </cell>
        </row>
        <row r="366">
          <cell r="W366">
            <v>1.3461538461538463E-5</v>
          </cell>
        </row>
        <row r="367">
          <cell r="W367">
            <v>1.5384615384615384E-5</v>
          </cell>
        </row>
        <row r="368">
          <cell r="W368">
            <v>1.1538461538461538E-5</v>
          </cell>
        </row>
        <row r="369">
          <cell r="W369">
            <v>9.6153846153846157E-6</v>
          </cell>
        </row>
        <row r="370">
          <cell r="W370">
            <v>1.1538461538461538E-5</v>
          </cell>
        </row>
        <row r="371">
          <cell r="W371">
            <v>1.3461538461538463E-5</v>
          </cell>
        </row>
        <row r="372">
          <cell r="W372">
            <v>1.9230769230769231E-5</v>
          </cell>
        </row>
        <row r="373">
          <cell r="W373">
            <v>2.1153846153846154E-5</v>
          </cell>
        </row>
        <row r="374">
          <cell r="W374">
            <v>1.9230769230769231E-5</v>
          </cell>
        </row>
        <row r="375">
          <cell r="W375">
            <v>2.3076923076923076E-5</v>
          </cell>
        </row>
        <row r="376">
          <cell r="W376">
            <v>2.6923076923076927E-5</v>
          </cell>
        </row>
        <row r="377">
          <cell r="W377">
            <v>3.0769230769230768E-5</v>
          </cell>
        </row>
        <row r="378">
          <cell r="W378">
            <v>3.0769230769230768E-5</v>
          </cell>
        </row>
        <row r="379">
          <cell r="W379">
            <v>2.6923076923076927E-5</v>
          </cell>
        </row>
        <row r="380">
          <cell r="W380">
            <v>3.0769230769230768E-5</v>
          </cell>
        </row>
        <row r="381">
          <cell r="W381">
            <v>3.2692307692307693E-5</v>
          </cell>
        </row>
        <row r="382">
          <cell r="W382">
            <v>3.0769230769230768E-5</v>
          </cell>
        </row>
        <row r="383">
          <cell r="W383">
            <v>3.0769230769230768E-5</v>
          </cell>
        </row>
        <row r="384">
          <cell r="W384">
            <v>3.0769230769230768E-5</v>
          </cell>
        </row>
        <row r="385">
          <cell r="W385">
            <v>2.6923076923076927E-5</v>
          </cell>
        </row>
        <row r="386">
          <cell r="W386">
            <v>3.0769230769230768E-5</v>
          </cell>
        </row>
        <row r="387">
          <cell r="W387">
            <v>3.2692307692307693E-5</v>
          </cell>
        </row>
        <row r="388">
          <cell r="W388">
            <v>3.2692307692307693E-5</v>
          </cell>
        </row>
        <row r="389">
          <cell r="W389">
            <v>2.8846153846153845E-5</v>
          </cell>
        </row>
        <row r="390">
          <cell r="W390">
            <v>1.9230769230769231E-5</v>
          </cell>
        </row>
        <row r="391">
          <cell r="W391">
            <v>1.7307692307692306E-5</v>
          </cell>
        </row>
        <row r="392">
          <cell r="W392">
            <v>2.4999999999999998E-5</v>
          </cell>
        </row>
        <row r="393">
          <cell r="W393">
            <v>3.2692307692307693E-5</v>
          </cell>
        </row>
        <row r="394">
          <cell r="W394">
            <v>3.0769230769230768E-5</v>
          </cell>
        </row>
        <row r="395">
          <cell r="W395">
            <v>2.8846153846153845E-5</v>
          </cell>
        </row>
        <row r="396">
          <cell r="W396">
            <v>3.0769230769230768E-5</v>
          </cell>
        </row>
        <row r="397">
          <cell r="W397">
            <v>2.8846153846153845E-5</v>
          </cell>
        </row>
        <row r="398">
          <cell r="W398">
            <v>3.0769230769230768E-5</v>
          </cell>
        </row>
        <row r="399">
          <cell r="W399">
            <v>2.8846153846153845E-5</v>
          </cell>
        </row>
        <row r="400">
          <cell r="W400">
            <v>3.0769230769230768E-5</v>
          </cell>
        </row>
        <row r="401">
          <cell r="W401">
            <v>3.0769230769230768E-5</v>
          </cell>
        </row>
        <row r="402">
          <cell r="W402">
            <v>2.6923076923076927E-5</v>
          </cell>
        </row>
        <row r="403">
          <cell r="W403">
            <v>2.6923076923076927E-5</v>
          </cell>
        </row>
        <row r="404">
          <cell r="W404">
            <v>2.8846153846153845E-5</v>
          </cell>
        </row>
        <row r="405">
          <cell r="W405">
            <v>3.0769230769230768E-5</v>
          </cell>
        </row>
        <row r="406">
          <cell r="W406">
            <v>3.0769230769230768E-5</v>
          </cell>
        </row>
        <row r="407">
          <cell r="W407">
            <v>2.4999999999999998E-5</v>
          </cell>
        </row>
        <row r="408">
          <cell r="W408">
            <v>2.6923076923076927E-5</v>
          </cell>
        </row>
        <row r="409">
          <cell r="W409">
            <v>2.6923076923076927E-5</v>
          </cell>
        </row>
        <row r="410">
          <cell r="W410">
            <v>2.4999999999999998E-5</v>
          </cell>
        </row>
        <row r="411">
          <cell r="W411">
            <v>2.4999999999999998E-5</v>
          </cell>
        </row>
        <row r="412">
          <cell r="W412">
            <v>2.4999999999999998E-5</v>
          </cell>
        </row>
        <row r="413">
          <cell r="W413">
            <v>2.6923076923076927E-5</v>
          </cell>
        </row>
        <row r="414">
          <cell r="W414">
            <v>3.0769230769230768E-5</v>
          </cell>
        </row>
        <row r="415">
          <cell r="W415">
            <v>3.0769230769230768E-5</v>
          </cell>
        </row>
        <row r="416">
          <cell r="W416">
            <v>2.6923076923076927E-5</v>
          </cell>
        </row>
        <row r="417">
          <cell r="W417">
            <v>2.6923076923076927E-5</v>
          </cell>
        </row>
        <row r="418">
          <cell r="W418">
            <v>2.6923076923076927E-5</v>
          </cell>
        </row>
        <row r="419">
          <cell r="W419">
            <v>2.6923076923076927E-5</v>
          </cell>
        </row>
        <row r="420">
          <cell r="W420">
            <v>2.6923076923076927E-5</v>
          </cell>
        </row>
        <row r="421">
          <cell r="W421">
            <v>2.8846153846153845E-5</v>
          </cell>
        </row>
        <row r="422">
          <cell r="W422">
            <v>3.0769230769230768E-5</v>
          </cell>
        </row>
        <row r="423">
          <cell r="W423">
            <v>3.0769230769230768E-5</v>
          </cell>
        </row>
        <row r="424">
          <cell r="W424">
            <v>2.8846153846153845E-5</v>
          </cell>
        </row>
        <row r="425">
          <cell r="W425">
            <v>2.6923076923076927E-5</v>
          </cell>
        </row>
        <row r="426">
          <cell r="W426">
            <v>2.1153846153846154E-5</v>
          </cell>
        </row>
        <row r="427">
          <cell r="W427">
            <v>2.4999999999999998E-5</v>
          </cell>
        </row>
        <row r="428">
          <cell r="W428">
            <v>2.4999999999999998E-5</v>
          </cell>
        </row>
        <row r="429">
          <cell r="W429">
            <v>1.9230769230769231E-5</v>
          </cell>
        </row>
        <row r="430">
          <cell r="W430">
            <v>1.7307692307692306E-5</v>
          </cell>
        </row>
        <row r="431">
          <cell r="W431">
            <v>1.7307692307692306E-5</v>
          </cell>
        </row>
        <row r="432">
          <cell r="W432">
            <v>1.7307692307692306E-5</v>
          </cell>
        </row>
        <row r="433">
          <cell r="W433">
            <v>9.6153846153846157E-6</v>
          </cell>
        </row>
        <row r="434">
          <cell r="W434">
            <v>1.1538461538461538E-5</v>
          </cell>
        </row>
        <row r="435">
          <cell r="W435">
            <v>1.1538461538461538E-5</v>
          </cell>
        </row>
        <row r="436">
          <cell r="W436">
            <v>1.1538461538461538E-5</v>
          </cell>
        </row>
        <row r="437">
          <cell r="W437">
            <v>5.7692307692307689E-6</v>
          </cell>
        </row>
        <row r="438">
          <cell r="W438">
            <v>5.7692307692307689E-6</v>
          </cell>
        </row>
        <row r="439">
          <cell r="W439">
            <v>9.6153846153846157E-6</v>
          </cell>
        </row>
        <row r="440">
          <cell r="W440">
            <v>1.1538461538461538E-5</v>
          </cell>
        </row>
        <row r="441">
          <cell r="W441">
            <v>9.6153846153846157E-6</v>
          </cell>
        </row>
        <row r="442">
          <cell r="W442">
            <v>9.6153846153846157E-6</v>
          </cell>
        </row>
        <row r="443">
          <cell r="W443">
            <v>9.6153846153846157E-6</v>
          </cell>
        </row>
        <row r="444">
          <cell r="W444">
            <v>3.8461538461538459E-6</v>
          </cell>
        </row>
        <row r="445">
          <cell r="W445">
            <v>3.8461538461538459E-6</v>
          </cell>
        </row>
        <row r="446">
          <cell r="W446">
            <v>3.8461538461538459E-6</v>
          </cell>
        </row>
        <row r="447">
          <cell r="W447">
            <v>3.8461538461538459E-6</v>
          </cell>
        </row>
        <row r="448">
          <cell r="W448">
            <v>5.7692307692307689E-6</v>
          </cell>
        </row>
        <row r="449">
          <cell r="W449">
            <v>1.3461538461538463E-5</v>
          </cell>
        </row>
        <row r="450">
          <cell r="W450">
            <v>7.6923076923076919E-6</v>
          </cell>
        </row>
        <row r="451">
          <cell r="W451">
            <v>5.7692307692307689E-6</v>
          </cell>
        </row>
        <row r="452">
          <cell r="W452">
            <v>3.8461538461538459E-6</v>
          </cell>
        </row>
        <row r="453">
          <cell r="W453">
            <v>1.923076923076923E-6</v>
          </cell>
        </row>
        <row r="454">
          <cell r="W454">
            <v>3.8461538461538459E-6</v>
          </cell>
        </row>
        <row r="455">
          <cell r="W455">
            <v>3.8461538461538459E-6</v>
          </cell>
        </row>
        <row r="456">
          <cell r="W456">
            <v>1.923076923076923E-6</v>
          </cell>
        </row>
        <row r="457">
          <cell r="W457">
            <v>1.923076923076923E-6</v>
          </cell>
        </row>
        <row r="458">
          <cell r="W458">
            <v>3.8461538461538459E-6</v>
          </cell>
        </row>
        <row r="459">
          <cell r="W459">
            <v>1.923076923076923E-6</v>
          </cell>
        </row>
        <row r="460">
          <cell r="W460">
            <v>3.8461538461538459E-6</v>
          </cell>
        </row>
        <row r="461">
          <cell r="W461">
            <v>5.7692307692307689E-6</v>
          </cell>
        </row>
        <row r="462">
          <cell r="W462">
            <v>3.8461538461538459E-6</v>
          </cell>
        </row>
        <row r="463">
          <cell r="W463">
            <v>1.923076923076923E-6</v>
          </cell>
        </row>
        <row r="464">
          <cell r="W464">
            <v>1.923076923076923E-6</v>
          </cell>
        </row>
        <row r="465">
          <cell r="W465">
            <v>1.923076923076923E-6</v>
          </cell>
        </row>
        <row r="466">
          <cell r="W466">
            <v>3.8461538461538459E-6</v>
          </cell>
        </row>
        <row r="467">
          <cell r="W467">
            <v>3.8461538461538459E-6</v>
          </cell>
        </row>
        <row r="468">
          <cell r="W468">
            <v>1.923076923076923E-6</v>
          </cell>
        </row>
        <row r="469">
          <cell r="W469">
            <v>1.923076923076923E-6</v>
          </cell>
        </row>
        <row r="470">
          <cell r="W470">
            <v>1.923076923076923E-6</v>
          </cell>
        </row>
        <row r="471">
          <cell r="W471">
            <v>3.8461538461538459E-6</v>
          </cell>
        </row>
        <row r="472">
          <cell r="W472">
            <v>3.8461538461538459E-6</v>
          </cell>
        </row>
        <row r="473">
          <cell r="W473">
            <v>3.8461538461538459E-6</v>
          </cell>
        </row>
        <row r="474">
          <cell r="W474">
            <v>7.6923076923076919E-6</v>
          </cell>
        </row>
        <row r="475">
          <cell r="W475">
            <v>9.6153846153846157E-6</v>
          </cell>
        </row>
        <row r="476">
          <cell r="W476">
            <v>1.3461538461538463E-5</v>
          </cell>
        </row>
        <row r="477">
          <cell r="W477">
            <v>1.7307692307692306E-5</v>
          </cell>
        </row>
        <row r="478">
          <cell r="W478">
            <v>2.1153846153846154E-5</v>
          </cell>
        </row>
        <row r="479">
          <cell r="W479">
            <v>1.7307692307692306E-5</v>
          </cell>
        </row>
        <row r="480">
          <cell r="W480">
            <v>1.7307692307692306E-5</v>
          </cell>
        </row>
        <row r="481">
          <cell r="W481">
            <v>1.5384615384615384E-5</v>
          </cell>
        </row>
        <row r="482">
          <cell r="W482">
            <v>1.7307692307692306E-5</v>
          </cell>
        </row>
        <row r="483">
          <cell r="W483">
            <v>1.7307692307692306E-5</v>
          </cell>
        </row>
        <row r="484">
          <cell r="W484">
            <v>1.5384615384615384E-5</v>
          </cell>
        </row>
        <row r="485">
          <cell r="W485">
            <v>1.5384615384615384E-5</v>
          </cell>
        </row>
        <row r="486">
          <cell r="W486">
            <v>1.7307692307692306E-5</v>
          </cell>
        </row>
        <row r="487">
          <cell r="W487">
            <v>1.5384615384615384E-5</v>
          </cell>
        </row>
        <row r="488">
          <cell r="W488">
            <v>1.7307692307692306E-5</v>
          </cell>
        </row>
        <row r="489">
          <cell r="W489">
            <v>1.7307692307692306E-5</v>
          </cell>
        </row>
        <row r="490">
          <cell r="W490">
            <v>1.9230769230769231E-5</v>
          </cell>
        </row>
        <row r="491">
          <cell r="W491">
            <v>1.7307692307692306E-5</v>
          </cell>
        </row>
        <row r="492">
          <cell r="W492">
            <v>1.7307692307692306E-5</v>
          </cell>
        </row>
        <row r="493">
          <cell r="W493">
            <v>1.5384615384615384E-5</v>
          </cell>
        </row>
        <row r="494">
          <cell r="W494">
            <v>1.7307692307692306E-5</v>
          </cell>
        </row>
        <row r="495">
          <cell r="W495">
            <v>1.9230769230769231E-5</v>
          </cell>
        </row>
        <row r="496">
          <cell r="W496">
            <v>1.7307692307692306E-5</v>
          </cell>
        </row>
        <row r="497">
          <cell r="W497">
            <v>1.7307692307692306E-5</v>
          </cell>
        </row>
        <row r="498">
          <cell r="W498">
            <v>1.7307692307692306E-5</v>
          </cell>
        </row>
        <row r="499">
          <cell r="W499">
            <v>1.9230769230769231E-5</v>
          </cell>
        </row>
        <row r="500">
          <cell r="W500">
            <v>1.7307692307692306E-5</v>
          </cell>
        </row>
        <row r="501">
          <cell r="W501">
            <v>1.9230769230769231E-5</v>
          </cell>
        </row>
        <row r="502">
          <cell r="W502">
            <v>1.9230769230769231E-5</v>
          </cell>
        </row>
        <row r="503">
          <cell r="W503">
            <v>2.1153846153846154E-5</v>
          </cell>
        </row>
        <row r="504">
          <cell r="W504">
            <v>1.9230769230769231E-5</v>
          </cell>
        </row>
        <row r="505">
          <cell r="W505">
            <v>2.1153846153846154E-5</v>
          </cell>
        </row>
        <row r="506">
          <cell r="W506">
            <v>1.9230769230769231E-5</v>
          </cell>
        </row>
        <row r="507">
          <cell r="W507">
            <v>2.1153846153846154E-5</v>
          </cell>
        </row>
        <row r="508">
          <cell r="W508">
            <v>1.9230769230769231E-5</v>
          </cell>
        </row>
        <row r="509">
          <cell r="W509">
            <v>2.1153846153846154E-5</v>
          </cell>
        </row>
        <row r="510">
          <cell r="W510">
            <v>1.9230769230769231E-5</v>
          </cell>
        </row>
        <row r="511">
          <cell r="W511">
            <v>1.9230769230769231E-5</v>
          </cell>
        </row>
        <row r="512">
          <cell r="W512">
            <v>1.9230769230769231E-5</v>
          </cell>
        </row>
        <row r="513">
          <cell r="W513">
            <v>1.9230769230769231E-5</v>
          </cell>
        </row>
        <row r="514">
          <cell r="W514">
            <v>2.1153846153846154E-5</v>
          </cell>
        </row>
        <row r="515">
          <cell r="W515">
            <v>2.1153846153846154E-5</v>
          </cell>
        </row>
        <row r="516">
          <cell r="W516">
            <v>1.9230769230769231E-5</v>
          </cell>
        </row>
        <row r="517">
          <cell r="W517">
            <v>1.7307692307692306E-5</v>
          </cell>
        </row>
        <row r="518">
          <cell r="W518">
            <v>1.7307692307692306E-5</v>
          </cell>
        </row>
        <row r="519">
          <cell r="W519">
            <v>1.7307692307692306E-5</v>
          </cell>
        </row>
        <row r="520">
          <cell r="W520">
            <v>1.9230769230769231E-5</v>
          </cell>
        </row>
        <row r="521">
          <cell r="W521">
            <v>1.3461538461538463E-5</v>
          </cell>
        </row>
        <row r="522">
          <cell r="W522">
            <v>1.1538461538461538E-5</v>
          </cell>
        </row>
        <row r="523">
          <cell r="W523">
            <v>1.1538461538461538E-5</v>
          </cell>
        </row>
        <row r="524">
          <cell r="W524">
            <v>1.3461538461538463E-5</v>
          </cell>
        </row>
        <row r="525">
          <cell r="W525">
            <v>1.3461538461538463E-5</v>
          </cell>
        </row>
        <row r="526">
          <cell r="W526">
            <v>1.5384615384615384E-5</v>
          </cell>
        </row>
        <row r="527">
          <cell r="W527">
            <v>1.5384615384615384E-5</v>
          </cell>
        </row>
        <row r="528">
          <cell r="W528">
            <v>1.3461538461538463E-5</v>
          </cell>
        </row>
        <row r="529">
          <cell r="W529">
            <v>1.3461538461538463E-5</v>
          </cell>
        </row>
        <row r="530">
          <cell r="W530">
            <v>1.9230769230769231E-5</v>
          </cell>
        </row>
        <row r="531">
          <cell r="W531">
            <v>2.4999999999999998E-5</v>
          </cell>
        </row>
        <row r="532">
          <cell r="W532">
            <v>2.3076923076923076E-5</v>
          </cell>
        </row>
        <row r="533">
          <cell r="W533">
            <v>1.9230769230769231E-5</v>
          </cell>
        </row>
        <row r="534">
          <cell r="W534">
            <v>1.9230769230769231E-5</v>
          </cell>
        </row>
        <row r="535">
          <cell r="W535">
            <v>1.3461538461538463E-5</v>
          </cell>
        </row>
        <row r="536">
          <cell r="W536">
            <v>1.5384615384615384E-5</v>
          </cell>
        </row>
        <row r="537">
          <cell r="W537">
            <v>1.3461538461538463E-5</v>
          </cell>
        </row>
        <row r="538">
          <cell r="W538">
            <v>1.3461538461538463E-5</v>
          </cell>
        </row>
        <row r="539">
          <cell r="W539">
            <v>1.1538461538461538E-5</v>
          </cell>
        </row>
        <row r="540">
          <cell r="W540">
            <v>9.6153846153846157E-6</v>
          </cell>
        </row>
        <row r="541">
          <cell r="W541">
            <v>9.6153846153846157E-6</v>
          </cell>
        </row>
        <row r="542">
          <cell r="W542">
            <v>7.6923076923076919E-6</v>
          </cell>
        </row>
        <row r="543">
          <cell r="W543">
            <v>7.6923076923076919E-6</v>
          </cell>
        </row>
        <row r="544">
          <cell r="W544">
            <v>7.6923076923076919E-6</v>
          </cell>
        </row>
        <row r="545">
          <cell r="W545">
            <v>9.6153846153846157E-6</v>
          </cell>
        </row>
        <row r="546">
          <cell r="W546">
            <v>9.6153846153846157E-6</v>
          </cell>
        </row>
        <row r="547">
          <cell r="W547">
            <v>9.6153846153846157E-6</v>
          </cell>
        </row>
        <row r="548">
          <cell r="W548">
            <v>9.6153846153846157E-6</v>
          </cell>
        </row>
        <row r="549">
          <cell r="W549">
            <v>1.1538461538461538E-5</v>
          </cell>
        </row>
        <row r="550">
          <cell r="W550">
            <v>7.6923076923076919E-6</v>
          </cell>
        </row>
        <row r="551">
          <cell r="W551">
            <v>7.6923076923076919E-6</v>
          </cell>
        </row>
        <row r="552">
          <cell r="W552">
            <v>5.7692307692307689E-6</v>
          </cell>
        </row>
        <row r="553">
          <cell r="W553">
            <v>5.7692307692307689E-6</v>
          </cell>
        </row>
        <row r="554">
          <cell r="W554">
            <v>7.6923076923076919E-6</v>
          </cell>
        </row>
        <row r="555">
          <cell r="W555">
            <v>9.6153846153846157E-6</v>
          </cell>
        </row>
        <row r="556">
          <cell r="W556">
            <v>9.6153846153846157E-6</v>
          </cell>
        </row>
        <row r="557">
          <cell r="W557">
            <v>7.6923076923076919E-6</v>
          </cell>
        </row>
        <row r="558">
          <cell r="W558">
            <v>5.7692307692307689E-6</v>
          </cell>
        </row>
        <row r="559">
          <cell r="W559">
            <v>3.8461538461538459E-6</v>
          </cell>
        </row>
        <row r="560">
          <cell r="W560">
            <v>3.8461538461538459E-6</v>
          </cell>
        </row>
        <row r="561">
          <cell r="W561">
            <v>1.923076923076923E-6</v>
          </cell>
        </row>
        <row r="562">
          <cell r="W562">
            <v>3.8461538461538459E-6</v>
          </cell>
        </row>
        <row r="563">
          <cell r="W563">
            <v>3.8461538461538459E-6</v>
          </cell>
        </row>
        <row r="564">
          <cell r="W564">
            <v>9.6153846153846157E-6</v>
          </cell>
        </row>
        <row r="565">
          <cell r="W565">
            <v>1.5384615384615384E-5</v>
          </cell>
        </row>
        <row r="566">
          <cell r="W566">
            <v>7.6923076923076919E-6</v>
          </cell>
        </row>
        <row r="567">
          <cell r="W567">
            <v>7.6923076923076919E-6</v>
          </cell>
        </row>
        <row r="568">
          <cell r="W568">
            <v>9.6153846153846157E-6</v>
          </cell>
        </row>
        <row r="569">
          <cell r="W569">
            <v>1.5384615384615384E-5</v>
          </cell>
        </row>
        <row r="570">
          <cell r="W570">
            <v>1.5384615384615384E-5</v>
          </cell>
        </row>
        <row r="571">
          <cell r="W571">
            <v>1.3461538461538463E-5</v>
          </cell>
        </row>
        <row r="572">
          <cell r="W572">
            <v>1.1538461538461538E-5</v>
          </cell>
        </row>
        <row r="573">
          <cell r="W573">
            <v>1.3461538461538463E-5</v>
          </cell>
        </row>
        <row r="574">
          <cell r="W574">
            <v>1.3461538461538463E-5</v>
          </cell>
        </row>
        <row r="575">
          <cell r="W575">
            <v>1.3461538461538463E-5</v>
          </cell>
        </row>
        <row r="576">
          <cell r="W576">
            <v>1.3461538461538463E-5</v>
          </cell>
        </row>
        <row r="577">
          <cell r="W577">
            <v>9.6153846153846157E-6</v>
          </cell>
        </row>
        <row r="578">
          <cell r="W578">
            <v>7.6923076923076919E-6</v>
          </cell>
        </row>
        <row r="579">
          <cell r="W579">
            <v>7.6923076923076919E-6</v>
          </cell>
        </row>
        <row r="580">
          <cell r="W580">
            <v>7.6923076923076919E-6</v>
          </cell>
        </row>
        <row r="581">
          <cell r="W581">
            <v>1.3461538461538463E-5</v>
          </cell>
        </row>
        <row r="582">
          <cell r="W582">
            <v>7.6923076923076919E-6</v>
          </cell>
        </row>
        <row r="583">
          <cell r="W583">
            <v>9.6153846153846157E-6</v>
          </cell>
        </row>
        <row r="584">
          <cell r="W584">
            <v>9.6153846153846157E-6</v>
          </cell>
        </row>
        <row r="585">
          <cell r="W585">
            <v>9.6153846153846157E-6</v>
          </cell>
        </row>
        <row r="586">
          <cell r="W586">
            <v>9.6153846153846157E-6</v>
          </cell>
        </row>
        <row r="587">
          <cell r="W587">
            <v>1.1538461538461538E-5</v>
          </cell>
        </row>
        <row r="588">
          <cell r="W588">
            <v>9.6153846153846157E-6</v>
          </cell>
        </row>
        <row r="589">
          <cell r="W589">
            <v>5.7692307692307689E-6</v>
          </cell>
        </row>
        <row r="590">
          <cell r="W590">
            <v>7.6923076923076919E-6</v>
          </cell>
        </row>
        <row r="591">
          <cell r="W591">
            <v>7.6923076923076919E-6</v>
          </cell>
        </row>
        <row r="592">
          <cell r="W592">
            <v>5.7692307692307689E-6</v>
          </cell>
        </row>
        <row r="593">
          <cell r="W593">
            <v>5.7692307692307689E-6</v>
          </cell>
        </row>
        <row r="594">
          <cell r="W594">
            <v>5.7692307692307689E-6</v>
          </cell>
        </row>
        <row r="595">
          <cell r="W595">
            <v>5.7692307692307689E-6</v>
          </cell>
        </row>
        <row r="596">
          <cell r="W596">
            <v>5.7692307692307689E-6</v>
          </cell>
        </row>
        <row r="597">
          <cell r="W597">
            <v>7.6923076923076919E-6</v>
          </cell>
        </row>
        <row r="598">
          <cell r="W598">
            <v>7.6923076923076919E-6</v>
          </cell>
        </row>
        <row r="599">
          <cell r="W599">
            <v>7.6923076923076919E-6</v>
          </cell>
        </row>
        <row r="600">
          <cell r="W600">
            <v>5.7692307692307689E-6</v>
          </cell>
        </row>
        <row r="601">
          <cell r="W601">
            <v>5.7692307692307689E-6</v>
          </cell>
        </row>
        <row r="602">
          <cell r="W602">
            <v>3.8461538461538459E-6</v>
          </cell>
        </row>
        <row r="603">
          <cell r="W603">
            <v>5.7692307692307689E-6</v>
          </cell>
        </row>
        <row r="604">
          <cell r="W604">
            <v>3.8461538461538459E-6</v>
          </cell>
        </row>
        <row r="605">
          <cell r="W605">
            <v>5.7692307692307689E-6</v>
          </cell>
        </row>
        <row r="606">
          <cell r="W606">
            <v>5.7692307692307689E-6</v>
          </cell>
        </row>
        <row r="607">
          <cell r="W607">
            <v>5.7692307692307689E-6</v>
          </cell>
        </row>
        <row r="608">
          <cell r="W608">
            <v>7.6923076923076919E-6</v>
          </cell>
        </row>
        <row r="609">
          <cell r="W609">
            <v>5.7692307692307689E-6</v>
          </cell>
        </row>
        <row r="610">
          <cell r="W610">
            <v>5.7692307692307689E-6</v>
          </cell>
        </row>
        <row r="611">
          <cell r="W611">
            <v>5.7692307692307689E-6</v>
          </cell>
        </row>
        <row r="612">
          <cell r="W612">
            <v>3.8461538461538459E-6</v>
          </cell>
        </row>
        <row r="613">
          <cell r="W613">
            <v>3.8461538461538459E-6</v>
          </cell>
        </row>
        <row r="614">
          <cell r="W614">
            <v>1.923076923076923E-6</v>
          </cell>
        </row>
        <row r="615">
          <cell r="W615">
            <v>3.8461538461538459E-6</v>
          </cell>
        </row>
        <row r="616">
          <cell r="W616">
            <v>1.923076923076923E-6</v>
          </cell>
        </row>
        <row r="617">
          <cell r="W617">
            <v>3.8461538461538459E-6</v>
          </cell>
        </row>
        <row r="618">
          <cell r="W618">
            <v>3.8461538461538459E-6</v>
          </cell>
        </row>
        <row r="619">
          <cell r="W619">
            <v>3.8461538461538459E-6</v>
          </cell>
        </row>
        <row r="620">
          <cell r="W620">
            <v>5.7692307692307689E-6</v>
          </cell>
        </row>
        <row r="621">
          <cell r="W621">
            <v>3.8461538461538459E-6</v>
          </cell>
        </row>
        <row r="622">
          <cell r="W622">
            <v>3.8461538461538459E-6</v>
          </cell>
        </row>
        <row r="623">
          <cell r="W623">
            <v>3.8461538461538459E-6</v>
          </cell>
        </row>
        <row r="624">
          <cell r="W624">
            <v>3.8461538461538459E-6</v>
          </cell>
        </row>
        <row r="625">
          <cell r="W625">
            <v>5.7692307692307689E-6</v>
          </cell>
        </row>
        <row r="626">
          <cell r="W626">
            <v>7.6923076923076919E-6</v>
          </cell>
        </row>
        <row r="627">
          <cell r="W627">
            <v>5.7692307692307689E-6</v>
          </cell>
        </row>
        <row r="628">
          <cell r="W628">
            <v>5.7692307692307689E-6</v>
          </cell>
        </row>
        <row r="629">
          <cell r="W629">
            <v>5.7692307692307689E-6</v>
          </cell>
        </row>
        <row r="630">
          <cell r="W630">
            <v>5.7692307692307689E-6</v>
          </cell>
        </row>
        <row r="631">
          <cell r="W631">
            <v>5.7692307692307689E-6</v>
          </cell>
        </row>
        <row r="632">
          <cell r="W632">
            <v>3.8461538461538459E-6</v>
          </cell>
        </row>
        <row r="633">
          <cell r="W633">
            <v>3.8461538461538459E-6</v>
          </cell>
        </row>
        <row r="634">
          <cell r="W634">
            <v>1.923076923076923E-6</v>
          </cell>
        </row>
        <row r="635">
          <cell r="W635">
            <v>3.8461538461538459E-6</v>
          </cell>
        </row>
        <row r="636">
          <cell r="W636">
            <v>3.8461538461538459E-6</v>
          </cell>
        </row>
        <row r="637">
          <cell r="W637">
            <v>3.8461538461538459E-6</v>
          </cell>
        </row>
        <row r="638">
          <cell r="W638">
            <v>5.7692307692307689E-6</v>
          </cell>
        </row>
        <row r="639">
          <cell r="W639">
            <v>5.7692307692307689E-6</v>
          </cell>
        </row>
        <row r="640">
          <cell r="W640">
            <v>5.7692307692307689E-6</v>
          </cell>
        </row>
        <row r="641">
          <cell r="W641">
            <v>5.7692307692307689E-6</v>
          </cell>
        </row>
        <row r="642">
          <cell r="W642">
            <v>5.7692307692307689E-6</v>
          </cell>
        </row>
        <row r="643">
          <cell r="W643">
            <v>3.8461538461538459E-6</v>
          </cell>
        </row>
        <row r="644">
          <cell r="W644">
            <v>5.7692307692307689E-6</v>
          </cell>
        </row>
        <row r="645">
          <cell r="W645">
            <v>1.923076923076923E-6</v>
          </cell>
        </row>
        <row r="646">
          <cell r="W646">
            <v>1.923076923076923E-6</v>
          </cell>
        </row>
        <row r="647">
          <cell r="W647">
            <v>3.8461538461538459E-6</v>
          </cell>
        </row>
        <row r="648">
          <cell r="W648">
            <v>3.8461538461538459E-6</v>
          </cell>
        </row>
        <row r="649">
          <cell r="W649">
            <v>1.923076923076923E-6</v>
          </cell>
        </row>
        <row r="650">
          <cell r="W650">
            <v>3.8461538461538459E-6</v>
          </cell>
        </row>
        <row r="651">
          <cell r="W651">
            <v>3.8461538461538459E-6</v>
          </cell>
        </row>
        <row r="652">
          <cell r="W652">
            <v>1.923076923076923E-6</v>
          </cell>
        </row>
        <row r="653">
          <cell r="W653">
            <v>1.923076923076923E-6</v>
          </cell>
        </row>
        <row r="654">
          <cell r="W654">
            <v>1.923076923076923E-6</v>
          </cell>
        </row>
        <row r="655">
          <cell r="W655">
            <v>3.8461538461538459E-6</v>
          </cell>
        </row>
        <row r="656">
          <cell r="W656">
            <v>3.8461538461538459E-6</v>
          </cell>
        </row>
        <row r="657">
          <cell r="W657">
            <v>7.6923076923076919E-6</v>
          </cell>
        </row>
        <row r="658">
          <cell r="W658">
            <v>1.1538461538461538E-5</v>
          </cell>
        </row>
        <row r="659">
          <cell r="W659">
            <v>1.3461538461538463E-5</v>
          </cell>
        </row>
        <row r="660">
          <cell r="W660">
            <v>1.9230769230769231E-5</v>
          </cell>
        </row>
        <row r="661">
          <cell r="W661">
            <v>9.6153846153846157E-6</v>
          </cell>
        </row>
        <row r="662">
          <cell r="W662">
            <v>1.1538461538461538E-5</v>
          </cell>
        </row>
        <row r="663">
          <cell r="W663">
            <v>7.6923076923076919E-6</v>
          </cell>
        </row>
        <row r="664">
          <cell r="W664">
            <v>7.6923076923076919E-6</v>
          </cell>
        </row>
        <row r="665">
          <cell r="W665">
            <v>7.6923076923076919E-6</v>
          </cell>
        </row>
        <row r="666">
          <cell r="W666">
            <v>0</v>
          </cell>
        </row>
        <row r="667">
          <cell r="W667">
            <v>0</v>
          </cell>
        </row>
        <row r="668">
          <cell r="W668">
            <v>0</v>
          </cell>
        </row>
        <row r="669">
          <cell r="W669">
            <v>1.923076923076923E-6</v>
          </cell>
        </row>
        <row r="670">
          <cell r="W670">
            <v>1.923076923076923E-6</v>
          </cell>
        </row>
        <row r="671">
          <cell r="W671">
            <v>9.6153846153846157E-6</v>
          </cell>
        </row>
        <row r="672">
          <cell r="W672">
            <v>1.1538461538461538E-5</v>
          </cell>
        </row>
        <row r="673">
          <cell r="W673">
            <v>2.6923076923076927E-5</v>
          </cell>
        </row>
        <row r="674">
          <cell r="W674">
            <v>2.4999999999999998E-5</v>
          </cell>
        </row>
        <row r="675">
          <cell r="W675">
            <v>3.2692307692307693E-5</v>
          </cell>
        </row>
        <row r="676">
          <cell r="W676">
            <v>4.0384615384615382E-5</v>
          </cell>
        </row>
        <row r="677">
          <cell r="W677">
            <v>4.9999999999999996E-5</v>
          </cell>
        </row>
        <row r="678">
          <cell r="W678">
            <v>4.6153846153846151E-5</v>
          </cell>
        </row>
        <row r="679">
          <cell r="W679">
            <v>4.0384615384615382E-5</v>
          </cell>
        </row>
        <row r="680">
          <cell r="W680">
            <v>4.0384615384615382E-5</v>
          </cell>
        </row>
        <row r="681">
          <cell r="W681">
            <v>4.0384615384615382E-5</v>
          </cell>
        </row>
        <row r="682">
          <cell r="W682">
            <v>4.2307692307692307E-5</v>
          </cell>
        </row>
        <row r="683">
          <cell r="W683">
            <v>5.3846153846153853E-5</v>
          </cell>
        </row>
        <row r="684">
          <cell r="W684">
            <v>6.1538461538461535E-5</v>
          </cell>
        </row>
        <row r="685">
          <cell r="W685">
            <v>6.1538461538461535E-5</v>
          </cell>
        </row>
        <row r="686">
          <cell r="W686">
            <v>5.7692307692307691E-5</v>
          </cell>
        </row>
        <row r="687">
          <cell r="W687">
            <v>5.7692307692307691E-5</v>
          </cell>
        </row>
        <row r="688">
          <cell r="W688">
            <v>6.1538461538461535E-5</v>
          </cell>
        </row>
        <row r="689">
          <cell r="W689">
            <v>5.9615384615384616E-5</v>
          </cell>
        </row>
        <row r="690">
          <cell r="W690">
            <v>5.9615384615384616E-5</v>
          </cell>
        </row>
        <row r="691">
          <cell r="W691">
            <v>5.9615384615384616E-5</v>
          </cell>
        </row>
        <row r="692">
          <cell r="W692">
            <v>5.7692307692307691E-5</v>
          </cell>
        </row>
        <row r="693">
          <cell r="W693">
            <v>4.4230769230769233E-5</v>
          </cell>
        </row>
        <row r="694">
          <cell r="W694">
            <v>4.4230769230769233E-5</v>
          </cell>
        </row>
        <row r="695">
          <cell r="W695">
            <v>4.2307692307692307E-5</v>
          </cell>
        </row>
        <row r="696">
          <cell r="W696">
            <v>4.2307692307692307E-5</v>
          </cell>
        </row>
        <row r="697">
          <cell r="W697">
            <v>4.4230769230769233E-5</v>
          </cell>
        </row>
        <row r="698">
          <cell r="W698">
            <v>3.8461538461538463E-5</v>
          </cell>
        </row>
        <row r="699">
          <cell r="W699">
            <v>4.9999999999999996E-5</v>
          </cell>
        </row>
        <row r="700">
          <cell r="W700">
            <v>5.7692307692307691E-5</v>
          </cell>
        </row>
        <row r="701">
          <cell r="W701">
            <v>6.3461538461538467E-5</v>
          </cell>
        </row>
        <row r="702">
          <cell r="W702">
            <v>5.7692307692307691E-5</v>
          </cell>
        </row>
        <row r="703">
          <cell r="W703">
            <v>4.9999999999999996E-5</v>
          </cell>
        </row>
        <row r="704">
          <cell r="W704">
            <v>5.1923076923076928E-5</v>
          </cell>
        </row>
        <row r="705">
          <cell r="W705">
            <v>5.3846153846153853E-5</v>
          </cell>
        </row>
        <row r="706">
          <cell r="W706">
            <v>4.9999999999999996E-5</v>
          </cell>
        </row>
        <row r="707">
          <cell r="W707">
            <v>5.3846153846153853E-5</v>
          </cell>
        </row>
        <row r="708">
          <cell r="W708">
            <v>5.9615384615384616E-5</v>
          </cell>
        </row>
        <row r="709">
          <cell r="W709">
            <v>6.1538461538461535E-5</v>
          </cell>
        </row>
        <row r="710">
          <cell r="W710">
            <v>5.5769230769230765E-5</v>
          </cell>
        </row>
        <row r="711">
          <cell r="W711">
            <v>5.3846153846153853E-5</v>
          </cell>
        </row>
        <row r="712">
          <cell r="W712">
            <v>5.5769230769230765E-5</v>
          </cell>
        </row>
        <row r="713">
          <cell r="W713">
            <v>5.5769230769230765E-5</v>
          </cell>
        </row>
        <row r="714">
          <cell r="W714">
            <v>5.9615384615384616E-5</v>
          </cell>
        </row>
        <row r="715">
          <cell r="W715">
            <v>6.3461538461538467E-5</v>
          </cell>
        </row>
        <row r="716">
          <cell r="W716">
            <v>6.5384615384615386E-5</v>
          </cell>
        </row>
        <row r="717">
          <cell r="W717">
            <v>6.3461538461538467E-5</v>
          </cell>
        </row>
        <row r="718">
          <cell r="W718">
            <v>4.6153846153846151E-5</v>
          </cell>
        </row>
        <row r="719">
          <cell r="W719">
            <v>4.9999999999999996E-5</v>
          </cell>
        </row>
        <row r="720">
          <cell r="W720">
            <v>6.1538461538461535E-5</v>
          </cell>
        </row>
        <row r="721">
          <cell r="W721">
            <v>6.3461538461538467E-5</v>
          </cell>
        </row>
        <row r="722">
          <cell r="W722">
            <v>6.5384615384615386E-5</v>
          </cell>
        </row>
        <row r="723">
          <cell r="W723">
            <v>6.1538461538461535E-5</v>
          </cell>
        </row>
        <row r="724">
          <cell r="W724">
            <v>6.9230769230769224E-5</v>
          </cell>
        </row>
        <row r="725">
          <cell r="W725">
            <v>8.4615384615384614E-5</v>
          </cell>
        </row>
        <row r="726">
          <cell r="W726">
            <v>9.038461538461537E-5</v>
          </cell>
        </row>
        <row r="727">
          <cell r="W727">
            <v>9.2307692307692303E-5</v>
          </cell>
        </row>
        <row r="728">
          <cell r="W728">
            <v>9.2307692307692303E-5</v>
          </cell>
        </row>
        <row r="729">
          <cell r="W729">
            <v>9.6153846153846154E-5</v>
          </cell>
        </row>
        <row r="730">
          <cell r="W730">
            <v>9.9999999999999991E-5</v>
          </cell>
        </row>
        <row r="731">
          <cell r="W731">
            <v>9.8076923076923086E-5</v>
          </cell>
        </row>
        <row r="732">
          <cell r="W732">
            <v>9.6153846153846154E-5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732"/>
  <sheetViews>
    <sheetView workbookViewId="0">
      <selection activeCell="P5" sqref="P5"/>
    </sheetView>
  </sheetViews>
  <sheetFormatPr defaultColWidth="8.85546875" defaultRowHeight="15"/>
  <cols>
    <col min="1" max="1" width="10.140625" bestFit="1" customWidth="1"/>
    <col min="2" max="2" width="9.42578125" customWidth="1"/>
    <col min="8" max="15" width="8.85546875" style="12"/>
    <col min="16" max="16" width="11.42578125" style="12" bestFit="1" customWidth="1"/>
  </cols>
  <sheetData>
    <row r="1" spans="1:47" ht="46.5" customHeight="1">
      <c r="A1" t="s">
        <v>306</v>
      </c>
      <c r="B1" s="36" t="s">
        <v>0</v>
      </c>
      <c r="C1" s="36" t="s">
        <v>1</v>
      </c>
      <c r="D1" s="36" t="s">
        <v>2</v>
      </c>
      <c r="E1" s="36" t="s">
        <v>3</v>
      </c>
      <c r="F1" s="36" t="s">
        <v>4</v>
      </c>
      <c r="G1" s="36" t="s">
        <v>5</v>
      </c>
      <c r="H1" s="37" t="s">
        <v>19</v>
      </c>
      <c r="I1" s="37" t="s">
        <v>20</v>
      </c>
      <c r="J1" s="37" t="s">
        <v>21</v>
      </c>
      <c r="K1" s="37" t="s">
        <v>22</v>
      </c>
      <c r="L1" s="37" t="s">
        <v>23</v>
      </c>
      <c r="M1" s="37" t="s">
        <v>24</v>
      </c>
      <c r="N1" s="37" t="s">
        <v>18</v>
      </c>
      <c r="O1" s="13"/>
      <c r="P1" s="36" t="s">
        <v>0</v>
      </c>
      <c r="Q1" s="36" t="s">
        <v>1</v>
      </c>
      <c r="R1" s="36" t="s">
        <v>2</v>
      </c>
      <c r="S1" s="36" t="s">
        <v>3</v>
      </c>
      <c r="T1" s="36" t="s">
        <v>4</v>
      </c>
      <c r="U1" s="36" t="s">
        <v>5</v>
      </c>
      <c r="V1" s="37" t="s">
        <v>19</v>
      </c>
      <c r="W1" s="37" t="s">
        <v>20</v>
      </c>
      <c r="X1" s="37" t="s">
        <v>21</v>
      </c>
      <c r="Y1" s="37" t="s">
        <v>22</v>
      </c>
      <c r="Z1" s="37" t="s">
        <v>23</v>
      </c>
      <c r="AA1" s="37" t="s">
        <v>24</v>
      </c>
      <c r="AB1" s="37" t="s">
        <v>18</v>
      </c>
      <c r="AH1" t="s">
        <v>311</v>
      </c>
      <c r="AI1" s="36" t="s">
        <v>0</v>
      </c>
      <c r="AJ1" s="36" t="s">
        <v>1</v>
      </c>
      <c r="AK1" s="36" t="s">
        <v>2</v>
      </c>
      <c r="AL1" s="36" t="s">
        <v>3</v>
      </c>
      <c r="AM1" s="36" t="s">
        <v>4</v>
      </c>
      <c r="AN1" s="36" t="s">
        <v>5</v>
      </c>
      <c r="AO1" s="37" t="s">
        <v>19</v>
      </c>
      <c r="AP1" s="37" t="s">
        <v>20</v>
      </c>
      <c r="AQ1" s="37" t="s">
        <v>21</v>
      </c>
      <c r="AR1" s="37" t="s">
        <v>22</v>
      </c>
      <c r="AS1" s="37" t="s">
        <v>23</v>
      </c>
      <c r="AT1" s="37" t="s">
        <v>24</v>
      </c>
      <c r="AU1" s="37" t="s">
        <v>18</v>
      </c>
    </row>
    <row r="2" spans="1:47">
      <c r="A2" s="7">
        <v>37624</v>
      </c>
      <c r="B2" s="10">
        <v>813.91</v>
      </c>
      <c r="C2" s="10">
        <v>214.42</v>
      </c>
      <c r="D2" s="10">
        <v>86.68</v>
      </c>
      <c r="E2" s="14">
        <v>1002.15</v>
      </c>
      <c r="F2" s="14">
        <v>1018.6</v>
      </c>
      <c r="G2" s="14">
        <v>1020.54</v>
      </c>
      <c r="H2" s="14">
        <v>1003.63</v>
      </c>
      <c r="I2" s="14">
        <v>1002.91</v>
      </c>
      <c r="J2" s="14">
        <v>992.71</v>
      </c>
      <c r="K2" s="14">
        <v>1029.5</v>
      </c>
      <c r="L2" s="14">
        <v>1026.75</v>
      </c>
      <c r="M2" s="14">
        <v>1010.8</v>
      </c>
      <c r="N2" s="14">
        <v>1022.75</v>
      </c>
      <c r="P2" s="12">
        <v>100</v>
      </c>
      <c r="Q2" s="14">
        <v>100</v>
      </c>
      <c r="R2" s="14">
        <v>100</v>
      </c>
      <c r="S2" s="14">
        <v>100</v>
      </c>
      <c r="T2" s="14">
        <v>100</v>
      </c>
      <c r="U2" s="14">
        <v>100</v>
      </c>
      <c r="V2" s="14">
        <v>100</v>
      </c>
      <c r="W2" s="14">
        <v>100</v>
      </c>
      <c r="X2" s="14">
        <v>100</v>
      </c>
      <c r="Y2" s="14">
        <v>100</v>
      </c>
      <c r="Z2" s="14">
        <v>100</v>
      </c>
      <c r="AA2" s="14">
        <v>100</v>
      </c>
      <c r="AB2" s="14">
        <v>100</v>
      </c>
      <c r="AH2">
        <v>2003</v>
      </c>
      <c r="AI2" s="28">
        <f t="shared" ref="AI2:AU2" si="0">+(B53-B2)/B2</f>
        <v>0.25113341769974568</v>
      </c>
      <c r="AJ2" s="28">
        <f t="shared" si="0"/>
        <v>8.5626340826415515E-2</v>
      </c>
      <c r="AK2" s="28">
        <f t="shared" si="0"/>
        <v>0.27999538532533452</v>
      </c>
      <c r="AL2" s="28">
        <f t="shared" si="0"/>
        <v>0.17408571571122081</v>
      </c>
      <c r="AM2" s="28">
        <f t="shared" si="0"/>
        <v>0.22296289024150795</v>
      </c>
      <c r="AN2" s="28">
        <f t="shared" si="0"/>
        <v>0.47166206126168514</v>
      </c>
      <c r="AO2" s="28">
        <f t="shared" si="0"/>
        <v>5.6983151161284482E-2</v>
      </c>
      <c r="AP2" s="28">
        <f t="shared" si="0"/>
        <v>0.15297484320626972</v>
      </c>
      <c r="AQ2" s="28">
        <f t="shared" si="0"/>
        <v>0.16139658107604438</v>
      </c>
      <c r="AR2" s="28">
        <f t="shared" si="0"/>
        <v>0.28048567265662944</v>
      </c>
      <c r="AS2" s="28">
        <f t="shared" si="0"/>
        <v>1.885717068419771</v>
      </c>
      <c r="AT2" s="28">
        <f t="shared" si="0"/>
        <v>0.42901662049861505</v>
      </c>
      <c r="AU2" s="28">
        <f t="shared" si="0"/>
        <v>0.21761916401857731</v>
      </c>
    </row>
    <row r="3" spans="1:47">
      <c r="A3" s="8">
        <v>37631</v>
      </c>
      <c r="B3" s="10">
        <v>824.47</v>
      </c>
      <c r="C3" s="10">
        <v>214.73</v>
      </c>
      <c r="D3" s="10">
        <v>86.37</v>
      </c>
      <c r="E3" s="14">
        <v>999.79</v>
      </c>
      <c r="F3" s="14">
        <v>1024.4000000000001</v>
      </c>
      <c r="G3" s="14">
        <v>1055.52</v>
      </c>
      <c r="H3" s="14">
        <v>995.27</v>
      </c>
      <c r="I3" s="14">
        <v>985.1</v>
      </c>
      <c r="J3" s="14">
        <v>996.18</v>
      </c>
      <c r="K3" s="14">
        <v>1044.19</v>
      </c>
      <c r="L3" s="14">
        <v>1143.21</v>
      </c>
      <c r="M3" s="14">
        <v>1028.93</v>
      </c>
      <c r="N3" s="14">
        <v>1028.9100000000001</v>
      </c>
      <c r="P3" s="12">
        <f>+P2*(1+'SImple Return'!B2)</f>
        <v>101.29744074897718</v>
      </c>
      <c r="Q3" s="14">
        <f>+Q2*(1+'SImple Return'!C2)</f>
        <v>100.14457606566552</v>
      </c>
      <c r="R3" s="14">
        <f>+R2*(1+'SImple Return'!D2)</f>
        <v>99.642362713428696</v>
      </c>
      <c r="S3" s="14">
        <f>+S2*(1+'SImple Return'!E2)</f>
        <v>99.764506311430424</v>
      </c>
      <c r="T3" s="14">
        <f>+T2*(1+'SImple Return'!F2)</f>
        <v>100.56940899273515</v>
      </c>
      <c r="U3" s="14">
        <f>+U2*(1+'SImple Return'!G2)</f>
        <v>103.42759715444765</v>
      </c>
      <c r="V3" s="14">
        <f>+V2*(1+'SImple Return'!H2)</f>
        <v>99.167023703954655</v>
      </c>
      <c r="W3" s="14">
        <f>+W2*(1+'SImple Return'!I2)</f>
        <v>98.224167672074273</v>
      </c>
      <c r="X3" s="14">
        <f>+X2*(1+'SImple Return'!J2)</f>
        <v>100.34954820642483</v>
      </c>
      <c r="Y3" s="14">
        <f>+Y2*(1+'SImple Return'!K2)</f>
        <v>101.42690626517728</v>
      </c>
      <c r="Z3" s="14">
        <f>+Z2*(1+'SImple Return'!L2)</f>
        <v>111.34258582907233</v>
      </c>
      <c r="AA3" s="14">
        <f>+AA2*(1+'SImple Return'!M2)</f>
        <v>101.79362880886427</v>
      </c>
      <c r="AB3" s="14">
        <f>+AB2*(1+'SImple Return'!N2)</f>
        <v>100.60229772671718</v>
      </c>
      <c r="AH3">
        <v>2004</v>
      </c>
      <c r="AI3" s="28">
        <f t="shared" ref="AI3:AU3" si="1">+(B106-B54)/B54</f>
        <v>0.12646667822669208</v>
      </c>
      <c r="AJ3" s="28">
        <f t="shared" si="1"/>
        <v>5.7205390095270724E-2</v>
      </c>
      <c r="AK3" s="28">
        <f t="shared" si="1"/>
        <v>0.30800530738611243</v>
      </c>
      <c r="AL3" s="28">
        <f t="shared" si="1"/>
        <v>0.37552557523588809</v>
      </c>
      <c r="AM3" s="28">
        <f t="shared" si="1"/>
        <v>0.15464599829358344</v>
      </c>
      <c r="AN3" s="28">
        <f t="shared" si="1"/>
        <v>0.32228739942943252</v>
      </c>
      <c r="AO3" s="28">
        <f t="shared" si="1"/>
        <v>0.17620099085224433</v>
      </c>
      <c r="AP3" s="28">
        <f t="shared" si="1"/>
        <v>0.34910304971570449</v>
      </c>
      <c r="AQ3" s="28">
        <f t="shared" si="1"/>
        <v>0.38622797585281399</v>
      </c>
      <c r="AR3" s="28">
        <f t="shared" si="1"/>
        <v>0.28172217111315545</v>
      </c>
      <c r="AS3" s="28">
        <f t="shared" si="1"/>
        <v>0.64627649766495343</v>
      </c>
      <c r="AT3" s="28">
        <f t="shared" si="1"/>
        <v>0.37801375809790971</v>
      </c>
      <c r="AU3" s="28">
        <f t="shared" si="1"/>
        <v>0.19180540008415314</v>
      </c>
    </row>
    <row r="4" spans="1:47">
      <c r="A4" s="8">
        <v>37638</v>
      </c>
      <c r="B4" s="10">
        <v>808.77</v>
      </c>
      <c r="C4" s="10">
        <v>216.72</v>
      </c>
      <c r="D4" s="10">
        <v>86.41</v>
      </c>
      <c r="E4" s="14">
        <v>1003.87</v>
      </c>
      <c r="F4" s="14">
        <v>996.23</v>
      </c>
      <c r="G4" s="14">
        <v>1058.1400000000001</v>
      </c>
      <c r="H4" s="14">
        <v>970.14</v>
      </c>
      <c r="I4" s="14">
        <v>974.7</v>
      </c>
      <c r="J4" s="14">
        <v>1013.5</v>
      </c>
      <c r="K4" s="14">
        <v>1041.99</v>
      </c>
      <c r="L4" s="14">
        <v>1195.21</v>
      </c>
      <c r="M4" s="14">
        <v>1023.16</v>
      </c>
      <c r="N4" s="14">
        <v>1019.19</v>
      </c>
      <c r="P4" s="14">
        <f>+P3*(1+'SImple Return'!B3)</f>
        <v>99.368480544531977</v>
      </c>
      <c r="Q4" s="14">
        <f>+Q3*(1+'SImple Return'!C3)</f>
        <v>101.07266113235706</v>
      </c>
      <c r="R4" s="14">
        <f>+R3*(1+'SImple Return'!D3)</f>
        <v>99.68850946008304</v>
      </c>
      <c r="S4" s="14">
        <f>+S3*(1+'SImple Return'!E3)</f>
        <v>100.17163099336426</v>
      </c>
      <c r="T4" s="14">
        <f>+T3*(1+'SImple Return'!F3)</f>
        <v>97.803848419399188</v>
      </c>
      <c r="U4" s="14">
        <f>+U3*(1+'SImple Return'!G3)</f>
        <v>103.68432398534111</v>
      </c>
      <c r="V4" s="14">
        <f>+V3*(1+'SImple Return'!H3)</f>
        <v>96.663112900172379</v>
      </c>
      <c r="W4" s="14">
        <f>+W3*(1+'SImple Return'!I3)</f>
        <v>97.187185290803782</v>
      </c>
      <c r="X4" s="14">
        <f>+X3*(1+'SImple Return'!J3)</f>
        <v>102.09426720794592</v>
      </c>
      <c r="Y4" s="14">
        <f>+Y3*(1+'SImple Return'!K3)</f>
        <v>101.21321029626033</v>
      </c>
      <c r="Z4" s="14">
        <f>+Z3*(1+'SImple Return'!L3)</f>
        <v>116.40710981251524</v>
      </c>
      <c r="AA4" s="14">
        <f>+AA3*(1+'SImple Return'!M3)</f>
        <v>101.22279382667195</v>
      </c>
      <c r="AB4" s="14">
        <f>+AB3*(1+'SImple Return'!N3)</f>
        <v>99.651918846247852</v>
      </c>
      <c r="AH4">
        <v>2005</v>
      </c>
      <c r="AI4" s="28">
        <f t="shared" ref="AI4:AU4" si="2">+(B158-B107)/B107</f>
        <v>0.10340290022896534</v>
      </c>
      <c r="AJ4" s="28">
        <f t="shared" si="2"/>
        <v>5.6956875508537975E-4</v>
      </c>
      <c r="AK4" s="28">
        <f t="shared" si="2"/>
        <v>0.16587644186540229</v>
      </c>
      <c r="AL4" s="28">
        <f t="shared" si="2"/>
        <v>6.3231458363020299E-2</v>
      </c>
      <c r="AM4" s="28">
        <f t="shared" si="2"/>
        <v>0.20362548523807819</v>
      </c>
      <c r="AN4" s="28">
        <f t="shared" si="2"/>
        <v>-1.2310458027200273E-2</v>
      </c>
      <c r="AO4" s="28">
        <f t="shared" si="2"/>
        <v>8.8713400558862801E-2</v>
      </c>
      <c r="AP4" s="28">
        <f t="shared" si="2"/>
        <v>3.0662793019706762E-3</v>
      </c>
      <c r="AQ4" s="28">
        <f t="shared" si="2"/>
        <v>0.109062226998762</v>
      </c>
      <c r="AR4" s="28">
        <f t="shared" si="2"/>
        <v>0.1235206968566481</v>
      </c>
      <c r="AS4" s="28">
        <f t="shared" si="2"/>
        <v>0.49054590030961398</v>
      </c>
      <c r="AT4" s="28">
        <f t="shared" si="2"/>
        <v>7.8578175146746893E-2</v>
      </c>
      <c r="AU4" s="28">
        <f t="shared" si="2"/>
        <v>8.4191474755039686E-2</v>
      </c>
    </row>
    <row r="5" spans="1:47">
      <c r="A5" s="8">
        <v>37645</v>
      </c>
      <c r="B5" s="10">
        <v>777.97</v>
      </c>
      <c r="C5" s="10">
        <v>218.01</v>
      </c>
      <c r="D5" s="10">
        <v>85.31</v>
      </c>
      <c r="E5" s="14">
        <v>995.56</v>
      </c>
      <c r="F5" s="14">
        <v>974.82</v>
      </c>
      <c r="G5" s="14">
        <v>1058.08</v>
      </c>
      <c r="H5" s="14">
        <v>940.74</v>
      </c>
      <c r="I5" s="14">
        <v>956.77</v>
      </c>
      <c r="J5" s="14">
        <v>989.64</v>
      </c>
      <c r="K5" s="14">
        <v>1036.6500000000001</v>
      </c>
      <c r="L5" s="14">
        <v>1124.01</v>
      </c>
      <c r="M5" s="14">
        <v>1045.71</v>
      </c>
      <c r="N5" s="14">
        <v>1008.11</v>
      </c>
      <c r="P5" s="14">
        <f>+P4*(1+'SImple Return'!B4)</f>
        <v>95.584278360015261</v>
      </c>
      <c r="Q5" s="14">
        <f>+Q4*(1+'SImple Return'!C4)</f>
        <v>101.67428411528775</v>
      </c>
      <c r="R5" s="14">
        <f>+R4*(1+'SImple Return'!D4)</f>
        <v>98.41947392708812</v>
      </c>
      <c r="S5" s="14">
        <f>+S4*(1+'SImple Return'!E4)</f>
        <v>99.342413810307832</v>
      </c>
      <c r="T5" s="14">
        <f>+T4*(1+'SImple Return'!F4)</f>
        <v>95.701943844492462</v>
      </c>
      <c r="U5" s="14">
        <f>+U4*(1+'SImple Return'!G4)</f>
        <v>103.67844474493894</v>
      </c>
      <c r="V5" s="14">
        <f>+V4*(1+'SImple Return'!H4)</f>
        <v>93.733746500204276</v>
      </c>
      <c r="W5" s="14">
        <f>+W4*(1+'SImple Return'!I4)</f>
        <v>95.399387781555689</v>
      </c>
      <c r="X5" s="14">
        <f>+X4*(1+'SImple Return'!J4)</f>
        <v>99.69074553494977</v>
      </c>
      <c r="Y5" s="14">
        <f>+Y4*(1+'SImple Return'!K4)</f>
        <v>100.6945118989801</v>
      </c>
      <c r="Z5" s="14">
        <f>+Z4*(1+'SImple Return'!L4)</f>
        <v>109.47260774287804</v>
      </c>
      <c r="AA5" s="14">
        <f>+AA4*(1+'SImple Return'!M4)</f>
        <v>103.45370003957264</v>
      </c>
      <c r="AB5" s="14">
        <f>+AB4*(1+'SImple Return'!N4)</f>
        <v>98.568565142996803</v>
      </c>
      <c r="AH5">
        <v>2006</v>
      </c>
      <c r="AI5" s="28">
        <f t="shared" ref="AI5:AU5" si="3">+(B210-B159)/B159</f>
        <v>0.13410541604556039</v>
      </c>
      <c r="AJ5" s="28">
        <f t="shared" si="3"/>
        <v>3.8371718473183977E-2</v>
      </c>
      <c r="AK5" s="28">
        <f t="shared" si="3"/>
        <v>0.32044880455853852</v>
      </c>
      <c r="AL5" s="28">
        <f t="shared" si="3"/>
        <v>0.43302865277715008</v>
      </c>
      <c r="AM5" s="28">
        <f t="shared" si="3"/>
        <v>0.1631891747859634</v>
      </c>
      <c r="AN5" s="28">
        <f t="shared" si="3"/>
        <v>0.14508705223133883</v>
      </c>
      <c r="AO5" s="28">
        <f t="shared" si="3"/>
        <v>0.30251307751399203</v>
      </c>
      <c r="AP5" s="28">
        <f t="shared" si="3"/>
        <v>0.58405481650818347</v>
      </c>
      <c r="AQ5" s="28">
        <f t="shared" si="3"/>
        <v>0.34629518460960157</v>
      </c>
      <c r="AR5" s="28">
        <f t="shared" si="3"/>
        <v>0.83778681685440137</v>
      </c>
      <c r="AS5" s="28">
        <f t="shared" si="3"/>
        <v>0.25527071385991446</v>
      </c>
      <c r="AT5" s="28">
        <f t="shared" si="3"/>
        <v>0.18968694069067413</v>
      </c>
      <c r="AU5" s="28">
        <f t="shared" si="3"/>
        <v>0.18786994293874845</v>
      </c>
    </row>
    <row r="6" spans="1:47">
      <c r="A6" s="8">
        <v>37652</v>
      </c>
      <c r="B6" s="10">
        <v>767.48</v>
      </c>
      <c r="C6" s="10">
        <v>217.31</v>
      </c>
      <c r="D6" s="10">
        <v>83.6</v>
      </c>
      <c r="E6" s="14">
        <v>969.67</v>
      </c>
      <c r="F6" s="14">
        <v>962.21</v>
      </c>
      <c r="G6" s="14">
        <v>1040.9000000000001</v>
      </c>
      <c r="H6" s="14">
        <v>920.99</v>
      </c>
      <c r="I6" s="14">
        <v>925.99</v>
      </c>
      <c r="J6" s="14">
        <v>981.95</v>
      </c>
      <c r="K6" s="14">
        <v>987.65</v>
      </c>
      <c r="L6" s="14">
        <v>1223.27</v>
      </c>
      <c r="M6" s="14">
        <v>1023.2</v>
      </c>
      <c r="N6" s="14">
        <v>984.54</v>
      </c>
      <c r="P6" s="14">
        <f>+P5*(1+'SImple Return'!B5)</f>
        <v>94.295438070548357</v>
      </c>
      <c r="Q6" s="14">
        <f>+Q5*(1+'SImple Return'!C5)</f>
        <v>101.34782203152692</v>
      </c>
      <c r="R6" s="14">
        <f>+R5*(1+'SImple Return'!D5)</f>
        <v>96.446700507614182</v>
      </c>
      <c r="S6" s="14">
        <f>+S5*(1+'SImple Return'!E5)</f>
        <v>96.758968218330594</v>
      </c>
      <c r="T6" s="14">
        <f>+T5*(1+'SImple Return'!F5)</f>
        <v>94.463970155114879</v>
      </c>
      <c r="U6" s="14">
        <f>+U5*(1+'SImple Return'!G5)</f>
        <v>101.9950222431262</v>
      </c>
      <c r="V6" s="14">
        <f>+V5*(1+'SImple Return'!H5)</f>
        <v>91.765889819953586</v>
      </c>
      <c r="W6" s="14">
        <f>+W5*(1+'SImple Return'!I5)</f>
        <v>92.330318772372422</v>
      </c>
      <c r="X6" s="14">
        <f>+X5*(1+'SImple Return'!J5)</f>
        <v>98.91609835702269</v>
      </c>
      <c r="Y6" s="14">
        <f>+Y5*(1+'SImple Return'!K5)</f>
        <v>95.934919864011661</v>
      </c>
      <c r="Z6" s="14">
        <f>+Z5*(1+'SImple Return'!L5)</f>
        <v>119.14000486973463</v>
      </c>
      <c r="AA6" s="14">
        <f>+AA5*(1+'SImple Return'!M5)</f>
        <v>101.22675108824696</v>
      </c>
      <c r="AB6" s="14">
        <f>+AB5*(1+'SImple Return'!N5)</f>
        <v>96.263994133463683</v>
      </c>
      <c r="AH6">
        <v>2007</v>
      </c>
      <c r="AI6" s="28">
        <f t="shared" ref="AI6:AU6" si="4">+(B262-B211)/B211</f>
        <v>8.503878078650158E-2</v>
      </c>
      <c r="AJ6" s="28">
        <f t="shared" si="4"/>
        <v>7.080639541636026E-2</v>
      </c>
      <c r="AK6" s="28">
        <f t="shared" si="4"/>
        <v>-7.9514279289408629E-2</v>
      </c>
      <c r="AL6" s="28">
        <f t="shared" si="4"/>
        <v>0.21536582198340939</v>
      </c>
      <c r="AM6" s="28">
        <f t="shared" si="4"/>
        <v>7.0825985892914334E-2</v>
      </c>
      <c r="AN6" s="28">
        <f t="shared" si="4"/>
        <v>0.21185795681517142</v>
      </c>
      <c r="AO6" s="28">
        <f t="shared" si="4"/>
        <v>0.18236500817078671</v>
      </c>
      <c r="AP6" s="28">
        <f t="shared" si="4"/>
        <v>0.30479862996143847</v>
      </c>
      <c r="AQ6" s="28">
        <f t="shared" si="4"/>
        <v>9.9683035312182477E-2</v>
      </c>
      <c r="AR6" s="28">
        <f t="shared" si="4"/>
        <v>0.21796923853616296</v>
      </c>
      <c r="AS6" s="28">
        <f t="shared" si="4"/>
        <v>0.20350388917159093</v>
      </c>
      <c r="AT6" s="28">
        <f t="shared" si="4"/>
        <v>0.15284020335923201</v>
      </c>
      <c r="AU6" s="28">
        <f t="shared" si="4"/>
        <v>8.0067272688565672E-2</v>
      </c>
    </row>
    <row r="7" spans="1:47">
      <c r="A7" s="8">
        <v>37659</v>
      </c>
      <c r="B7" s="10">
        <v>750.08</v>
      </c>
      <c r="C7" s="10">
        <v>218.15</v>
      </c>
      <c r="D7" s="10">
        <v>83.28</v>
      </c>
      <c r="E7" s="14">
        <v>962.46</v>
      </c>
      <c r="F7" s="14">
        <v>936.57</v>
      </c>
      <c r="G7" s="14">
        <v>1039.8599999999999</v>
      </c>
      <c r="H7" s="14">
        <v>895.63</v>
      </c>
      <c r="I7" s="14">
        <v>907.53</v>
      </c>
      <c r="J7" s="14">
        <v>981.54</v>
      </c>
      <c r="K7" s="14">
        <v>951.47</v>
      </c>
      <c r="L7" s="14">
        <v>1117.75</v>
      </c>
      <c r="M7" s="14">
        <v>1034.3399999999999</v>
      </c>
      <c r="N7" s="14">
        <v>967.84</v>
      </c>
      <c r="P7" s="14">
        <f>+P6*(1+'SImple Return'!B6)</f>
        <v>92.157609563710992</v>
      </c>
      <c r="Q7" s="14">
        <f>+Q6*(1+'SImple Return'!C6)</f>
        <v>101.73957653203993</v>
      </c>
      <c r="R7" s="14">
        <f>+R6*(1+'SImple Return'!D6)</f>
        <v>96.077526534379302</v>
      </c>
      <c r="S7" s="14">
        <f>+S6*(1+'SImple Return'!E6)</f>
        <v>96.039515042658294</v>
      </c>
      <c r="T7" s="14">
        <f>+T6*(1+'SImple Return'!F6)</f>
        <v>91.946789711368567</v>
      </c>
      <c r="U7" s="14">
        <f>+U6*(1+'SImple Return'!G6)</f>
        <v>101.89311540948908</v>
      </c>
      <c r="V7" s="14">
        <f>+V6*(1+'SImple Return'!H6)</f>
        <v>89.239062204198774</v>
      </c>
      <c r="W7" s="14">
        <f>+W6*(1+'SImple Return'!I6)</f>
        <v>90.489675045617275</v>
      </c>
      <c r="X7" s="14">
        <f>+X6*(1+'SImple Return'!J6)</f>
        <v>98.874797272113696</v>
      </c>
      <c r="Y7" s="14">
        <f>+Y6*(1+'SImple Return'!K6)</f>
        <v>92.420592520641094</v>
      </c>
      <c r="Z7" s="14">
        <f>+Z6*(1+'SImple Return'!L6)</f>
        <v>108.86291697102511</v>
      </c>
      <c r="AA7" s="14">
        <f>+AA6*(1+'SImple Return'!M6)</f>
        <v>102.32884843688169</v>
      </c>
      <c r="AB7" s="14">
        <f>+AB6*(1+'SImple Return'!N6)</f>
        <v>94.631141530188216</v>
      </c>
      <c r="AH7">
        <v>2008</v>
      </c>
      <c r="AI7" s="28">
        <f t="shared" ref="AI7:AU7" si="5">+(B314-B263)/B263</f>
        <v>-0.42110139894123672</v>
      </c>
      <c r="AJ7" s="28">
        <f t="shared" si="5"/>
        <v>5.5902605238872714E-2</v>
      </c>
      <c r="AK7" s="28">
        <f t="shared" si="5"/>
        <v>-0.48636340889756297</v>
      </c>
      <c r="AL7" s="28">
        <f t="shared" si="5"/>
        <v>-0.38493268170494305</v>
      </c>
      <c r="AM7" s="28">
        <f t="shared" si="5"/>
        <v>-0.28982282653481661</v>
      </c>
      <c r="AN7" s="28">
        <f t="shared" si="5"/>
        <v>-0.59051337834370732</v>
      </c>
      <c r="AO7" s="28">
        <f t="shared" si="5"/>
        <v>-0.29834736731770378</v>
      </c>
      <c r="AP7" s="28">
        <f t="shared" si="5"/>
        <v>-0.51717115532987634</v>
      </c>
      <c r="AQ7" s="28">
        <f t="shared" si="5"/>
        <v>-0.37439177476238866</v>
      </c>
      <c r="AR7" s="28">
        <f t="shared" si="5"/>
        <v>-0.66753520557007084</v>
      </c>
      <c r="AS7" s="28">
        <f t="shared" si="5"/>
        <v>-0.3653087011861062</v>
      </c>
      <c r="AT7" s="28">
        <f t="shared" si="5"/>
        <v>-0.48963184485972688</v>
      </c>
      <c r="AU7" s="28">
        <f t="shared" si="5"/>
        <v>-0.26804535211552255</v>
      </c>
    </row>
    <row r="8" spans="1:47">
      <c r="A8" s="8">
        <v>37666</v>
      </c>
      <c r="B8" s="10">
        <v>754.25</v>
      </c>
      <c r="C8" s="10">
        <v>217.93</v>
      </c>
      <c r="D8" s="10">
        <v>82.51</v>
      </c>
      <c r="E8" s="14">
        <v>973.47</v>
      </c>
      <c r="F8" s="14">
        <v>927.14</v>
      </c>
      <c r="G8" s="14">
        <v>1042.5899999999999</v>
      </c>
      <c r="H8" s="14">
        <v>889.69</v>
      </c>
      <c r="I8" s="14">
        <v>854.64</v>
      </c>
      <c r="J8" s="14">
        <v>1015.7</v>
      </c>
      <c r="K8" s="14">
        <v>964.25</v>
      </c>
      <c r="L8" s="14">
        <v>1161.1199999999999</v>
      </c>
      <c r="M8" s="14">
        <v>1060.9100000000001</v>
      </c>
      <c r="N8" s="14">
        <v>964.51</v>
      </c>
      <c r="P8" s="14">
        <f>+P7*(1+'SImple Return'!B7)</f>
        <v>92.669951223108214</v>
      </c>
      <c r="Q8" s="14">
        <f>+Q7*(1+'SImple Return'!C7)</f>
        <v>101.63697416285795</v>
      </c>
      <c r="R8" s="14">
        <f>+R7*(1+'SImple Return'!D7)</f>
        <v>95.189201661282851</v>
      </c>
      <c r="S8" s="14">
        <f>+S7*(1+'SImple Return'!E7)</f>
        <v>97.13815297111212</v>
      </c>
      <c r="T8" s="14">
        <f>+T7*(1+'SImple Return'!F7)</f>
        <v>91.021009228352654</v>
      </c>
      <c r="U8" s="14">
        <f>+U7*(1+'SImple Return'!G7)</f>
        <v>102.16062084778646</v>
      </c>
      <c r="V8" s="14">
        <f>+V7*(1+'SImple Return'!H7)</f>
        <v>88.647210625429707</v>
      </c>
      <c r="W8" s="14">
        <f>+W7*(1+'SImple Return'!I7)</f>
        <v>85.216021377790653</v>
      </c>
      <c r="X8" s="14">
        <f>+X7*(1+'SImple Return'!J7)</f>
        <v>102.31588278550635</v>
      </c>
      <c r="Y8" s="14">
        <f>+Y7*(1+'SImple Return'!K7)</f>
        <v>93.661971830985919</v>
      </c>
      <c r="Z8" s="14">
        <f>+Z7*(1+'SImple Return'!L7)</f>
        <v>113.08692476260047</v>
      </c>
      <c r="AA8" s="14">
        <f>+AA7*(1+'SImple Return'!M7)</f>
        <v>104.95745943806888</v>
      </c>
      <c r="AB8" s="14">
        <f>+AB7*(1+'SImple Return'!N7)</f>
        <v>94.305548765582984</v>
      </c>
      <c r="AH8">
        <v>2009</v>
      </c>
      <c r="AI8" s="28">
        <f t="shared" ref="AI8:AU8" si="6">+(B366-B315)/B315</f>
        <v>0.23847479306954758</v>
      </c>
      <c r="AJ8" s="28">
        <f t="shared" si="6"/>
        <v>6.94289670077331E-2</v>
      </c>
      <c r="AK8" s="28">
        <f t="shared" si="6"/>
        <v>0.26522030010513237</v>
      </c>
      <c r="AL8" s="28">
        <f t="shared" si="6"/>
        <v>0.15689476188416446</v>
      </c>
      <c r="AM8" s="28">
        <f t="shared" si="6"/>
        <v>0.28892080002069903</v>
      </c>
      <c r="AN8" s="28">
        <f t="shared" si="6"/>
        <v>0.43042994238723237</v>
      </c>
      <c r="AO8" s="28">
        <f t="shared" si="6"/>
        <v>0.11582049898293834</v>
      </c>
      <c r="AP8" s="28">
        <f t="shared" si="6"/>
        <v>0.28972056123169643</v>
      </c>
      <c r="AQ8" s="28">
        <f t="shared" si="6"/>
        <v>7.8671596671634411E-3</v>
      </c>
      <c r="AR8" s="28">
        <f t="shared" si="6"/>
        <v>0.31145654195914163</v>
      </c>
      <c r="AS8" s="28">
        <f t="shared" si="6"/>
        <v>0.55707558547495828</v>
      </c>
      <c r="AT8" s="28">
        <f t="shared" si="6"/>
        <v>0.29116161929456713</v>
      </c>
      <c r="AU8" s="28">
        <f t="shared" si="6"/>
        <v>0.31159363074088692</v>
      </c>
    </row>
    <row r="9" spans="1:47">
      <c r="A9" s="8">
        <v>37673</v>
      </c>
      <c r="B9" s="10">
        <v>763.52</v>
      </c>
      <c r="C9" s="10">
        <v>218.91</v>
      </c>
      <c r="D9" s="10">
        <v>83.94</v>
      </c>
      <c r="E9" s="14">
        <v>979.38</v>
      </c>
      <c r="F9" s="14">
        <v>938.43</v>
      </c>
      <c r="G9" s="14">
        <v>1060.4000000000001</v>
      </c>
      <c r="H9" s="14">
        <v>898.4</v>
      </c>
      <c r="I9" s="14">
        <v>851.22</v>
      </c>
      <c r="J9" s="14">
        <v>1007.53</v>
      </c>
      <c r="K9" s="14">
        <v>982.52</v>
      </c>
      <c r="L9" s="14">
        <v>1259.95</v>
      </c>
      <c r="M9" s="14">
        <v>1072.93</v>
      </c>
      <c r="N9" s="14">
        <v>977.88</v>
      </c>
      <c r="P9" s="14">
        <f>+P8*(1+'SImple Return'!B8)</f>
        <v>93.808897789681907</v>
      </c>
      <c r="Q9" s="14">
        <f>+Q8*(1+'SImple Return'!C8)</f>
        <v>102.09402108012311</v>
      </c>
      <c r="R9" s="14">
        <f>+R8*(1+'SImple Return'!D8)</f>
        <v>96.83894785417624</v>
      </c>
      <c r="S9" s="14">
        <f>+S8*(1+'SImple Return'!E8)</f>
        <v>97.727885047148646</v>
      </c>
      <c r="T9" s="14">
        <f>+T8*(1+'SImple Return'!F8)</f>
        <v>92.129393284900857</v>
      </c>
      <c r="U9" s="14">
        <f>+U8*(1+'SImple Return'!G8)</f>
        <v>103.90577537382171</v>
      </c>
      <c r="V9" s="14">
        <f>+V8*(1+'SImple Return'!H8)</f>
        <v>89.515060330998494</v>
      </c>
      <c r="W9" s="14">
        <f>+W8*(1+'SImple Return'!I8)</f>
        <v>84.87501371010363</v>
      </c>
      <c r="X9" s="14">
        <f>+X8*(1+'SImple Return'!J8)</f>
        <v>101.49288311792969</v>
      </c>
      <c r="Y9" s="14">
        <f>+Y8*(1+'SImple Return'!K8)</f>
        <v>95.436619718309856</v>
      </c>
      <c r="Z9" s="14">
        <f>+Z8*(1+'SImple Return'!L8)</f>
        <v>122.71244217190169</v>
      </c>
      <c r="AA9" s="14">
        <f>+AA8*(1+'SImple Return'!M8)</f>
        <v>106.1466165413534</v>
      </c>
      <c r="AB9" s="14">
        <f>+AB8*(1+'SImple Return'!N8)</f>
        <v>95.612808604253232</v>
      </c>
      <c r="AH9">
        <v>2010</v>
      </c>
      <c r="AI9" s="28">
        <f t="shared" ref="AI9:AU9" si="7">+(B419-B367)/B367</f>
        <v>9.5509512439343677E-2</v>
      </c>
      <c r="AJ9" s="28">
        <f t="shared" si="7"/>
        <v>6.4198154934917206E-2</v>
      </c>
      <c r="AK9" s="28">
        <f t="shared" si="7"/>
        <v>0.16996463772477619</v>
      </c>
      <c r="AL9" s="28">
        <f t="shared" si="7"/>
        <v>-3.3278259672311815E-2</v>
      </c>
      <c r="AM9" s="28">
        <f t="shared" si="7"/>
        <v>0.16108623269074807</v>
      </c>
      <c r="AN9" s="28">
        <f t="shared" si="7"/>
        <v>0.10176986258968145</v>
      </c>
      <c r="AO9" s="28">
        <f t="shared" si="7"/>
        <v>3.1246745130714994E-3</v>
      </c>
      <c r="AP9" s="28">
        <f t="shared" si="7"/>
        <v>0.13655862832350138</v>
      </c>
      <c r="AQ9" s="28">
        <f t="shared" si="7"/>
        <v>0.20521798874196931</v>
      </c>
      <c r="AR9" s="28">
        <f t="shared" si="7"/>
        <v>0.25907070707070706</v>
      </c>
      <c r="AS9" s="28">
        <f t="shared" si="7"/>
        <v>0.15114557325570796</v>
      </c>
      <c r="AT9" s="28">
        <f t="shared" si="7"/>
        <v>-3.3045137949207409E-2</v>
      </c>
      <c r="AU9" s="28">
        <f t="shared" si="7"/>
        <v>0.12319436347419666</v>
      </c>
    </row>
    <row r="10" spans="1:47">
      <c r="A10" s="8">
        <v>37680</v>
      </c>
      <c r="B10" s="10">
        <v>752.86</v>
      </c>
      <c r="C10" s="10">
        <v>220.37</v>
      </c>
      <c r="D10" s="10">
        <v>82.89</v>
      </c>
      <c r="E10" s="14">
        <v>978.99</v>
      </c>
      <c r="F10" s="14">
        <v>930.75</v>
      </c>
      <c r="G10" s="14">
        <v>1082.81</v>
      </c>
      <c r="H10" s="14">
        <v>886.14</v>
      </c>
      <c r="I10" s="14">
        <v>864.61</v>
      </c>
      <c r="J10" s="14">
        <v>988.38</v>
      </c>
      <c r="K10" s="14">
        <v>983.42</v>
      </c>
      <c r="L10" s="14">
        <v>1178.7</v>
      </c>
      <c r="M10" s="14">
        <v>1096.78</v>
      </c>
      <c r="N10" s="14">
        <v>977.01</v>
      </c>
      <c r="P10" s="14">
        <f>+P9*(1+'SImple Return'!B9)</f>
        <v>92.499170669975797</v>
      </c>
      <c r="Q10" s="14">
        <f>+Q9*(1+'SImple Return'!C9)</f>
        <v>102.77492771196717</v>
      </c>
      <c r="R10" s="14">
        <f>+R9*(1+'SImple Return'!D9)</f>
        <v>95.627595754499268</v>
      </c>
      <c r="S10" s="14">
        <f>+S9*(1+'SImple Return'!E9)</f>
        <v>97.688968717257907</v>
      </c>
      <c r="T10" s="14">
        <f>+T9*(1+'SImple Return'!F9)</f>
        <v>91.375417239348153</v>
      </c>
      <c r="U10" s="14">
        <f>+U9*(1+'SImple Return'!G9)</f>
        <v>106.10167166402101</v>
      </c>
      <c r="V10" s="14">
        <f>+V9*(1+'SImple Return'!H9)</f>
        <v>88.293494614549203</v>
      </c>
      <c r="W10" s="14">
        <f>+W9*(1+'SImple Return'!I9)</f>
        <v>86.210128525989404</v>
      </c>
      <c r="X10" s="14">
        <f>+X9*(1+'SImple Return'!J9)</f>
        <v>99.56382024961971</v>
      </c>
      <c r="Y10" s="14">
        <f>+Y9*(1+'SImple Return'!K9)</f>
        <v>95.524040796503144</v>
      </c>
      <c r="Z10" s="14">
        <f>+Z9*(1+'SImple Return'!L9)</f>
        <v>114.79912344777215</v>
      </c>
      <c r="AA10" s="14">
        <f>+AA9*(1+'SImple Return'!M9)</f>
        <v>108.50613375544124</v>
      </c>
      <c r="AB10" s="14">
        <f>+AB9*(1+'SImple Return'!N9)</f>
        <v>95.527743827914932</v>
      </c>
      <c r="AH10">
        <v>2011</v>
      </c>
      <c r="AI10" s="28">
        <f t="shared" ref="AI10:AU10" si="8">+(B471-B420)/B420</f>
        <v>-7.7118174510890466E-2</v>
      </c>
      <c r="AJ10" s="28">
        <f t="shared" si="8"/>
        <v>8.1819537658463851E-2</v>
      </c>
      <c r="AK10" s="28">
        <f t="shared" si="8"/>
        <v>-0.10269058295964127</v>
      </c>
      <c r="AL10" s="28">
        <f t="shared" si="8"/>
        <v>-1.1366458440789868E-3</v>
      </c>
      <c r="AM10" s="28">
        <f t="shared" si="8"/>
        <v>0.19792472540200795</v>
      </c>
      <c r="AN10" s="28">
        <f t="shared" si="8"/>
        <v>1.0251780519610822E-2</v>
      </c>
      <c r="AO10" s="28">
        <f t="shared" si="8"/>
        <v>9.6345233044426812E-2</v>
      </c>
      <c r="AP10" s="28">
        <f t="shared" si="8"/>
        <v>-4.1950274153904336E-2</v>
      </c>
      <c r="AQ10" s="28">
        <f t="shared" si="8"/>
        <v>8.5078292754619589E-2</v>
      </c>
      <c r="AR10" s="28">
        <f t="shared" si="8"/>
        <v>-0.25560605048882318</v>
      </c>
      <c r="AS10" s="28">
        <f t="shared" si="8"/>
        <v>0.11746962648923431</v>
      </c>
      <c r="AT10" s="28">
        <f t="shared" si="8"/>
        <v>-8.5610657878873161E-2</v>
      </c>
      <c r="AU10" s="28">
        <f t="shared" si="8"/>
        <v>0.18770191782783399</v>
      </c>
    </row>
    <row r="11" spans="1:47">
      <c r="A11" s="8">
        <v>37687</v>
      </c>
      <c r="B11" s="10">
        <v>737.98</v>
      </c>
      <c r="C11" s="10">
        <v>222.13</v>
      </c>
      <c r="D11" s="10">
        <v>81.709999999999994</v>
      </c>
      <c r="E11" s="14">
        <v>978.11</v>
      </c>
      <c r="F11" s="14">
        <v>955.07</v>
      </c>
      <c r="G11" s="14">
        <v>1063.93</v>
      </c>
      <c r="H11" s="14">
        <v>892.67</v>
      </c>
      <c r="I11" s="14">
        <v>882.01</v>
      </c>
      <c r="J11" s="14">
        <v>981.71</v>
      </c>
      <c r="K11" s="14">
        <v>1014.56</v>
      </c>
      <c r="L11" s="14">
        <v>1314.52</v>
      </c>
      <c r="M11" s="14">
        <v>1099.55</v>
      </c>
      <c r="N11" s="14">
        <v>982.11</v>
      </c>
      <c r="P11" s="14">
        <f>+P10*(1+'SImple Return'!B10)</f>
        <v>90.670958705507985</v>
      </c>
      <c r="Q11" s="14">
        <f>+Q10*(1+'SImple Return'!C10)</f>
        <v>103.59574666542298</v>
      </c>
      <c r="R11" s="14">
        <f>+R10*(1+'SImple Return'!D10)</f>
        <v>94.266266728195617</v>
      </c>
      <c r="S11" s="14">
        <f>+S10*(1+'SImple Return'!E10)</f>
        <v>97.601157511350607</v>
      </c>
      <c r="T11" s="14">
        <f>+T10*(1+'SImple Return'!F10)</f>
        <v>93.7630080502651</v>
      </c>
      <c r="U11" s="14">
        <f>+U10*(1+'SImple Return'!G10)</f>
        <v>104.25167068414763</v>
      </c>
      <c r="V11" s="14">
        <f>+V10*(1+'SImple Return'!H10)</f>
        <v>88.944132797943467</v>
      </c>
      <c r="W11" s="14">
        <f>+W10*(1+'SImple Return'!I10)</f>
        <v>87.945079817730431</v>
      </c>
      <c r="X11" s="14">
        <f>+X10*(1+'SImple Return'!J10)</f>
        <v>98.891922112197918</v>
      </c>
      <c r="Y11" s="14">
        <f>+Y10*(1+'SImple Return'!K10)</f>
        <v>98.548810101991236</v>
      </c>
      <c r="Z11" s="14">
        <f>+Z10*(1+'SImple Return'!L10)</f>
        <v>128.02727051375703</v>
      </c>
      <c r="AA11" s="14">
        <f>+AA10*(1+'SImple Return'!M10)</f>
        <v>108.7801741195093</v>
      </c>
      <c r="AB11" s="14">
        <f>+AB10*(1+'SImple Return'!N10)</f>
        <v>96.026399413346368</v>
      </c>
      <c r="AH11">
        <v>2012</v>
      </c>
      <c r="AI11" s="28">
        <f t="shared" ref="AI11:AU11" si="9">+(B523-B472)/B472</f>
        <v>0.11342905334530519</v>
      </c>
      <c r="AJ11" s="28">
        <f t="shared" si="9"/>
        <v>4.3098911447802132E-2</v>
      </c>
      <c r="AK11" s="28">
        <f t="shared" si="9"/>
        <v>0.24302732006562519</v>
      </c>
      <c r="AL11" s="28">
        <f t="shared" si="9"/>
        <v>0.16210746548824845</v>
      </c>
      <c r="AM11" s="28">
        <f t="shared" si="9"/>
        <v>9.6956863381648273E-2</v>
      </c>
      <c r="AN11" s="28">
        <f t="shared" si="9"/>
        <v>0.18568680758850697</v>
      </c>
      <c r="AO11" s="28">
        <f t="shared" si="9"/>
        <v>8.6800663545880091E-2</v>
      </c>
      <c r="AP11" s="28">
        <f t="shared" si="9"/>
        <v>0.30601995692985501</v>
      </c>
      <c r="AQ11" s="28">
        <f t="shared" si="9"/>
        <v>0.15204242235683826</v>
      </c>
      <c r="AR11" s="28">
        <f t="shared" si="9"/>
        <v>0.11196537652005216</v>
      </c>
      <c r="AS11" s="28">
        <f t="shared" si="9"/>
        <v>0.32636040518550558</v>
      </c>
      <c r="AT11" s="28">
        <f t="shared" si="9"/>
        <v>0.12955011304111141</v>
      </c>
      <c r="AU11" s="28">
        <f t="shared" si="9"/>
        <v>8.4926134632957548E-2</v>
      </c>
    </row>
    <row r="12" spans="1:47">
      <c r="A12" s="8">
        <v>37694</v>
      </c>
      <c r="B12" s="10">
        <v>740.35</v>
      </c>
      <c r="C12" s="10">
        <v>220.02</v>
      </c>
      <c r="D12" s="10">
        <v>78.58</v>
      </c>
      <c r="E12" s="14">
        <v>959.6</v>
      </c>
      <c r="F12" s="14">
        <v>942.34</v>
      </c>
      <c r="G12" s="14">
        <v>1019.88</v>
      </c>
      <c r="H12" s="14">
        <v>876.78</v>
      </c>
      <c r="I12" s="14">
        <v>902.77</v>
      </c>
      <c r="J12" s="14">
        <v>986.6</v>
      </c>
      <c r="K12" s="14">
        <v>954.76</v>
      </c>
      <c r="L12" s="14">
        <v>1346.87</v>
      </c>
      <c r="M12" s="14">
        <v>1061.25</v>
      </c>
      <c r="N12" s="14">
        <v>952.83</v>
      </c>
      <c r="P12" s="14">
        <f>+P11*(1+'SImple Return'!B11)</f>
        <v>90.962145691784116</v>
      </c>
      <c r="Q12" s="14">
        <f>+Q11*(1+'SImple Return'!C11)</f>
        <v>102.61169667008673</v>
      </c>
      <c r="R12" s="14">
        <f>+R11*(1+'SImple Return'!D11)</f>
        <v>90.655283802491894</v>
      </c>
      <c r="S12" s="14">
        <f>+S11*(1+'SImple Return'!E11)</f>
        <v>95.754128623459579</v>
      </c>
      <c r="T12" s="14">
        <f>+T11*(1+'SImple Return'!F11)</f>
        <v>92.513253485175753</v>
      </c>
      <c r="U12" s="14">
        <f>+U11*(1+'SImple Return'!G11)</f>
        <v>99.935328355576473</v>
      </c>
      <c r="V12" s="14">
        <f>+V11*(1+'SImple Return'!H11)</f>
        <v>87.360880005579745</v>
      </c>
      <c r="W12" s="14">
        <f>+W11*(1+'SImple Return'!I11)</f>
        <v>90.015056186497318</v>
      </c>
      <c r="X12" s="14">
        <f>+X11*(1+'SImple Return'!J11)</f>
        <v>99.384513100502673</v>
      </c>
      <c r="Y12" s="14">
        <f>+Y11*(1+'SImple Return'!K11)</f>
        <v>92.740165128703239</v>
      </c>
      <c r="Z12" s="14">
        <f>+Z11*(1+'SImple Return'!L11)</f>
        <v>131.17798879961043</v>
      </c>
      <c r="AA12" s="14">
        <f>+AA11*(1+'SImple Return'!M11)</f>
        <v>104.99109616145627</v>
      </c>
      <c r="AB12" s="14">
        <f>+AB11*(1+'SImple Return'!N11)</f>
        <v>93.163529699340017</v>
      </c>
      <c r="AH12">
        <v>2013</v>
      </c>
      <c r="AI12" s="28">
        <f t="shared" ref="AI12:AU12" si="10">+(B575-B524)/B524</f>
        <v>0.20731912036259878</v>
      </c>
      <c r="AJ12" s="28">
        <f t="shared" si="10"/>
        <v>-2.1147145537389556E-2</v>
      </c>
      <c r="AK12" s="28">
        <f t="shared" si="10"/>
        <v>-2.0333445984003523E-2</v>
      </c>
      <c r="AL12" s="28">
        <f t="shared" si="10"/>
        <v>0.16216758319822153</v>
      </c>
      <c r="AM12" s="28">
        <f t="shared" si="10"/>
        <v>8.4901020533628385E-2</v>
      </c>
      <c r="AN12" s="28">
        <f t="shared" si="10"/>
        <v>5.9519889288587452E-2</v>
      </c>
      <c r="AO12" s="28">
        <f t="shared" si="10"/>
        <v>6.2087071334626355E-2</v>
      </c>
      <c r="AP12" s="28">
        <f t="shared" si="10"/>
        <v>0.21280549071741042</v>
      </c>
      <c r="AQ12" s="28">
        <f t="shared" si="10"/>
        <v>4.2691883593801633E-2</v>
      </c>
      <c r="AR12" s="28">
        <f t="shared" si="10"/>
        <v>5.4932350092178832E-2</v>
      </c>
      <c r="AS12" s="28">
        <f t="shared" si="10"/>
        <v>4.7856929806081736E-2</v>
      </c>
      <c r="AT12" s="28">
        <f t="shared" si="10"/>
        <v>0.17607724079158246</v>
      </c>
      <c r="AU12" s="28">
        <f t="shared" si="10"/>
        <v>0.12118784455367569</v>
      </c>
    </row>
    <row r="13" spans="1:47">
      <c r="A13" s="8">
        <v>37701</v>
      </c>
      <c r="B13" s="10">
        <v>785.87</v>
      </c>
      <c r="C13" s="10">
        <v>216.4</v>
      </c>
      <c r="D13" s="10">
        <v>81.94</v>
      </c>
      <c r="E13" s="14">
        <v>975.64</v>
      </c>
      <c r="F13" s="14">
        <v>982.7</v>
      </c>
      <c r="G13" s="14">
        <v>1012.7</v>
      </c>
      <c r="H13" s="14">
        <v>913.66</v>
      </c>
      <c r="I13" s="14">
        <v>938.91</v>
      </c>
      <c r="J13" s="14">
        <v>1011.46</v>
      </c>
      <c r="K13" s="14">
        <v>976.97</v>
      </c>
      <c r="L13" s="14">
        <v>1574.71</v>
      </c>
      <c r="M13" s="14">
        <v>1045.6600000000001</v>
      </c>
      <c r="N13" s="14">
        <v>974.27</v>
      </c>
      <c r="P13" s="14">
        <f>+P12*(1+'SImple Return'!B12)</f>
        <v>96.554901647602321</v>
      </c>
      <c r="Q13" s="14">
        <f>+Q12*(1+'SImple Return'!C12)</f>
        <v>100.92342132263779</v>
      </c>
      <c r="R13" s="14">
        <f>+R12*(1+'SImple Return'!D12)</f>
        <v>94.531610521458219</v>
      </c>
      <c r="S13" s="14">
        <f>+S12*(1+'SImple Return'!E12)</f>
        <v>97.354687422042616</v>
      </c>
      <c r="T13" s="14">
        <f>+T12*(1+'SImple Return'!F12)</f>
        <v>96.475554682898107</v>
      </c>
      <c r="U13" s="14">
        <f>+U12*(1+'SImple Return'!G12)</f>
        <v>99.231779254120383</v>
      </c>
      <c r="V13" s="14">
        <f>+V12*(1+'SImple Return'!H12)</f>
        <v>91.035540986220028</v>
      </c>
      <c r="W13" s="14">
        <f>+W12*(1+'SImple Return'!I12)</f>
        <v>93.618569961412319</v>
      </c>
      <c r="X13" s="14">
        <f>+X12*(1+'SImple Return'!J12)</f>
        <v>101.88876912693537</v>
      </c>
      <c r="Y13" s="14">
        <f>+Y12*(1+'SImple Return'!K12)</f>
        <v>94.897523069451182</v>
      </c>
      <c r="Z13" s="14">
        <f>+Z12*(1+'SImple Return'!L12)</f>
        <v>153.36839542244951</v>
      </c>
      <c r="AA13" s="14">
        <f>+AA12*(1+'SImple Return'!M12)</f>
        <v>103.44875346260388</v>
      </c>
      <c r="AB13" s="14">
        <f>+AB12*(1+'SImple Return'!N12)</f>
        <v>95.259838670251767</v>
      </c>
      <c r="AH13">
        <v>2014</v>
      </c>
      <c r="AI13" s="28">
        <f t="shared" ref="AI13:AU13" si="11">+(B627-B576)/B576</f>
        <v>5.0648522219859736E-2</v>
      </c>
      <c r="AJ13" s="28">
        <f t="shared" si="11"/>
        <v>3.4377136606044169E-2</v>
      </c>
      <c r="AK13" s="28">
        <f t="shared" si="11"/>
        <v>0.1244136826450063</v>
      </c>
      <c r="AL13" s="28">
        <f t="shared" si="11"/>
        <v>0.10015130122665931</v>
      </c>
      <c r="AM13" s="28">
        <f t="shared" si="11"/>
        <v>0.20627715355805237</v>
      </c>
      <c r="AN13" s="28">
        <f t="shared" si="11"/>
        <v>7.238847136424266E-2</v>
      </c>
      <c r="AO13" s="28">
        <f t="shared" si="11"/>
        <v>0.21319391709017249</v>
      </c>
      <c r="AP13" s="28">
        <f t="shared" si="11"/>
        <v>0.1537478925538627</v>
      </c>
      <c r="AQ13" s="28">
        <f t="shared" si="11"/>
        <v>0.17090823657804588</v>
      </c>
      <c r="AR13" s="28">
        <f t="shared" si="11"/>
        <v>-1.1063049331485334E-2</v>
      </c>
      <c r="AS13" s="28">
        <f t="shared" si="11"/>
        <v>0.19297829705361969</v>
      </c>
      <c r="AT13" s="28">
        <f t="shared" si="11"/>
        <v>8.4248604586450213E-2</v>
      </c>
      <c r="AU13" s="28">
        <f t="shared" si="11"/>
        <v>0.14749310794025874</v>
      </c>
    </row>
    <row r="14" spans="1:47">
      <c r="A14" s="8">
        <v>37708</v>
      </c>
      <c r="B14" s="10">
        <v>762.95</v>
      </c>
      <c r="C14" s="10">
        <v>219.03</v>
      </c>
      <c r="D14" s="10">
        <v>81.2</v>
      </c>
      <c r="E14" s="14">
        <v>971.51</v>
      </c>
      <c r="F14" s="14">
        <v>973.67</v>
      </c>
      <c r="G14" s="14">
        <v>1052.06</v>
      </c>
      <c r="H14" s="14">
        <v>889.47</v>
      </c>
      <c r="I14" s="14">
        <v>936.71</v>
      </c>
      <c r="J14" s="14">
        <v>1012.04</v>
      </c>
      <c r="K14" s="14">
        <v>977.19</v>
      </c>
      <c r="L14" s="14">
        <v>1453.78</v>
      </c>
      <c r="M14" s="14">
        <v>1091.23</v>
      </c>
      <c r="N14" s="14">
        <v>975.44</v>
      </c>
      <c r="P14" s="14">
        <f>+P13*(1+'SImple Return'!B13)</f>
        <v>93.738865476526897</v>
      </c>
      <c r="Q14" s="14">
        <f>+Q13*(1+'SImple Return'!C13)</f>
        <v>102.14998600876783</v>
      </c>
      <c r="R14" s="14">
        <f>+R13*(1+'SImple Return'!D13)</f>
        <v>93.677895708352551</v>
      </c>
      <c r="S14" s="14">
        <f>+S13*(1+'SImple Return'!E13)</f>
        <v>96.942573467045861</v>
      </c>
      <c r="T14" s="14">
        <f>+T13*(1+'SImple Return'!F13)</f>
        <v>95.589043785588061</v>
      </c>
      <c r="U14" s="14">
        <f>+U13*(1+'SImple Return'!G13)</f>
        <v>103.08856095792424</v>
      </c>
      <c r="V14" s="14">
        <f>+V13*(1+'SImple Return'!H13)</f>
        <v>88.625290196586406</v>
      </c>
      <c r="W14" s="14">
        <f>+W13*(1+'SImple Return'!I13)</f>
        <v>93.399208303835877</v>
      </c>
      <c r="X14" s="14">
        <f>+X13*(1+'SImple Return'!J13)</f>
        <v>101.94719505192856</v>
      </c>
      <c r="Y14" s="14">
        <f>+Y13*(1+'SImple Return'!K13)</f>
        <v>94.918892666342884</v>
      </c>
      <c r="Z14" s="14">
        <f>+Z13*(1+'SImple Return'!L13)</f>
        <v>141.59045532018507</v>
      </c>
      <c r="AA14" s="14">
        <f>+AA13*(1+'SImple Return'!M13)</f>
        <v>107.95706371191136</v>
      </c>
      <c r="AB14" s="14">
        <f>+AB13*(1+'SImple Return'!N13)</f>
        <v>95.374236128086039</v>
      </c>
      <c r="AH14">
        <v>2015</v>
      </c>
      <c r="AI14" s="28">
        <f t="shared" ref="AI14:AU14" si="12">+(B679-B628)/B628</f>
        <v>-1.8425421332660733E-2</v>
      </c>
      <c r="AJ14" s="28">
        <f t="shared" si="12"/>
        <v>-6.446689822124106E-3</v>
      </c>
      <c r="AK14" s="28">
        <f t="shared" si="12"/>
        <v>-2.7923834805247839E-2</v>
      </c>
      <c r="AL14" s="28">
        <f t="shared" si="12"/>
        <v>-1.345324511825993E-2</v>
      </c>
      <c r="AM14" s="28">
        <f t="shared" si="12"/>
        <v>-0.24273317737101338</v>
      </c>
      <c r="AN14" s="28">
        <f t="shared" si="12"/>
        <v>-1.6086796589613716E-2</v>
      </c>
      <c r="AO14" s="28">
        <f t="shared" si="12"/>
        <v>-1.7380358841473362E-2</v>
      </c>
      <c r="AP14" s="28">
        <f t="shared" si="12"/>
        <v>0.16042357058706005</v>
      </c>
      <c r="AQ14" s="28">
        <f t="shared" si="12"/>
        <v>2.8378941565239086E-2</v>
      </c>
      <c r="AR14" s="28">
        <f t="shared" si="12"/>
        <v>-0.22814225941422595</v>
      </c>
      <c r="AS14" s="28">
        <f t="shared" si="12"/>
        <v>-2.5128052291807632E-2</v>
      </c>
      <c r="AT14" s="28">
        <f t="shared" si="12"/>
        <v>5.1187270874214841E-3</v>
      </c>
      <c r="AU14" s="28">
        <f t="shared" si="12"/>
        <v>-0.31846032620296899</v>
      </c>
    </row>
    <row r="15" spans="1:47">
      <c r="A15" s="8">
        <v>37715</v>
      </c>
      <c r="B15" s="10">
        <v>774.86</v>
      </c>
      <c r="C15" s="10">
        <v>218.93</v>
      </c>
      <c r="D15" s="10">
        <v>80.13</v>
      </c>
      <c r="E15" s="14">
        <v>983.87</v>
      </c>
      <c r="F15" s="14">
        <v>996.9</v>
      </c>
      <c r="G15" s="14">
        <v>1040.93</v>
      </c>
      <c r="H15" s="14">
        <v>916.33</v>
      </c>
      <c r="I15" s="14">
        <v>913.31</v>
      </c>
      <c r="J15" s="14">
        <v>1035.8599999999999</v>
      </c>
      <c r="K15" s="14">
        <v>978.71</v>
      </c>
      <c r="L15" s="14">
        <v>1608.14</v>
      </c>
      <c r="M15" s="14">
        <v>1093.32</v>
      </c>
      <c r="N15" s="14">
        <v>987.88</v>
      </c>
      <c r="P15" s="14">
        <f>+P14*(1+'SImple Return'!B14)</f>
        <v>95.202172230344871</v>
      </c>
      <c r="Q15" s="14">
        <f>+Q14*(1+'SImple Return'!C14)</f>
        <v>102.10334856823056</v>
      </c>
      <c r="R15" s="14">
        <f>+R14*(1+'SImple Return'!D14)</f>
        <v>92.443470235348386</v>
      </c>
      <c r="S15" s="14">
        <f>+S14*(1+'SImple Return'!E14)</f>
        <v>98.175921768198393</v>
      </c>
      <c r="T15" s="14">
        <f>+T14*(1+'SImple Return'!F14)</f>
        <v>97.869624975456503</v>
      </c>
      <c r="U15" s="14">
        <f>+U14*(1+'SImple Return'!G14)</f>
        <v>101.99796186332728</v>
      </c>
      <c r="V15" s="14">
        <f>+V14*(1+'SImple Return'!H14)</f>
        <v>91.301575281727352</v>
      </c>
      <c r="W15" s="14">
        <f>+W14*(1+'SImple Return'!I14)</f>
        <v>91.06599794597723</v>
      </c>
      <c r="X15" s="14">
        <f>+X14*(1+'SImple Return'!J14)</f>
        <v>104.34668735078722</v>
      </c>
      <c r="Y15" s="14">
        <f>+Y14*(1+'SImple Return'!K14)</f>
        <v>95.066537153958222</v>
      </c>
      <c r="Z15" s="14">
        <f>+Z14*(1+'SImple Return'!L14)</f>
        <v>156.62429997565135</v>
      </c>
      <c r="AA15" s="14">
        <f>+AA14*(1+'SImple Return'!M14)</f>
        <v>108.16383062920458</v>
      </c>
      <c r="AB15" s="14">
        <f>+AB14*(1+'SImple Return'!N14)</f>
        <v>96.590564654118793</v>
      </c>
      <c r="AH15">
        <v>2016</v>
      </c>
      <c r="AI15" s="28">
        <f t="shared" ref="AI15:AU15" si="13">+(B732-B680)/B680</f>
        <v>5.3181700635678626E-2</v>
      </c>
      <c r="AJ15" s="28">
        <f t="shared" si="13"/>
        <v>2.5722619994696334E-2</v>
      </c>
      <c r="AK15" s="28">
        <f t="shared" si="13"/>
        <v>1.3696465258388605E-3</v>
      </c>
      <c r="AL15" s="28">
        <f t="shared" si="13"/>
        <v>-0.11922341651590762</v>
      </c>
      <c r="AM15" s="28">
        <f t="shared" si="13"/>
        <v>0.22435536482402688</v>
      </c>
      <c r="AN15" s="28">
        <f t="shared" si="13"/>
        <v>-3.4681278538812803E-2</v>
      </c>
      <c r="AO15" s="28">
        <f t="shared" si="13"/>
        <v>3.2549287115872169E-3</v>
      </c>
      <c r="AP15" s="28">
        <f t="shared" si="13"/>
        <v>1.991971237184512E-2</v>
      </c>
      <c r="AQ15" s="28">
        <f t="shared" si="13"/>
        <v>1.0397356331103409E-2</v>
      </c>
      <c r="AR15" s="28">
        <f t="shared" si="13"/>
        <v>-9.445656728357113E-2</v>
      </c>
      <c r="AS15" s="28">
        <f t="shared" si="13"/>
        <v>-3.7490643639369998E-3</v>
      </c>
      <c r="AT15" s="28">
        <f t="shared" si="13"/>
        <v>-9.0455848526395793E-2</v>
      </c>
      <c r="AU15" s="28">
        <f t="shared" si="13"/>
        <v>0.24046426074833138</v>
      </c>
    </row>
    <row r="16" spans="1:47">
      <c r="A16" s="8">
        <v>37722</v>
      </c>
      <c r="B16" s="10">
        <v>770.3</v>
      </c>
      <c r="C16" s="10">
        <v>219.1</v>
      </c>
      <c r="D16" s="10">
        <v>79.09</v>
      </c>
      <c r="E16" s="14">
        <v>989.86</v>
      </c>
      <c r="F16" s="14">
        <v>999.85</v>
      </c>
      <c r="G16" s="14">
        <v>1091.82</v>
      </c>
      <c r="H16" s="14">
        <v>919.79</v>
      </c>
      <c r="I16" s="14">
        <v>913.17</v>
      </c>
      <c r="J16" s="14">
        <v>1033.1600000000001</v>
      </c>
      <c r="K16" s="14">
        <v>999.54</v>
      </c>
      <c r="L16" s="14">
        <v>1692.14</v>
      </c>
      <c r="M16" s="14">
        <v>1132.55</v>
      </c>
      <c r="N16" s="14">
        <v>990.57</v>
      </c>
      <c r="P16" s="14">
        <f>+P15*(1+'SImple Return'!B15)</f>
        <v>94.641913725104729</v>
      </c>
      <c r="Q16" s="14">
        <f>+Q15*(1+'SImple Return'!C15)</f>
        <v>102.18263221714389</v>
      </c>
      <c r="R16" s="14">
        <f>+R15*(1+'SImple Return'!D15)</f>
        <v>91.243654822335017</v>
      </c>
      <c r="S16" s="14">
        <f>+S15*(1+'SImple Return'!E15)</f>
        <v>98.773636681135571</v>
      </c>
      <c r="T16" s="14">
        <f>+T15*(1+'SImple Return'!F15)</f>
        <v>98.159238170037312</v>
      </c>
      <c r="U16" s="14">
        <f>+U15*(1+'SImple Return'!G15)</f>
        <v>106.98453759774239</v>
      </c>
      <c r="V16" s="14">
        <f>+V15*(1+'SImple Return'!H15)</f>
        <v>91.64632384444468</v>
      </c>
      <c r="W16" s="14">
        <f>+W15*(1+'SImple Return'!I15)</f>
        <v>91.052038567767823</v>
      </c>
      <c r="X16" s="14">
        <f>+X15*(1+'SImple Return'!J15)</f>
        <v>104.07470459650855</v>
      </c>
      <c r="Y16" s="14">
        <f>+Y15*(1+'SImple Return'!K15)</f>
        <v>97.089849441476417</v>
      </c>
      <c r="Z16" s="14">
        <f>+Z15*(1+'SImple Return'!L15)</f>
        <v>164.80545410275144</v>
      </c>
      <c r="AA16" s="14">
        <f>+AA15*(1+'SImple Return'!M15)</f>
        <v>112.04491491887613</v>
      </c>
      <c r="AB16" s="14">
        <f>+AB15*(1+'SImple Return'!N15)</f>
        <v>96.853581031532627</v>
      </c>
    </row>
    <row r="17" spans="1:47">
      <c r="A17" s="8">
        <v>37729</v>
      </c>
      <c r="B17" s="10">
        <v>792.77</v>
      </c>
      <c r="C17" s="10">
        <v>220.33</v>
      </c>
      <c r="D17" s="10">
        <v>80.260000000000005</v>
      </c>
      <c r="E17" s="14">
        <v>1000.68</v>
      </c>
      <c r="F17" s="14">
        <v>1008.91</v>
      </c>
      <c r="G17" s="14">
        <v>1088.31</v>
      </c>
      <c r="H17" s="14">
        <v>922.41</v>
      </c>
      <c r="I17" s="14">
        <v>931.17</v>
      </c>
      <c r="J17" s="14">
        <v>1036</v>
      </c>
      <c r="K17" s="14">
        <v>1000.83</v>
      </c>
      <c r="L17" s="14">
        <v>1719.7</v>
      </c>
      <c r="M17" s="14">
        <v>1133.22</v>
      </c>
      <c r="N17" s="14">
        <v>1008.38</v>
      </c>
      <c r="P17" s="14">
        <f>+P16*(1+'SImple Return'!B16)</f>
        <v>97.40266122789987</v>
      </c>
      <c r="Q17" s="14">
        <f>+Q16*(1+'SImple Return'!C16)</f>
        <v>102.75627273575223</v>
      </c>
      <c r="R17" s="14">
        <f>+R16*(1+'SImple Return'!D16)</f>
        <v>92.593447161975078</v>
      </c>
      <c r="S17" s="14">
        <f>+S16*(1+'SImple Return'!E16)</f>
        <v>99.853315371950302</v>
      </c>
      <c r="T17" s="14">
        <f>+T16*(1+'SImple Return'!F16)</f>
        <v>99.048694286275293</v>
      </c>
      <c r="U17" s="14">
        <f>+U16*(1+'SImple Return'!G16)</f>
        <v>106.6406020342172</v>
      </c>
      <c r="V17" s="14">
        <f>+V16*(1+'SImple Return'!H16)</f>
        <v>91.907376224305779</v>
      </c>
      <c r="W17" s="14">
        <f>+W16*(1+'SImple Return'!I16)</f>
        <v>92.846815766120613</v>
      </c>
      <c r="X17" s="14">
        <f>+X16*(1+'SImple Return'!J16)</f>
        <v>104.36079016026835</v>
      </c>
      <c r="Y17" s="14">
        <f>+Y16*(1+'SImple Return'!K16)</f>
        <v>97.215152986886807</v>
      </c>
      <c r="Z17" s="14">
        <f>+Z16*(1+'SImple Return'!L16)</f>
        <v>167.48965181397617</v>
      </c>
      <c r="AA17" s="14">
        <f>+AA16*(1+'SImple Return'!M16)</f>
        <v>112.11119905025723</v>
      </c>
      <c r="AB17" s="14">
        <f>+AB16*(1+'SImple Return'!N16)</f>
        <v>98.594964556343172</v>
      </c>
    </row>
    <row r="18" spans="1:47">
      <c r="A18" s="8">
        <v>37736</v>
      </c>
      <c r="B18" s="10">
        <v>794.41</v>
      </c>
      <c r="C18" s="10">
        <v>221.57</v>
      </c>
      <c r="D18" s="10">
        <v>80.599999999999994</v>
      </c>
      <c r="E18" s="14">
        <v>1001.28</v>
      </c>
      <c r="F18" s="14">
        <v>1022.42</v>
      </c>
      <c r="G18" s="14">
        <v>1111.1600000000001</v>
      </c>
      <c r="H18" s="14">
        <v>927.29</v>
      </c>
      <c r="I18" s="14">
        <v>925.33</v>
      </c>
      <c r="J18" s="14">
        <v>1023.12</v>
      </c>
      <c r="K18" s="14">
        <v>983.15</v>
      </c>
      <c r="L18" s="14">
        <v>1746.51</v>
      </c>
      <c r="M18" s="14">
        <v>1158.44</v>
      </c>
      <c r="N18" s="14">
        <v>1027.8</v>
      </c>
      <c r="P18" s="14">
        <f>+P17*(1+'SImple Return'!B17)</f>
        <v>97.604157707854668</v>
      </c>
      <c r="Q18" s="14">
        <f>+Q17*(1+'SImple Return'!C17)</f>
        <v>103.33457699841429</v>
      </c>
      <c r="R18" s="14">
        <f>+R17*(1+'SImple Return'!D17)</f>
        <v>92.985694508537136</v>
      </c>
      <c r="S18" s="14">
        <f>+S17*(1+'SImple Return'!E17)</f>
        <v>99.913186648705278</v>
      </c>
      <c r="T18" s="14">
        <f>+T17*(1+'SImple Return'!F17)</f>
        <v>100.37502454349109</v>
      </c>
      <c r="U18" s="14">
        <f>+U17*(1+'SImple Return'!G17)</f>
        <v>108.87961275403222</v>
      </c>
      <c r="V18" s="14">
        <f>+V17*(1+'SImple Return'!H17)</f>
        <v>92.393611191375314</v>
      </c>
      <c r="W18" s="14">
        <f>+W17*(1+'SImple Return'!I17)</f>
        <v>92.264510275099497</v>
      </c>
      <c r="X18" s="14">
        <f>+X17*(1+'SImple Return'!J17)</f>
        <v>103.06333168800556</v>
      </c>
      <c r="Y18" s="14">
        <f>+Y17*(1+'SImple Return'!K17)</f>
        <v>95.497814473045125</v>
      </c>
      <c r="Z18" s="14">
        <f>+Z17*(1+'SImple Return'!L17)</f>
        <v>170.10080350620893</v>
      </c>
      <c r="AA18" s="14">
        <f>+AA17*(1+'SImple Return'!M17)</f>
        <v>114.60625247328849</v>
      </c>
      <c r="AB18" s="14">
        <f>+AB17*(1+'SImple Return'!N17)</f>
        <v>100.49376680518209</v>
      </c>
      <c r="AH18" t="s">
        <v>307</v>
      </c>
      <c r="AI18" s="28">
        <f>+AVERAGE(AI2:AI15)</f>
        <v>6.7290350019643633E-2</v>
      </c>
      <c r="AJ18" s="28">
        <f t="shared" ref="AJ18:AU18" si="14">+AVERAGE(AJ2:AJ15)</f>
        <v>4.2823822221095119E-2</v>
      </c>
      <c r="AK18" s="28">
        <f t="shared" si="14"/>
        <v>8.2963998161850183E-2</v>
      </c>
      <c r="AL18" s="28">
        <f t="shared" si="14"/>
        <v>9.2181006215177219E-2</v>
      </c>
      <c r="AM18" s="28">
        <f t="shared" si="14"/>
        <v>0.11022254935407345</v>
      </c>
      <c r="AN18" s="28">
        <f t="shared" si="14"/>
        <v>9.695352228401112E-2</v>
      </c>
      <c r="AO18" s="28">
        <f t="shared" si="14"/>
        <v>7.6548206380049708E-2</v>
      </c>
      <c r="AP18" s="28">
        <f t="shared" si="14"/>
        <v>0.1510051429946441</v>
      </c>
      <c r="AQ18" s="28">
        <f t="shared" si="14"/>
        <v>0.10220396504827119</v>
      </c>
      <c r="AR18" s="28">
        <f t="shared" si="14"/>
        <v>8.7293317112207197E-2</v>
      </c>
      <c r="AS18" s="28">
        <f t="shared" si="14"/>
        <v>0.32000104777493571</v>
      </c>
      <c r="AT18" s="28">
        <f t="shared" si="14"/>
        <v>8.6824893812864803E-2</v>
      </c>
      <c r="AU18" s="28">
        <f t="shared" si="14"/>
        <v>9.9400631148909541E-2</v>
      </c>
    </row>
    <row r="19" spans="1:47">
      <c r="A19" s="8">
        <v>37743</v>
      </c>
      <c r="B19" s="10">
        <v>822.5</v>
      </c>
      <c r="C19" s="10">
        <v>222.87</v>
      </c>
      <c r="D19" s="10">
        <v>82.95</v>
      </c>
      <c r="E19" s="14">
        <v>1021.98</v>
      </c>
      <c r="F19" s="14">
        <v>1033.02</v>
      </c>
      <c r="G19" s="14">
        <v>1145.0899999999999</v>
      </c>
      <c r="H19" s="14">
        <v>933.86</v>
      </c>
      <c r="I19" s="14">
        <v>981.14</v>
      </c>
      <c r="J19" s="14">
        <v>1025.58</v>
      </c>
      <c r="K19" s="14">
        <v>1020.09</v>
      </c>
      <c r="L19" s="14">
        <v>1871.98</v>
      </c>
      <c r="M19" s="14">
        <v>1174.6600000000001</v>
      </c>
      <c r="N19" s="14">
        <v>1041.81</v>
      </c>
      <c r="P19" s="14">
        <f>+P18*(1+'SImple Return'!B18)</f>
        <v>101.05539924561683</v>
      </c>
      <c r="Q19" s="14">
        <f>+Q18*(1+'SImple Return'!C18)</f>
        <v>103.94086372539871</v>
      </c>
      <c r="R19" s="14">
        <f>+R18*(1+'SImple Return'!D18)</f>
        <v>95.696815874480833</v>
      </c>
      <c r="S19" s="14">
        <f>+S18*(1+'SImple Return'!E18)</f>
        <v>101.97874569675199</v>
      </c>
      <c r="T19" s="14">
        <f>+T18*(1+'SImple Return'!F18)</f>
        <v>101.41566856469666</v>
      </c>
      <c r="U19" s="14">
        <f>+U18*(1+'SImple Return'!G18)</f>
        <v>112.20432320144239</v>
      </c>
      <c r="V19" s="14">
        <f>+V18*(1+'SImple Return'!H18)</f>
        <v>93.048234907286556</v>
      </c>
      <c r="W19" s="14">
        <f>+W18*(1+'SImple Return'!I18)</f>
        <v>97.829316688436677</v>
      </c>
      <c r="X19" s="14">
        <f>+X18*(1+'SImple Return'!J18)</f>
        <v>103.31113819745947</v>
      </c>
      <c r="Y19" s="14">
        <f>+Y18*(1+'SImple Return'!K18)</f>
        <v>99.085964060223361</v>
      </c>
      <c r="Z19" s="14">
        <f>+Z18*(1+'SImple Return'!L18)</f>
        <v>182.3209155101047</v>
      </c>
      <c r="AA19" s="14">
        <f>+AA18*(1+'SImple Return'!M18)</f>
        <v>116.210922041947</v>
      </c>
      <c r="AB19" s="14">
        <f>+AB18*(1+'SImple Return'!N18)</f>
        <v>101.86360303104374</v>
      </c>
      <c r="AH19" t="s">
        <v>308</v>
      </c>
      <c r="AI19" s="28">
        <f>+AVERAGE(AI2:AI5)</f>
        <v>0.15377710305024087</v>
      </c>
      <c r="AJ19" s="28">
        <f t="shared" ref="AJ19:AU19" si="15">+AVERAGE(AJ2:AJ5)</f>
        <v>4.5443254537488903E-2</v>
      </c>
      <c r="AK19" s="28">
        <f t="shared" si="15"/>
        <v>0.26858148478384691</v>
      </c>
      <c r="AL19" s="28">
        <f t="shared" si="15"/>
        <v>0.26146785052181981</v>
      </c>
      <c r="AM19" s="28">
        <f t="shared" si="15"/>
        <v>0.18610588713978324</v>
      </c>
      <c r="AN19" s="28">
        <f t="shared" si="15"/>
        <v>0.23168151372381407</v>
      </c>
      <c r="AO19" s="28">
        <f t="shared" si="15"/>
        <v>0.15610265502159593</v>
      </c>
      <c r="AP19" s="28">
        <f t="shared" si="15"/>
        <v>0.27229974718303207</v>
      </c>
      <c r="AQ19" s="28">
        <f t="shared" si="15"/>
        <v>0.25074549213430547</v>
      </c>
      <c r="AR19" s="28">
        <f t="shared" si="15"/>
        <v>0.38087883937020861</v>
      </c>
      <c r="AS19" s="28">
        <f t="shared" si="15"/>
        <v>0.81945254506356324</v>
      </c>
      <c r="AT19" s="28">
        <f t="shared" si="15"/>
        <v>0.26882387360848642</v>
      </c>
      <c r="AU19" s="28">
        <f t="shared" si="15"/>
        <v>0.17037149544912963</v>
      </c>
    </row>
    <row r="20" spans="1:47">
      <c r="A20" s="8">
        <v>37750</v>
      </c>
      <c r="B20" s="10">
        <v>831.39</v>
      </c>
      <c r="C20" s="10">
        <v>225.73</v>
      </c>
      <c r="D20" s="10">
        <v>85.48</v>
      </c>
      <c r="E20" s="14">
        <v>1034.8900000000001</v>
      </c>
      <c r="F20" s="14">
        <v>1050.2</v>
      </c>
      <c r="G20" s="14">
        <v>1179.6500000000001</v>
      </c>
      <c r="H20" s="14">
        <v>939.89</v>
      </c>
      <c r="I20" s="14">
        <v>996.45</v>
      </c>
      <c r="J20" s="14">
        <v>1021.7</v>
      </c>
      <c r="K20" s="14">
        <v>1031.53</v>
      </c>
      <c r="L20" s="14">
        <v>1990.26</v>
      </c>
      <c r="M20" s="14">
        <v>1216.3900000000001</v>
      </c>
      <c r="N20" s="14">
        <v>1061.99</v>
      </c>
      <c r="P20" s="14">
        <f>+P19*(1+'SImple Return'!B19)</f>
        <v>102.14765760342051</v>
      </c>
      <c r="Q20" s="14">
        <f>+Q19*(1+'SImple Return'!C19)</f>
        <v>105.27469452476444</v>
      </c>
      <c r="R20" s="14">
        <f>+R19*(1+'SImple Return'!D19)</f>
        <v>98.615597600369156</v>
      </c>
      <c r="S20" s="14">
        <f>+S19*(1+'SImple Return'!E19)</f>
        <v>103.26697600159657</v>
      </c>
      <c r="T20" s="14">
        <f>+T19*(1+'SImple Return'!F19)</f>
        <v>103.10229727076381</v>
      </c>
      <c r="U20" s="14">
        <f>+U19*(1+'SImple Return'!G19)</f>
        <v>115.59076567307508</v>
      </c>
      <c r="V20" s="14">
        <f>+V19*(1+'SImple Return'!H19)</f>
        <v>93.649053934218799</v>
      </c>
      <c r="W20" s="14">
        <f>+W19*(1+'SImple Return'!I19)</f>
        <v>99.355874405480094</v>
      </c>
      <c r="X20" s="14">
        <f>+X19*(1+'SImple Return'!J19)</f>
        <v>102.92028890612566</v>
      </c>
      <c r="Y20" s="14">
        <f>+Y19*(1+'SImple Return'!K19)</f>
        <v>100.19718309859149</v>
      </c>
      <c r="Z20" s="14">
        <f>+Z19*(1+'SImple Return'!L19)</f>
        <v>193.84075967859749</v>
      </c>
      <c r="AA20" s="14">
        <f>+AA19*(1+'SImple Return'!M19)</f>
        <v>120.33933518005543</v>
      </c>
      <c r="AB20" s="14">
        <f>+AB19*(1+'SImple Return'!N19)</f>
        <v>103.83671473967243</v>
      </c>
      <c r="AH20" t="s">
        <v>309</v>
      </c>
      <c r="AI20" s="28">
        <f>+AVERAGE(AI6:AI8)</f>
        <v>-3.2529275028395858E-2</v>
      </c>
      <c r="AJ20" s="28">
        <f t="shared" ref="AJ20:AU20" si="16">+AVERAGE(AJ6:AJ8)</f>
        <v>6.5379322554322022E-2</v>
      </c>
      <c r="AK20" s="28">
        <f t="shared" si="16"/>
        <v>-0.10021912936061307</v>
      </c>
      <c r="AL20" s="28">
        <f t="shared" si="16"/>
        <v>-4.2240326124563981E-3</v>
      </c>
      <c r="AM20" s="28">
        <f t="shared" si="16"/>
        <v>2.3307986459598917E-2</v>
      </c>
      <c r="AN20" s="28">
        <f t="shared" si="16"/>
        <v>1.725817361956548E-2</v>
      </c>
      <c r="AO20" s="28">
        <f t="shared" si="16"/>
        <v>-5.395338799291105E-5</v>
      </c>
      <c r="AP20" s="28">
        <f t="shared" si="16"/>
        <v>2.5782678621086186E-2</v>
      </c>
      <c r="AQ20" s="28">
        <f t="shared" si="16"/>
        <v>-8.8947193261014246E-2</v>
      </c>
      <c r="AR20" s="28">
        <f t="shared" si="16"/>
        <v>-4.6036475024922086E-2</v>
      </c>
      <c r="AS20" s="28">
        <f t="shared" si="16"/>
        <v>0.13175692448681434</v>
      </c>
      <c r="AT20" s="28">
        <f t="shared" si="16"/>
        <v>-1.5210007401975922E-2</v>
      </c>
      <c r="AU20" s="28">
        <f t="shared" si="16"/>
        <v>4.1205183771310015E-2</v>
      </c>
    </row>
    <row r="21" spans="1:47">
      <c r="A21" s="8">
        <v>37757</v>
      </c>
      <c r="B21" s="10">
        <v>844.29</v>
      </c>
      <c r="C21" s="10">
        <v>227.73</v>
      </c>
      <c r="D21" s="10">
        <v>86.96</v>
      </c>
      <c r="E21" s="14">
        <v>1059.06</v>
      </c>
      <c r="F21" s="14">
        <v>1069.8399999999999</v>
      </c>
      <c r="G21" s="14">
        <v>1205.25</v>
      </c>
      <c r="H21" s="14">
        <v>975.84</v>
      </c>
      <c r="I21" s="14">
        <v>1028.02</v>
      </c>
      <c r="J21" s="14">
        <v>1054.26</v>
      </c>
      <c r="K21" s="14">
        <v>1058.42</v>
      </c>
      <c r="L21" s="14">
        <v>2002.51</v>
      </c>
      <c r="M21" s="14">
        <v>1219.9000000000001</v>
      </c>
      <c r="N21" s="14">
        <v>1071.08</v>
      </c>
      <c r="P21" s="14">
        <f>+P20*(1+'SImple Return'!B20)</f>
        <v>103.7325994274551</v>
      </c>
      <c r="Q21" s="14">
        <f>+Q20*(1+'SImple Return'!C20)</f>
        <v>106.20744333550971</v>
      </c>
      <c r="R21" s="14">
        <f>+R20*(1+'SImple Return'!D20)</f>
        <v>100.32302722658049</v>
      </c>
      <c r="S21" s="14">
        <f>+S20*(1+'SImple Return'!E20)</f>
        <v>105.67879060020955</v>
      </c>
      <c r="T21" s="14">
        <f>+T20*(1+'SImple Return'!F20)</f>
        <v>105.03043392892205</v>
      </c>
      <c r="U21" s="14">
        <f>+U20*(1+'SImple Return'!G20)</f>
        <v>118.09924157798815</v>
      </c>
      <c r="V21" s="14">
        <f>+V20*(1+'SImple Return'!H20)</f>
        <v>97.23105128383969</v>
      </c>
      <c r="W21" s="14">
        <f>+W20*(1+'SImple Return'!I20)</f>
        <v>102.50371419170219</v>
      </c>
      <c r="X21" s="14">
        <f>+X20*(1+'SImple Return'!J20)</f>
        <v>106.2001994540198</v>
      </c>
      <c r="Y21" s="14">
        <f>+Y20*(1+'SImple Return'!K20)</f>
        <v>102.80913064594458</v>
      </c>
      <c r="Z21" s="14">
        <f>+Z20*(1+'SImple Return'!L20)</f>
        <v>195.03384465546625</v>
      </c>
      <c r="AA21" s="14">
        <f>+AA20*(1+'SImple Return'!M20)</f>
        <v>120.68658488326081</v>
      </c>
      <c r="AB21" s="14">
        <f>+AB20*(1+'SImple Return'!N20)</f>
        <v>104.72549498900023</v>
      </c>
      <c r="AH21" t="s">
        <v>310</v>
      </c>
      <c r="AI21" s="28">
        <f>+AVERAGE(AI9:AI15)</f>
        <v>6.0649187594176389E-2</v>
      </c>
      <c r="AJ21" s="28">
        <f t="shared" ref="AJ21:AT21" si="17">+AVERAGE(AJ9:AJ15)</f>
        <v>3.1660360754630003E-2</v>
      </c>
      <c r="AK21" s="28">
        <f t="shared" si="17"/>
        <v>5.5403917601764843E-2</v>
      </c>
      <c r="AL21" s="28">
        <f t="shared" si="17"/>
        <v>3.6762111823224419E-2</v>
      </c>
      <c r="AM21" s="28">
        <f t="shared" si="17"/>
        <v>0.10410974043129979</v>
      </c>
      <c r="AN21" s="28">
        <f t="shared" si="17"/>
        <v>5.4121248031743265E-2</v>
      </c>
      <c r="AO21" s="28">
        <f t="shared" si="17"/>
        <v>6.3918018485470157E-2</v>
      </c>
      <c r="AP21" s="28">
        <f t="shared" si="17"/>
        <v>0.13536071104709005</v>
      </c>
      <c r="AQ21" s="28">
        <f t="shared" si="17"/>
        <v>9.924501741737389E-2</v>
      </c>
      <c r="AR21" s="28">
        <f t="shared" si="17"/>
        <v>-2.3328498976452505E-2</v>
      </c>
      <c r="AS21" s="28">
        <f t="shared" si="17"/>
        <v>0.11527624501920067</v>
      </c>
      <c r="AT21" s="28">
        <f t="shared" si="17"/>
        <v>2.6554720164584177E-2</v>
      </c>
      <c r="AU21" s="28">
        <f>+AVERAGE(AU9:AU15)</f>
        <v>8.3786757567754985E-2</v>
      </c>
    </row>
    <row r="22" spans="1:47">
      <c r="A22" s="8">
        <v>37764</v>
      </c>
      <c r="B22" s="10">
        <v>836.94</v>
      </c>
      <c r="C22" s="10">
        <v>229.19</v>
      </c>
      <c r="D22" s="10">
        <v>88.56</v>
      </c>
      <c r="E22" s="14">
        <v>1069.96</v>
      </c>
      <c r="F22" s="14">
        <v>1115.1099999999999</v>
      </c>
      <c r="G22" s="14">
        <v>1253.6500000000001</v>
      </c>
      <c r="H22" s="14">
        <v>1007.77</v>
      </c>
      <c r="I22" s="14">
        <v>1026.6300000000001</v>
      </c>
      <c r="J22" s="14">
        <v>1057.53</v>
      </c>
      <c r="K22" s="14">
        <v>1054.74</v>
      </c>
      <c r="L22" s="14">
        <v>2125.52</v>
      </c>
      <c r="M22" s="14">
        <v>1281.3599999999999</v>
      </c>
      <c r="N22" s="14">
        <v>1101.74</v>
      </c>
      <c r="P22" s="14">
        <f>+P21*(1+'SImple Return'!B21)</f>
        <v>102.82955117887725</v>
      </c>
      <c r="Q22" s="14">
        <f>+Q21*(1+'SImple Return'!C21)</f>
        <v>106.88834996735376</v>
      </c>
      <c r="R22" s="14">
        <f>+R21*(1+'SImple Return'!D21)</f>
        <v>102.16889709275493</v>
      </c>
      <c r="S22" s="14">
        <f>+S21*(1+'SImple Return'!E21)</f>
        <v>106.76645212792496</v>
      </c>
      <c r="T22" s="14">
        <f>+T21*(1+'SImple Return'!F21)</f>
        <v>109.47476929118396</v>
      </c>
      <c r="U22" s="14">
        <f>+U21*(1+'SImple Return'!G21)</f>
        <v>122.84182883571445</v>
      </c>
      <c r="V22" s="14">
        <f>+V21*(1+'SImple Return'!H21)</f>
        <v>100.41250261550573</v>
      </c>
      <c r="W22" s="14">
        <f>+W21*(1+'SImple Return'!I21)</f>
        <v>102.36511750805163</v>
      </c>
      <c r="X22" s="14">
        <f>+X21*(1+'SImple Return'!J21)</f>
        <v>106.52960078975732</v>
      </c>
      <c r="Y22" s="14">
        <f>+Y21*(1+'SImple Return'!K21)</f>
        <v>102.45167557066532</v>
      </c>
      <c r="Z22" s="14">
        <f>+Z21*(1+'SImple Return'!L21)</f>
        <v>207.01436571706839</v>
      </c>
      <c r="AA22" s="14">
        <f>+AA21*(1+'SImple Return'!M21)</f>
        <v>126.76691729323309</v>
      </c>
      <c r="AB22" s="14">
        <f>+AB21*(1+'SImple Return'!N21)</f>
        <v>107.72329503788805</v>
      </c>
    </row>
    <row r="23" spans="1:47">
      <c r="A23" s="8">
        <v>37771</v>
      </c>
      <c r="B23" s="10">
        <v>857.65</v>
      </c>
      <c r="C23" s="10">
        <v>228.63</v>
      </c>
      <c r="D23" s="10">
        <v>88.51</v>
      </c>
      <c r="E23" s="14">
        <v>1057.1099999999999</v>
      </c>
      <c r="F23" s="14">
        <v>1129.02</v>
      </c>
      <c r="G23" s="14">
        <v>1248.1600000000001</v>
      </c>
      <c r="H23" s="14">
        <v>992.39</v>
      </c>
      <c r="I23" s="14">
        <v>1001.4</v>
      </c>
      <c r="J23" s="14">
        <v>1066.6199999999999</v>
      </c>
      <c r="K23" s="14">
        <v>1007.59</v>
      </c>
      <c r="L23" s="14">
        <v>2348.94</v>
      </c>
      <c r="M23" s="14">
        <v>1288.67</v>
      </c>
      <c r="N23" s="14">
        <v>1107.42</v>
      </c>
      <c r="P23" s="14">
        <f>+P22*(1+'SImple Return'!B22)</f>
        <v>105.37405855684287</v>
      </c>
      <c r="Q23" s="14">
        <f>+Q22*(1+'SImple Return'!C22)</f>
        <v>106.62718030034509</v>
      </c>
      <c r="R23" s="14">
        <f>+R22*(1+'SImple Return'!D22)</f>
        <v>102.11121365943698</v>
      </c>
      <c r="S23" s="14">
        <f>+S22*(1+'SImple Return'!E22)</f>
        <v>105.48420895075587</v>
      </c>
      <c r="T23" s="14">
        <f>+T22*(1+'SImple Return'!F22)</f>
        <v>110.84036913410563</v>
      </c>
      <c r="U23" s="14">
        <f>+U22*(1+'SImple Return'!G22)</f>
        <v>122.30387833891864</v>
      </c>
      <c r="V23" s="14">
        <f>+V22*(1+'SImple Return'!H22)</f>
        <v>98.880065362733291</v>
      </c>
      <c r="W23" s="14">
        <f>+W22*(1+'SImple Return'!I22)</f>
        <v>99.849438135027114</v>
      </c>
      <c r="X23" s="14">
        <f>+X22*(1+'SImple Return'!J22)</f>
        <v>107.44527606249558</v>
      </c>
      <c r="Y23" s="14">
        <f>+Y22*(1+'SImple Return'!K22)</f>
        <v>97.871782418649786</v>
      </c>
      <c r="Z23" s="14">
        <f>+Z22*(1+'SImple Return'!L22)</f>
        <v>228.77428780131478</v>
      </c>
      <c r="AA23" s="14">
        <f>+AA22*(1+'SImple Return'!M22)</f>
        <v>127.49010684606256</v>
      </c>
      <c r="AB23" s="14">
        <f>+AB22*(1+'SImple Return'!N22)</f>
        <v>108.27866047421169</v>
      </c>
    </row>
    <row r="24" spans="1:47">
      <c r="A24" s="8">
        <v>37778</v>
      </c>
      <c r="B24" s="10">
        <v>883.29</v>
      </c>
      <c r="C24" s="10">
        <v>228.95</v>
      </c>
      <c r="D24" s="10">
        <v>91.3</v>
      </c>
      <c r="E24" s="14">
        <v>1079.69</v>
      </c>
      <c r="F24" s="14">
        <v>1139.8599999999999</v>
      </c>
      <c r="G24" s="14">
        <v>1263.1400000000001</v>
      </c>
      <c r="H24" s="14">
        <v>1000.74</v>
      </c>
      <c r="I24" s="14">
        <v>1041.5999999999999</v>
      </c>
      <c r="J24" s="14">
        <v>1074.9000000000001</v>
      </c>
      <c r="K24" s="14">
        <v>1100.47</v>
      </c>
      <c r="L24" s="14">
        <v>2347.44</v>
      </c>
      <c r="M24" s="14">
        <v>1299.06</v>
      </c>
      <c r="N24" s="14">
        <v>1124.18</v>
      </c>
      <c r="P24" s="14">
        <f>+P23*(1+'SImple Return'!B23)</f>
        <v>108.52428401174575</v>
      </c>
      <c r="Q24" s="14">
        <f>+Q23*(1+'SImple Return'!C23)</f>
        <v>106.77642011006434</v>
      </c>
      <c r="R24" s="14">
        <f>+R23*(1+'SImple Return'!D23)</f>
        <v>105.32994923857865</v>
      </c>
      <c r="S24" s="14">
        <f>+S23*(1+'SImple Return'!E23)</f>
        <v>107.73736466596817</v>
      </c>
      <c r="T24" s="14">
        <f>+T23*(1+'SImple Return'!F23)</f>
        <v>111.90457490673472</v>
      </c>
      <c r="U24" s="14">
        <f>+U23*(1+'SImple Return'!G23)</f>
        <v>123.77172869265294</v>
      </c>
      <c r="V24" s="14">
        <f>+V23*(1+'SImple Return'!H23)</f>
        <v>99.712045275649402</v>
      </c>
      <c r="W24" s="14">
        <f>+W23*(1+'SImple Return'!I23)</f>
        <v>103.85777387801501</v>
      </c>
      <c r="X24" s="14">
        <f>+X23*(1+'SImple Return'!J23)</f>
        <v>108.27935650895026</v>
      </c>
      <c r="Y24" s="14">
        <f>+Y23*(1+'SImple Return'!K23)</f>
        <v>106.89363768819811</v>
      </c>
      <c r="Z24" s="14">
        <f>+Z23*(1+'SImple Return'!L23)</f>
        <v>228.62819576333087</v>
      </c>
      <c r="AA24" s="14">
        <f>+AA23*(1+'SImple Return'!M23)</f>
        <v>128.51800554016623</v>
      </c>
      <c r="AB24" s="14">
        <f>+AB23*(1+'SImple Return'!N23)</f>
        <v>109.91737961378638</v>
      </c>
    </row>
    <row r="25" spans="1:47">
      <c r="A25" s="8">
        <v>37785</v>
      </c>
      <c r="B25" s="10">
        <v>887.46</v>
      </c>
      <c r="C25" s="10">
        <v>231.74</v>
      </c>
      <c r="D25" s="10">
        <v>92.07</v>
      </c>
      <c r="E25" s="14">
        <v>1088.8399999999999</v>
      </c>
      <c r="F25" s="14">
        <v>1130.08</v>
      </c>
      <c r="G25" s="14">
        <v>1317.13</v>
      </c>
      <c r="H25" s="14">
        <v>991.4</v>
      </c>
      <c r="I25" s="14">
        <v>1045.0899999999999</v>
      </c>
      <c r="J25" s="14">
        <v>1084.9000000000001</v>
      </c>
      <c r="K25" s="14">
        <v>1078.9000000000001</v>
      </c>
      <c r="L25" s="14">
        <v>2243.81</v>
      </c>
      <c r="M25" s="14">
        <v>1335.01</v>
      </c>
      <c r="N25" s="14">
        <v>1134.96</v>
      </c>
      <c r="P25" s="14">
        <f>+P24*(1+'SImple Return'!B24)</f>
        <v>109.03662567114299</v>
      </c>
      <c r="Q25" s="14">
        <f>+Q24*(1+'SImple Return'!C24)</f>
        <v>108.07760470105399</v>
      </c>
      <c r="R25" s="14">
        <f>+R24*(1+'SImple Return'!D24)</f>
        <v>106.21827411167509</v>
      </c>
      <c r="S25" s="14">
        <f>+S24*(1+'SImple Return'!E24)</f>
        <v>108.65040163648156</v>
      </c>
      <c r="T25" s="14">
        <f>+T24*(1+'SImple Return'!F24)</f>
        <v>110.94443353622619</v>
      </c>
      <c r="U25" s="14">
        <f>+U24*(1+'SImple Return'!G24)</f>
        <v>129.06206518117864</v>
      </c>
      <c r="V25" s="14">
        <f>+V24*(1+'SImple Return'!H24)</f>
        <v>98.781423432938439</v>
      </c>
      <c r="W25" s="14">
        <f>+W24*(1+'SImple Return'!I24)</f>
        <v>104.20576123480674</v>
      </c>
      <c r="X25" s="14">
        <f>+X24*(1+'SImple Return'!J24)</f>
        <v>109.28670004331579</v>
      </c>
      <c r="Y25" s="14">
        <f>+Y24*(1+'SImple Return'!K24)</f>
        <v>104.79844584749874</v>
      </c>
      <c r="Z25" s="14">
        <f>+Z24*(1+'SImple Return'!L24)</f>
        <v>218.5351838324811</v>
      </c>
      <c r="AA25" s="14">
        <f>+AA24*(1+'SImple Return'!M24)</f>
        <v>132.07459438068861</v>
      </c>
      <c r="AB25" s="14">
        <f>+AB24*(1+'SImple Return'!N24)</f>
        <v>110.97140063554144</v>
      </c>
    </row>
    <row r="26" spans="1:47">
      <c r="A26" s="8">
        <v>37792</v>
      </c>
      <c r="B26" s="10">
        <v>894.19</v>
      </c>
      <c r="C26" s="10">
        <v>228.93</v>
      </c>
      <c r="D26" s="10">
        <v>92.04</v>
      </c>
      <c r="E26" s="14">
        <v>1089.74</v>
      </c>
      <c r="F26" s="14">
        <v>1139.8699999999999</v>
      </c>
      <c r="G26" s="14">
        <v>1291.24</v>
      </c>
      <c r="H26" s="14">
        <v>1007.94</v>
      </c>
      <c r="I26" s="14">
        <v>1039.6199999999999</v>
      </c>
      <c r="J26" s="14">
        <v>1091.49</v>
      </c>
      <c r="K26" s="14">
        <v>1096.8</v>
      </c>
      <c r="L26" s="14">
        <v>2237.58</v>
      </c>
      <c r="M26" s="14">
        <v>1313.03</v>
      </c>
      <c r="N26" s="14">
        <v>1134.67</v>
      </c>
      <c r="P26" s="14">
        <f>+P25*(1+'SImple Return'!B25)</f>
        <v>109.86349842120136</v>
      </c>
      <c r="Q26" s="14">
        <f>+Q25*(1+'SImple Return'!C25)</f>
        <v>106.76709262195689</v>
      </c>
      <c r="R26" s="14">
        <f>+R25*(1+'SImple Return'!D25)</f>
        <v>106.18366405168433</v>
      </c>
      <c r="S26" s="14">
        <f>+S25*(1+'SImple Return'!E25)</f>
        <v>108.74020855161403</v>
      </c>
      <c r="T26" s="14">
        <f>+T25*(1+'SImple Return'!F25)</f>
        <v>111.90555664637736</v>
      </c>
      <c r="U26" s="14">
        <f>+U25*(1+'SImple Return'!G25)</f>
        <v>126.52517294765521</v>
      </c>
      <c r="V26" s="14">
        <f>+V25*(1+'SImple Return'!H25)</f>
        <v>100.42944112870282</v>
      </c>
      <c r="W26" s="14">
        <f>+W25*(1+'SImple Return'!I25)</f>
        <v>103.6603483861962</v>
      </c>
      <c r="X26" s="14">
        <f>+X25*(1+'SImple Return'!J25)</f>
        <v>109.95053943246265</v>
      </c>
      <c r="Y26" s="14">
        <f>+Y25*(1+'SImple Return'!K25)</f>
        <v>106.53715395823208</v>
      </c>
      <c r="Z26" s="14">
        <f>+Z25*(1+'SImple Return'!L25)</f>
        <v>217.92841490138784</v>
      </c>
      <c r="AA26" s="14">
        <f>+AA25*(1+'SImple Return'!M25)</f>
        <v>129.90007914523156</v>
      </c>
      <c r="AB26" s="14">
        <f>+AB25*(1+'SImple Return'!N25)</f>
        <v>110.94304571009535</v>
      </c>
    </row>
    <row r="27" spans="1:47">
      <c r="A27" s="8">
        <v>37799</v>
      </c>
      <c r="B27" s="10">
        <v>874.18</v>
      </c>
      <c r="C27" s="10">
        <v>226.86</v>
      </c>
      <c r="D27" s="10">
        <v>89.92</v>
      </c>
      <c r="E27" s="14">
        <v>1065.1199999999999</v>
      </c>
      <c r="F27" s="14">
        <v>1125.27</v>
      </c>
      <c r="G27" s="14">
        <v>1302.29</v>
      </c>
      <c r="H27" s="14">
        <v>997.56</v>
      </c>
      <c r="I27" s="14">
        <v>1029.75</v>
      </c>
      <c r="J27" s="14">
        <v>1058.42</v>
      </c>
      <c r="K27" s="14">
        <v>1088.01</v>
      </c>
      <c r="L27" s="14">
        <v>2275.21</v>
      </c>
      <c r="M27" s="14">
        <v>1279.58</v>
      </c>
      <c r="N27" s="14">
        <v>1117.57</v>
      </c>
      <c r="P27" s="14">
        <f>+P26*(1+'SImple Return'!B26)</f>
        <v>107.40499563833838</v>
      </c>
      <c r="Q27" s="14">
        <f>+Q26*(1+'SImple Return'!C26)</f>
        <v>105.80169760283555</v>
      </c>
      <c r="R27" s="14">
        <f>+R26*(1+'SImple Return'!D26)</f>
        <v>103.73788647900319</v>
      </c>
      <c r="S27" s="14">
        <f>+S26*(1+'SImple Return'!E26)</f>
        <v>106.2834904954348</v>
      </c>
      <c r="T27" s="14">
        <f>+T26*(1+'SImple Return'!F26)</f>
        <v>110.4722167681131</v>
      </c>
      <c r="U27" s="14">
        <f>+U26*(1+'SImple Return'!G26)</f>
        <v>127.60793305504933</v>
      </c>
      <c r="V27" s="14">
        <f>+V26*(1+'SImple Return'!H26)</f>
        <v>99.395195440550808</v>
      </c>
      <c r="W27" s="14">
        <f>+W26*(1+'SImple Return'!I26)</f>
        <v>102.67621222243277</v>
      </c>
      <c r="X27" s="14">
        <f>+X26*(1+'SImple Return'!J26)</f>
        <v>106.61925436431586</v>
      </c>
      <c r="Y27" s="14">
        <f>+Y26*(1+'SImple Return'!K26)</f>
        <v>105.68334142787755</v>
      </c>
      <c r="Z27" s="14">
        <f>+Z26*(1+'SImple Return'!L26)</f>
        <v>221.5933771609447</v>
      </c>
      <c r="AA27" s="14">
        <f>+AA26*(1+'SImple Return'!M26)</f>
        <v>126.59081915314607</v>
      </c>
      <c r="AB27" s="14">
        <f>+AB26*(1+'SImple Return'!N26)</f>
        <v>109.27108286482523</v>
      </c>
    </row>
    <row r="28" spans="1:47">
      <c r="A28" s="8">
        <v>37806</v>
      </c>
      <c r="B28" s="10">
        <v>883.66</v>
      </c>
      <c r="C28" s="10">
        <v>226.78</v>
      </c>
      <c r="D28" s="10">
        <v>91.7</v>
      </c>
      <c r="E28" s="14">
        <v>1064.98</v>
      </c>
      <c r="F28" s="14">
        <v>1142.46</v>
      </c>
      <c r="G28" s="14">
        <v>1295.6500000000001</v>
      </c>
      <c r="H28" s="14">
        <v>998.69</v>
      </c>
      <c r="I28" s="14">
        <v>1069.07</v>
      </c>
      <c r="J28" s="14">
        <v>1052.25</v>
      </c>
      <c r="K28" s="14">
        <v>1094.6600000000001</v>
      </c>
      <c r="L28" s="14">
        <v>2521.7600000000002</v>
      </c>
      <c r="M28" s="14">
        <v>1264.8900000000001</v>
      </c>
      <c r="N28" s="14">
        <v>1121.01</v>
      </c>
      <c r="P28" s="14">
        <f>+P27*(1+'SImple Return'!B27)</f>
        <v>108.56974358344289</v>
      </c>
      <c r="Q28" s="14">
        <f>+Q27*(1+'SImple Return'!C27)</f>
        <v>105.76438765040572</v>
      </c>
      <c r="R28" s="14">
        <f>+R27*(1+'SImple Return'!D27)</f>
        <v>105.79141670512224</v>
      </c>
      <c r="S28" s="14">
        <f>+S27*(1+'SImple Return'!E27)</f>
        <v>106.26952053085866</v>
      </c>
      <c r="T28" s="14">
        <f>+T27*(1+'SImple Return'!F27)</f>
        <v>112.15982721382291</v>
      </c>
      <c r="U28" s="14">
        <f>+U27*(1+'SImple Return'!G27)</f>
        <v>126.95729711721251</v>
      </c>
      <c r="V28" s="14">
        <f>+V27*(1+'SImple Return'!H27)</f>
        <v>99.507786734155033</v>
      </c>
      <c r="W28" s="14">
        <f>+W27*(1+'SImple Return'!I27)</f>
        <v>106.59680330239009</v>
      </c>
      <c r="X28" s="14">
        <f>+X27*(1+'SImple Return'!J27)</f>
        <v>105.99772340361233</v>
      </c>
      <c r="Y28" s="14">
        <f>+Y27*(1+'SImple Return'!K27)</f>
        <v>106.32928606119469</v>
      </c>
      <c r="Z28" s="14">
        <f>+Z27*(1+'SImple Return'!L27)</f>
        <v>245.60603847090334</v>
      </c>
      <c r="AA28" s="14">
        <f>+AA27*(1+'SImple Return'!M27)</f>
        <v>125.13751483973097</v>
      </c>
      <c r="AB28" s="14">
        <f>+AB27*(1+'SImple Return'!N27)</f>
        <v>109.60743094597898</v>
      </c>
    </row>
    <row r="29" spans="1:47">
      <c r="A29" s="8">
        <v>37813</v>
      </c>
      <c r="B29" s="10">
        <v>889.53</v>
      </c>
      <c r="C29" s="10">
        <v>226.62</v>
      </c>
      <c r="D29" s="10">
        <v>91.79</v>
      </c>
      <c r="E29" s="14">
        <v>1051.95</v>
      </c>
      <c r="F29" s="14">
        <v>1129.8599999999999</v>
      </c>
      <c r="G29" s="14">
        <v>1272.08</v>
      </c>
      <c r="H29" s="14">
        <v>965.69</v>
      </c>
      <c r="I29" s="14">
        <v>1064.83</v>
      </c>
      <c r="J29" s="14">
        <v>1039.29</v>
      </c>
      <c r="K29" s="14">
        <v>1069.8599999999999</v>
      </c>
      <c r="L29" s="14">
        <v>2617.4699999999998</v>
      </c>
      <c r="M29" s="14">
        <v>1256.78</v>
      </c>
      <c r="N29" s="14">
        <v>1116.54</v>
      </c>
      <c r="P29" s="14">
        <f>+P28*(1+'SImple Return'!B28)</f>
        <v>109.29095354523227</v>
      </c>
      <c r="Q29" s="14">
        <f>+Q28*(1+'SImple Return'!C28)</f>
        <v>105.68976774554611</v>
      </c>
      <c r="R29" s="14">
        <f>+R28*(1+'SImple Return'!D28)</f>
        <v>105.89524688509456</v>
      </c>
      <c r="S29" s="14">
        <f>+S28*(1+'SImple Return'!E28)</f>
        <v>104.96931597066309</v>
      </c>
      <c r="T29" s="14">
        <f>+T28*(1+'SImple Return'!F28)</f>
        <v>110.92283526408796</v>
      </c>
      <c r="U29" s="14">
        <f>+U28*(1+'SImple Return'!G28)</f>
        <v>124.64773551257181</v>
      </c>
      <c r="V29" s="14">
        <f>+V28*(1+'SImple Return'!H28)</f>
        <v>96.219722407660214</v>
      </c>
      <c r="W29" s="14">
        <f>+W28*(1+'SImple Return'!I28)</f>
        <v>106.17403356233365</v>
      </c>
      <c r="X29" s="14">
        <f>+X28*(1+'SImple Return'!J28)</f>
        <v>104.6922061830746</v>
      </c>
      <c r="Y29" s="14">
        <f>+Y28*(1+'SImple Return'!K28)</f>
        <v>103.9203496843127</v>
      </c>
      <c r="Z29" s="14">
        <f>+Z28*(1+'SImple Return'!L28)</f>
        <v>254.9276844411979</v>
      </c>
      <c r="AA29" s="14">
        <f>+AA28*(1+'SImple Return'!M28)</f>
        <v>124.33518005540171</v>
      </c>
      <c r="AB29" s="14">
        <f>+AB28*(1+'SImple Return'!N28)</f>
        <v>109.17037399168906</v>
      </c>
    </row>
    <row r="30" spans="1:47">
      <c r="A30" s="8">
        <v>37820</v>
      </c>
      <c r="B30" s="10">
        <v>881.67</v>
      </c>
      <c r="C30" s="10">
        <v>224.02</v>
      </c>
      <c r="D30" s="10">
        <v>91.61</v>
      </c>
      <c r="E30" s="14">
        <v>1008.76</v>
      </c>
      <c r="F30" s="14">
        <v>1112.8599999999999</v>
      </c>
      <c r="G30" s="14">
        <v>1239.79</v>
      </c>
      <c r="H30" s="14">
        <v>934.66</v>
      </c>
      <c r="I30" s="14">
        <v>990.97</v>
      </c>
      <c r="J30" s="14">
        <v>999.01</v>
      </c>
      <c r="K30" s="14">
        <v>1030.02</v>
      </c>
      <c r="L30" s="14">
        <v>2555.4299999999998</v>
      </c>
      <c r="M30" s="14">
        <v>1238</v>
      </c>
      <c r="N30" s="14">
        <v>1100.28</v>
      </c>
      <c r="P30" s="14">
        <f>+P29*(1+'SImple Return'!B29)</f>
        <v>108.32524480593678</v>
      </c>
      <c r="Q30" s="14">
        <f>+Q29*(1+'SImple Return'!C29)</f>
        <v>104.47719429157726</v>
      </c>
      <c r="R30" s="14">
        <f>+R29*(1+'SImple Return'!D29)</f>
        <v>105.68758652514994</v>
      </c>
      <c r="S30" s="14">
        <f>+S29*(1+'SImple Return'!E29)</f>
        <v>100.65958189891734</v>
      </c>
      <c r="T30" s="14">
        <f>+T29*(1+'SImple Return'!F29)</f>
        <v>109.25387787158846</v>
      </c>
      <c r="U30" s="14">
        <f>+U29*(1+'SImple Return'!G29)</f>
        <v>121.48372430282012</v>
      </c>
      <c r="V30" s="14">
        <f>+V29*(1+'SImple Return'!H29)</f>
        <v>93.127945557625821</v>
      </c>
      <c r="W30" s="14">
        <f>+W29*(1+'SImple Return'!I29)</f>
        <v>98.809464458426021</v>
      </c>
      <c r="X30" s="14">
        <f>+X29*(1+'SImple Return'!J29)</f>
        <v>100.63462642665027</v>
      </c>
      <c r="Y30" s="14">
        <f>+Y29*(1+'SImple Return'!K29)</f>
        <v>100.0505099562894</v>
      </c>
      <c r="Z30" s="14">
        <f>+Z29*(1+'SImple Return'!L29)</f>
        <v>248.88531775018257</v>
      </c>
      <c r="AA30" s="14">
        <f>+AA29*(1+'SImple Return'!M29)</f>
        <v>122.47724574594386</v>
      </c>
      <c r="AB30" s="14">
        <f>+AB29*(1+'SImple Return'!N29)</f>
        <v>107.58054265460767</v>
      </c>
    </row>
    <row r="31" spans="1:47">
      <c r="A31" s="8">
        <v>37827</v>
      </c>
      <c r="B31" s="10">
        <v>894.61</v>
      </c>
      <c r="C31" s="10">
        <v>223.79</v>
      </c>
      <c r="D31" s="10">
        <v>93.15</v>
      </c>
      <c r="E31" s="14">
        <v>1042.0899999999999</v>
      </c>
      <c r="F31" s="14">
        <v>1121.69</v>
      </c>
      <c r="G31" s="14">
        <v>1261.33</v>
      </c>
      <c r="H31" s="14">
        <v>955.57</v>
      </c>
      <c r="I31" s="14">
        <v>1036</v>
      </c>
      <c r="J31" s="14">
        <v>1018.14</v>
      </c>
      <c r="K31" s="14">
        <v>1043.9100000000001</v>
      </c>
      <c r="L31" s="14">
        <v>2642.27</v>
      </c>
      <c r="M31" s="14">
        <v>1260.1500000000001</v>
      </c>
      <c r="N31" s="14">
        <v>1114.77</v>
      </c>
      <c r="P31" s="14">
        <f>+P30*(1+'SImple Return'!B30)</f>
        <v>109.91510117826297</v>
      </c>
      <c r="Q31" s="14">
        <f>+Q30*(1+'SImple Return'!C30)</f>
        <v>104.36992817834155</v>
      </c>
      <c r="R31" s="14">
        <f>+R30*(1+'SImple Return'!D30)</f>
        <v>107.46423627134284</v>
      </c>
      <c r="S31" s="14">
        <f>+S30*(1+'SImple Return'!E30)</f>
        <v>103.98543132265628</v>
      </c>
      <c r="T31" s="14">
        <f>+T30*(1+'SImple Return'!F30)</f>
        <v>110.12075397604558</v>
      </c>
      <c r="U31" s="14">
        <f>+U30*(1+'SImple Return'!G30)</f>
        <v>123.59437160718839</v>
      </c>
      <c r="V31" s="14">
        <f>+V30*(1+'SImple Return'!H30)</f>
        <v>95.211382680868468</v>
      </c>
      <c r="W31" s="14">
        <f>+W30*(1+'SImple Return'!I30)</f>
        <v>103.2993987496386</v>
      </c>
      <c r="X31" s="14">
        <f>+X30*(1+'SImple Return'!J30)</f>
        <v>102.56167460789152</v>
      </c>
      <c r="Y31" s="14">
        <f>+Y30*(1+'SImple Return'!K30)</f>
        <v>101.39970859640597</v>
      </c>
      <c r="Z31" s="14">
        <f>+Z30*(1+'SImple Return'!L30)</f>
        <v>257.34307280253222</v>
      </c>
      <c r="AA31" s="14">
        <f>+AA30*(1+'SImple Return'!M30)</f>
        <v>124.66857934309465</v>
      </c>
      <c r="AB31" s="14">
        <f>+AB30*(1+'SImple Return'!N30)</f>
        <v>108.99731117086287</v>
      </c>
    </row>
    <row r="32" spans="1:47">
      <c r="A32" s="8">
        <v>37834</v>
      </c>
      <c r="B32" s="10">
        <v>880.79</v>
      </c>
      <c r="C32" s="10">
        <v>219.94</v>
      </c>
      <c r="D32" s="10">
        <v>93.88</v>
      </c>
      <c r="E32" s="14">
        <v>1003.06</v>
      </c>
      <c r="F32" s="14">
        <v>1106</v>
      </c>
      <c r="G32" s="14">
        <v>1257.3800000000001</v>
      </c>
      <c r="H32" s="14">
        <v>929.75</v>
      </c>
      <c r="I32" s="14">
        <v>971.82</v>
      </c>
      <c r="J32" s="14">
        <v>987.77</v>
      </c>
      <c r="K32" s="14">
        <v>1026.6199999999999</v>
      </c>
      <c r="L32" s="14">
        <v>2560.83</v>
      </c>
      <c r="M32" s="14">
        <v>1246.57</v>
      </c>
      <c r="N32" s="14">
        <v>1096.77</v>
      </c>
      <c r="P32" s="14">
        <f>+P31*(1+'SImple Return'!B31)</f>
        <v>108.21712474352202</v>
      </c>
      <c r="Q32" s="14">
        <f>+Q31*(1+'SImple Return'!C31)</f>
        <v>102.57438671765692</v>
      </c>
      <c r="R32" s="14">
        <f>+R31*(1+'SImple Return'!D31)</f>
        <v>108.30641439778492</v>
      </c>
      <c r="S32" s="14">
        <f>+S31*(1+'SImple Return'!E31)</f>
        <v>100.09080476974505</v>
      </c>
      <c r="T32" s="14">
        <f>+T31*(1+'SImple Return'!F31)</f>
        <v>108.5804044767328</v>
      </c>
      <c r="U32" s="14">
        <f>+U31*(1+'SImple Return'!G31)</f>
        <v>123.20732161404753</v>
      </c>
      <c r="V32" s="14">
        <f>+V31*(1+'SImple Return'!H31)</f>
        <v>92.63872144116857</v>
      </c>
      <c r="W32" s="14">
        <f>+W31*(1+'SImple Return'!I31)</f>
        <v>96.90002093906736</v>
      </c>
      <c r="X32" s="14">
        <f>+X31*(1+'SImple Return'!J31)</f>
        <v>99.502372294023417</v>
      </c>
      <c r="Y32" s="14">
        <f>+Y31*(1+'SImple Return'!K31)</f>
        <v>99.720252549781378</v>
      </c>
      <c r="Z32" s="14">
        <f>+Z31*(1+'SImple Return'!L31)</f>
        <v>249.4112490869247</v>
      </c>
      <c r="AA32" s="14">
        <f>+AA31*(1+'SImple Return'!M31)</f>
        <v>123.32508903838549</v>
      </c>
      <c r="AB32" s="14">
        <f>+AB31*(1+'SImple Return'!N31)</f>
        <v>107.23735028110487</v>
      </c>
    </row>
    <row r="33" spans="1:28">
      <c r="A33" s="8">
        <v>37841</v>
      </c>
      <c r="B33" s="10">
        <v>878.4</v>
      </c>
      <c r="C33" s="10">
        <v>222.51</v>
      </c>
      <c r="D33" s="10">
        <v>92.74</v>
      </c>
      <c r="E33" s="14">
        <v>1010.17</v>
      </c>
      <c r="F33" s="14">
        <v>1114.1500000000001</v>
      </c>
      <c r="G33" s="14">
        <v>1275.1099999999999</v>
      </c>
      <c r="H33" s="14">
        <v>949.23</v>
      </c>
      <c r="I33" s="14">
        <v>998.66</v>
      </c>
      <c r="J33" s="14">
        <v>974.86</v>
      </c>
      <c r="K33" s="14">
        <v>1038.6199999999999</v>
      </c>
      <c r="L33" s="14">
        <v>2602.2800000000002</v>
      </c>
      <c r="M33" s="14">
        <v>1251.2</v>
      </c>
      <c r="N33" s="14">
        <v>1097.23</v>
      </c>
      <c r="P33" s="14">
        <f>+P32*(1+'SImple Return'!B32)</f>
        <v>107.92348048310011</v>
      </c>
      <c r="Q33" s="14">
        <f>+Q32*(1+'SImple Return'!C32)</f>
        <v>103.77296893946458</v>
      </c>
      <c r="R33" s="14">
        <f>+R32*(1+'SImple Return'!D32)</f>
        <v>106.99123211813563</v>
      </c>
      <c r="S33" s="14">
        <f>+S32*(1+'SImple Return'!E32)</f>
        <v>100.80027939929151</v>
      </c>
      <c r="T33" s="14">
        <f>+T32*(1+'SImple Return'!F32)</f>
        <v>109.38052228548992</v>
      </c>
      <c r="U33" s="14">
        <f>+U32*(1+'SImple Return'!G32)</f>
        <v>124.94463715287989</v>
      </c>
      <c r="V33" s="14">
        <f>+V32*(1+'SImple Return'!H32)</f>
        <v>94.579675776929747</v>
      </c>
      <c r="W33" s="14">
        <f>+W32*(1+'SImple Return'!I32)</f>
        <v>99.576233161500085</v>
      </c>
      <c r="X33" s="14">
        <f>+X32*(1+'SImple Return'!J32)</f>
        <v>98.201891791157536</v>
      </c>
      <c r="Y33" s="14">
        <f>+Y32*(1+'SImple Return'!K32)</f>
        <v>100.88586692569201</v>
      </c>
      <c r="Z33" s="14">
        <f>+Z32*(1+'SImple Return'!L32)</f>
        <v>253.44825906988063</v>
      </c>
      <c r="AA33" s="14">
        <f>+AA32*(1+'SImple Return'!M32)</f>
        <v>123.78314206569061</v>
      </c>
      <c r="AB33" s="14">
        <f>+AB32*(1+'SImple Return'!N32)</f>
        <v>107.28232705939868</v>
      </c>
    </row>
    <row r="34" spans="1:28">
      <c r="A34" s="8">
        <v>37848</v>
      </c>
      <c r="B34" s="10">
        <v>895.26</v>
      </c>
      <c r="C34" s="10">
        <v>219.86</v>
      </c>
      <c r="D34" s="10">
        <v>94.64</v>
      </c>
      <c r="E34" s="14">
        <v>1007.7</v>
      </c>
      <c r="F34" s="14">
        <v>1124.6300000000001</v>
      </c>
      <c r="G34" s="14">
        <v>1278.21</v>
      </c>
      <c r="H34" s="14">
        <v>942.03</v>
      </c>
      <c r="I34" s="14">
        <v>988.24</v>
      </c>
      <c r="J34" s="14">
        <v>965.5</v>
      </c>
      <c r="K34" s="14">
        <v>1062.25</v>
      </c>
      <c r="L34" s="14">
        <v>2694.44</v>
      </c>
      <c r="M34" s="14">
        <v>1255.4000000000001</v>
      </c>
      <c r="N34" s="14">
        <v>1114.03</v>
      </c>
      <c r="P34" s="14">
        <f>+P33*(1+'SImple Return'!B33)</f>
        <v>109.99496258800113</v>
      </c>
      <c r="Q34" s="14">
        <f>+Q33*(1+'SImple Return'!C33)</f>
        <v>102.53707676522711</v>
      </c>
      <c r="R34" s="14">
        <f>+R33*(1+'SImple Return'!D33)</f>
        <v>109.18320258421777</v>
      </c>
      <c r="S34" s="14">
        <f>+S33*(1+'SImple Return'!E33)</f>
        <v>100.55380930998354</v>
      </c>
      <c r="T34" s="14">
        <f>+T33*(1+'SImple Return'!F33)</f>
        <v>110.40938543098373</v>
      </c>
      <c r="U34" s="14">
        <f>+U33*(1+'SImple Return'!G33)</f>
        <v>125.24839790699046</v>
      </c>
      <c r="V34" s="14">
        <f>+V33*(1+'SImple Return'!H33)</f>
        <v>93.862279923876329</v>
      </c>
      <c r="W34" s="14">
        <f>+W33*(1+'SImple Return'!I33)</f>
        <v>98.537256583342526</v>
      </c>
      <c r="X34" s="14">
        <f>+X33*(1+'SImple Return'!J33)</f>
        <v>97.259018242991402</v>
      </c>
      <c r="Y34" s="14">
        <f>+Y33*(1+'SImple Return'!K33)</f>
        <v>103.1811559009227</v>
      </c>
      <c r="Z34" s="14">
        <f>+Z33*(1+'SImple Return'!L33)</f>
        <v>262.42415388361326</v>
      </c>
      <c r="AA34" s="14">
        <f>+AA33*(1+'SImple Return'!M33)</f>
        <v>124.19865453106456</v>
      </c>
      <c r="AB34" s="14">
        <f>+AB33*(1+'SImple Return'!N33)</f>
        <v>108.92495722317281</v>
      </c>
    </row>
    <row r="35" spans="1:28">
      <c r="A35" s="8">
        <v>37855</v>
      </c>
      <c r="B35" s="10">
        <v>897.74</v>
      </c>
      <c r="C35" s="10">
        <v>219.81</v>
      </c>
      <c r="D35" s="10">
        <v>97.12</v>
      </c>
      <c r="E35" s="14">
        <v>982.07</v>
      </c>
      <c r="F35" s="14">
        <v>1128.68</v>
      </c>
      <c r="G35" s="14">
        <v>1264.96</v>
      </c>
      <c r="H35" s="14">
        <v>945.08</v>
      </c>
      <c r="I35" s="14">
        <v>968.12</v>
      </c>
      <c r="J35" s="14">
        <v>943.2</v>
      </c>
      <c r="K35" s="14">
        <v>1042.43</v>
      </c>
      <c r="L35" s="14">
        <v>2845.01</v>
      </c>
      <c r="M35" s="14">
        <v>1212.53</v>
      </c>
      <c r="N35" s="14">
        <v>1100.7</v>
      </c>
      <c r="P35" s="14">
        <f>+P34*(1+'SImple Return'!B34)</f>
        <v>110.2996645820791</v>
      </c>
      <c r="Q35" s="14">
        <f>+Q34*(1+'SImple Return'!C34)</f>
        <v>102.51375804495848</v>
      </c>
      <c r="R35" s="14">
        <f>+R34*(1+'SImple Return'!D34)</f>
        <v>112.04430087678814</v>
      </c>
      <c r="S35" s="14">
        <f>+S34*(1+'SImple Return'!E34)</f>
        <v>97.996307937933437</v>
      </c>
      <c r="T35" s="14">
        <f>+T34*(1+'SImple Return'!F34)</f>
        <v>110.80698998625567</v>
      </c>
      <c r="U35" s="14">
        <f>+U34*(1+'SImple Return'!G34)</f>
        <v>123.95006565151787</v>
      </c>
      <c r="V35" s="14">
        <f>+V34*(1+'SImple Return'!H34)</f>
        <v>94.166176778294812</v>
      </c>
      <c r="W35" s="14">
        <f>+W34*(1+'SImple Return'!I34)</f>
        <v>96.531094514961509</v>
      </c>
      <c r="X35" s="14">
        <f>+X34*(1+'SImple Return'!J34)</f>
        <v>95.012642161356283</v>
      </c>
      <c r="Y35" s="14">
        <f>+Y34*(1+'SImple Return'!K34)</f>
        <v>101.25594949004365</v>
      </c>
      <c r="Z35" s="14">
        <f>+Z34*(1+'SImple Return'!L34)</f>
        <v>277.08887265644012</v>
      </c>
      <c r="AA35" s="14">
        <f>+AA34*(1+'SImple Return'!M34)</f>
        <v>119.95745943806889</v>
      </c>
      <c r="AB35" s="14">
        <f>+AB34*(1+'SImple Return'!N34)</f>
        <v>107.62160840870203</v>
      </c>
    </row>
    <row r="36" spans="1:28">
      <c r="A36" s="8">
        <v>37862</v>
      </c>
      <c r="B36" s="10">
        <v>905.32</v>
      </c>
      <c r="C36" s="10">
        <v>220.42</v>
      </c>
      <c r="D36" s="10">
        <v>97.65</v>
      </c>
      <c r="E36" s="14">
        <v>974.24</v>
      </c>
      <c r="F36" s="14">
        <v>1141.5999999999999</v>
      </c>
      <c r="G36" s="14">
        <v>1244.8</v>
      </c>
      <c r="H36" s="14">
        <v>939.08</v>
      </c>
      <c r="I36" s="14">
        <v>953.2</v>
      </c>
      <c r="J36" s="14">
        <v>940.72</v>
      </c>
      <c r="K36" s="14">
        <v>1058.32</v>
      </c>
      <c r="L36" s="14">
        <v>2959.51</v>
      </c>
      <c r="M36" s="14">
        <v>1202.5999999999999</v>
      </c>
      <c r="N36" s="14">
        <v>1109.93</v>
      </c>
      <c r="P36" s="14">
        <f>+P35*(1+'SImple Return'!B35)</f>
        <v>111.23097148333353</v>
      </c>
      <c r="Q36" s="14">
        <f>+Q35*(1+'SImple Return'!C35)</f>
        <v>102.79824643223577</v>
      </c>
      <c r="R36" s="14">
        <f>+R35*(1+'SImple Return'!D35)</f>
        <v>112.65574526995843</v>
      </c>
      <c r="S36" s="14">
        <f>+S35*(1+'SImple Return'!E35)</f>
        <v>97.214987776280992</v>
      </c>
      <c r="T36" s="14">
        <f>+T35*(1+'SImple Return'!F35)</f>
        <v>112.07539760455528</v>
      </c>
      <c r="U36" s="14">
        <f>+U35*(1+'SImple Return'!G35)</f>
        <v>121.97464087639881</v>
      </c>
      <c r="V36" s="14">
        <f>+V35*(1+'SImple Return'!H35)</f>
        <v>93.568346900750299</v>
      </c>
      <c r="W36" s="14">
        <f>+W35*(1+'SImple Return'!I35)</f>
        <v>95.043423637215753</v>
      </c>
      <c r="X36" s="14">
        <f>+X35*(1+'SImple Return'!J35)</f>
        <v>94.762820964833637</v>
      </c>
      <c r="Y36" s="14">
        <f>+Y35*(1+'SImple Return'!K35)</f>
        <v>102.79941719281197</v>
      </c>
      <c r="Z36" s="14">
        <f>+Z35*(1+'SImple Return'!L35)</f>
        <v>288.24056488921343</v>
      </c>
      <c r="AA36" s="14">
        <f>+AA35*(1+'SImple Return'!M35)</f>
        <v>118.97506925207759</v>
      </c>
      <c r="AB36" s="14">
        <f>+AB35*(1+'SImple Return'!N35)</f>
        <v>108.52407724272794</v>
      </c>
    </row>
    <row r="37" spans="1:28">
      <c r="A37" s="8">
        <v>37869</v>
      </c>
      <c r="B37" s="10">
        <v>922.87</v>
      </c>
      <c r="C37" s="10">
        <v>219.86</v>
      </c>
      <c r="D37" s="10">
        <v>99.12</v>
      </c>
      <c r="E37" s="14">
        <v>986.2</v>
      </c>
      <c r="F37" s="14">
        <v>1155</v>
      </c>
      <c r="G37" s="14">
        <v>1257.19</v>
      </c>
      <c r="H37" s="14">
        <v>943.13</v>
      </c>
      <c r="I37" s="14">
        <v>989.77</v>
      </c>
      <c r="J37" s="14">
        <v>946.96</v>
      </c>
      <c r="K37" s="14">
        <v>1100.5999999999999</v>
      </c>
      <c r="L37" s="14">
        <v>2964.59</v>
      </c>
      <c r="M37" s="14">
        <v>1215.1099999999999</v>
      </c>
      <c r="N37" s="14">
        <v>1122.74</v>
      </c>
      <c r="P37" s="14">
        <f>+P36*(1+'SImple Return'!B36)</f>
        <v>113.38722954626432</v>
      </c>
      <c r="Q37" s="14">
        <f>+Q36*(1+'SImple Return'!C36)</f>
        <v>102.53707676522711</v>
      </c>
      <c r="R37" s="14">
        <f>+R36*(1+'SImple Return'!D36)</f>
        <v>114.35163820950621</v>
      </c>
      <c r="S37" s="14">
        <f>+S36*(1+'SImple Return'!E36)</f>
        <v>98.408421892930193</v>
      </c>
      <c r="T37" s="14">
        <f>+T36*(1+'SImple Return'!F36)</f>
        <v>113.39092872570197</v>
      </c>
      <c r="U37" s="14">
        <f>+U36*(1+'SImple Return'!G36)</f>
        <v>123.18870401944072</v>
      </c>
      <c r="V37" s="14">
        <f>+V36*(1+'SImple Return'!H36)</f>
        <v>93.971882068092839</v>
      </c>
      <c r="W37" s="14">
        <f>+W36*(1+'SImple Return'!I36)</f>
        <v>98.689812645202508</v>
      </c>
      <c r="X37" s="14">
        <f>+X36*(1+'SImple Return'!J36)</f>
        <v>95.391403330277726</v>
      </c>
      <c r="Y37" s="14">
        <f>+Y36*(1+'SImple Return'!K36)</f>
        <v>106.90626517727043</v>
      </c>
      <c r="Z37" s="14">
        <f>+Z36*(1+'SImple Return'!L36)</f>
        <v>288.73532992451896</v>
      </c>
      <c r="AA37" s="14">
        <f>+AA36*(1+'SImple Return'!M36)</f>
        <v>120.21270280965574</v>
      </c>
      <c r="AB37" s="14">
        <f>+AB36*(1+'SImple Return'!N36)</f>
        <v>109.77658274260571</v>
      </c>
    </row>
    <row r="38" spans="1:28">
      <c r="A38" s="8">
        <v>37876</v>
      </c>
      <c r="B38" s="10">
        <v>922.99</v>
      </c>
      <c r="C38" s="10">
        <v>222.43</v>
      </c>
      <c r="D38" s="10">
        <v>99.22</v>
      </c>
      <c r="E38" s="14">
        <v>1002.56</v>
      </c>
      <c r="F38" s="14">
        <v>1156.3900000000001</v>
      </c>
      <c r="G38" s="14">
        <v>1281.6199999999999</v>
      </c>
      <c r="H38" s="14">
        <v>959.17</v>
      </c>
      <c r="I38" s="14">
        <v>1013</v>
      </c>
      <c r="J38" s="14">
        <v>964.24</v>
      </c>
      <c r="K38" s="14">
        <v>1126.97</v>
      </c>
      <c r="L38" s="14">
        <v>2829.12</v>
      </c>
      <c r="M38" s="14">
        <v>1233.4000000000001</v>
      </c>
      <c r="N38" s="14">
        <v>1122.82</v>
      </c>
      <c r="P38" s="14">
        <f>+P37*(1+'SImple Return'!B37)</f>
        <v>113.40197319113906</v>
      </c>
      <c r="Q38" s="14">
        <f>+Q37*(1+'SImple Return'!C37)</f>
        <v>103.73565898703478</v>
      </c>
      <c r="R38" s="14">
        <f>+R37*(1+'SImple Return'!D37)</f>
        <v>114.4670050761421</v>
      </c>
      <c r="S38" s="14">
        <f>+S37*(1+'SImple Return'!E37)</f>
        <v>100.0409120391159</v>
      </c>
      <c r="T38" s="14">
        <f>+T37*(1+'SImple Return'!F37)</f>
        <v>113.52739053602987</v>
      </c>
      <c r="U38" s="14">
        <f>+U37*(1+'SImple Return'!G37)</f>
        <v>125.58253473651205</v>
      </c>
      <c r="V38" s="14">
        <f>+V37*(1+'SImple Return'!H37)</f>
        <v>95.57008060739517</v>
      </c>
      <c r="W38" s="14">
        <f>+W37*(1+'SImple Return'!I37)</f>
        <v>101.00607232952115</v>
      </c>
      <c r="X38" s="14">
        <f>+X37*(1+'SImple Return'!J37)</f>
        <v>97.132092957661342</v>
      </c>
      <c r="Y38" s="14">
        <f>+Y37*(1+'SImple Return'!K37)</f>
        <v>109.46770276833406</v>
      </c>
      <c r="Z38" s="14">
        <f>+Z37*(1+'SImple Return'!L37)</f>
        <v>275.54127100073026</v>
      </c>
      <c r="AA38" s="14">
        <f>+AA37*(1+'SImple Return'!M37)</f>
        <v>122.02216066481998</v>
      </c>
      <c r="AB38" s="14">
        <f>+AB37*(1+'SImple Return'!N37)</f>
        <v>109.78440479100463</v>
      </c>
    </row>
    <row r="39" spans="1:28">
      <c r="A39" s="8">
        <v>37883</v>
      </c>
      <c r="B39" s="10">
        <v>942.48</v>
      </c>
      <c r="C39" s="10">
        <v>224.58</v>
      </c>
      <c r="D39" s="10">
        <v>100.58</v>
      </c>
      <c r="E39" s="14">
        <v>1031.24</v>
      </c>
      <c r="F39" s="14">
        <v>1164.68</v>
      </c>
      <c r="G39" s="14">
        <v>1302.1300000000001</v>
      </c>
      <c r="H39" s="14">
        <v>985.02</v>
      </c>
      <c r="I39" s="14">
        <v>1055.71</v>
      </c>
      <c r="J39" s="14">
        <v>984.97</v>
      </c>
      <c r="K39" s="14">
        <v>1170.47</v>
      </c>
      <c r="L39" s="14">
        <v>2749.57</v>
      </c>
      <c r="M39" s="14">
        <v>1237.21</v>
      </c>
      <c r="N39" s="14">
        <v>1137.29</v>
      </c>
      <c r="P39" s="14">
        <f>+P38*(1+'SImple Return'!B38)</f>
        <v>115.7965868462115</v>
      </c>
      <c r="Q39" s="14">
        <f>+Q38*(1+'SImple Return'!C38)</f>
        <v>104.73836395858595</v>
      </c>
      <c r="R39" s="14">
        <f>+R38*(1+'SImple Return'!D38)</f>
        <v>116.03599446239038</v>
      </c>
      <c r="S39" s="14">
        <f>+S38*(1+'SImple Return'!E38)</f>
        <v>102.9027590680038</v>
      </c>
      <c r="T39" s="14">
        <f>+T38*(1+'SImple Return'!F38)</f>
        <v>114.34125269978404</v>
      </c>
      <c r="U39" s="14">
        <f>+U38*(1+'SImple Return'!G38)</f>
        <v>127.59225508064361</v>
      </c>
      <c r="V39" s="14">
        <f>+V38*(1+'SImple Return'!H38)</f>
        <v>98.145730996482797</v>
      </c>
      <c r="W39" s="14">
        <f>+W38*(1+'SImple Return'!I38)</f>
        <v>105.26467978183493</v>
      </c>
      <c r="X39" s="14">
        <f>+X38*(1+'SImple Return'!J38)</f>
        <v>99.220316104401064</v>
      </c>
      <c r="Y39" s="14">
        <f>+Y38*(1+'SImple Return'!K38)</f>
        <v>113.69305488101011</v>
      </c>
      <c r="Z39" s="14">
        <f>+Z38*(1+'SImple Return'!L38)</f>
        <v>267.79352325298254</v>
      </c>
      <c r="AA39" s="14">
        <f>+AA38*(1+'SImple Return'!M38)</f>
        <v>122.39908982983778</v>
      </c>
      <c r="AB39" s="14">
        <f>+AB38*(1+'SImple Return'!N38)</f>
        <v>111.1992177951601</v>
      </c>
    </row>
    <row r="40" spans="1:28">
      <c r="A40" s="8">
        <v>37890</v>
      </c>
      <c r="B40" s="10">
        <v>912.19</v>
      </c>
      <c r="C40" s="10">
        <v>226.96</v>
      </c>
      <c r="D40" s="10">
        <v>101.13</v>
      </c>
      <c r="E40" s="14">
        <v>1038.97</v>
      </c>
      <c r="F40" s="14">
        <v>1148.33</v>
      </c>
      <c r="G40" s="14">
        <v>1317.18</v>
      </c>
      <c r="H40" s="14">
        <v>990.13</v>
      </c>
      <c r="I40" s="14">
        <v>1045.57</v>
      </c>
      <c r="J40" s="14">
        <v>998.83</v>
      </c>
      <c r="K40" s="14">
        <v>1177.8699999999999</v>
      </c>
      <c r="L40" s="14">
        <v>2594.0700000000002</v>
      </c>
      <c r="M40" s="14">
        <v>1255.1600000000001</v>
      </c>
      <c r="N40" s="14">
        <v>1122.73</v>
      </c>
      <c r="P40" s="14">
        <f>+P39*(1+'SImple Return'!B39)</f>
        <v>112.07504515241244</v>
      </c>
      <c r="Q40" s="14">
        <f>+Q39*(1+'SImple Return'!C39)</f>
        <v>105.84833504337281</v>
      </c>
      <c r="R40" s="14">
        <f>+R39*(1+'SImple Return'!D39)</f>
        <v>116.67051222888784</v>
      </c>
      <c r="S40" s="14">
        <f>+S39*(1+'SImple Return'!E39)</f>
        <v>103.67410068353043</v>
      </c>
      <c r="T40" s="14">
        <f>+T39*(1+'SImple Return'!F39)</f>
        <v>112.73610838405655</v>
      </c>
      <c r="U40" s="14">
        <f>+U39*(1+'SImple Return'!G39)</f>
        <v>129.06696454818041</v>
      </c>
      <c r="V40" s="14">
        <f>+V39*(1+'SImple Return'!H39)</f>
        <v>98.654882775524882</v>
      </c>
      <c r="W40" s="14">
        <f>+W39*(1+'SImple Return'!I39)</f>
        <v>104.25362196009618</v>
      </c>
      <c r="X40" s="14">
        <f>+X39*(1+'SImple Return'!J39)</f>
        <v>100.6164942430317</v>
      </c>
      <c r="Y40" s="14">
        <f>+Y39*(1+'SImple Return'!K39)</f>
        <v>114.41185041282166</v>
      </c>
      <c r="Z40" s="14">
        <f>+Z39*(1+'SImple Return'!L39)</f>
        <v>252.64864864864848</v>
      </c>
      <c r="AA40" s="14">
        <f>+AA39*(1+'SImple Return'!M39)</f>
        <v>124.1749109616146</v>
      </c>
      <c r="AB40" s="14">
        <f>+AB39*(1+'SImple Return'!N39)</f>
        <v>109.77560498655585</v>
      </c>
    </row>
    <row r="41" spans="1:28">
      <c r="A41" s="8">
        <v>37897</v>
      </c>
      <c r="B41" s="10">
        <v>944.23</v>
      </c>
      <c r="C41" s="10">
        <v>228.33</v>
      </c>
      <c r="D41" s="10">
        <v>105.94</v>
      </c>
      <c r="E41" s="14">
        <v>1038.6400000000001</v>
      </c>
      <c r="F41" s="14">
        <v>1176.5899999999999</v>
      </c>
      <c r="G41" s="14">
        <v>1365.07</v>
      </c>
      <c r="H41" s="14">
        <v>995.7</v>
      </c>
      <c r="I41" s="14">
        <v>1042.81</v>
      </c>
      <c r="J41" s="14">
        <v>996.79</v>
      </c>
      <c r="K41" s="14">
        <v>1169.8399999999999</v>
      </c>
      <c r="L41" s="14">
        <v>2848.13</v>
      </c>
      <c r="M41" s="14">
        <v>1282.7</v>
      </c>
      <c r="N41" s="14">
        <v>1144.74</v>
      </c>
      <c r="P41" s="14">
        <f>+P40*(1+'SImple Return'!B40)</f>
        <v>116.01159833396814</v>
      </c>
      <c r="Q41" s="14">
        <f>+Q40*(1+'SImple Return'!C40)</f>
        <v>106.48726797873331</v>
      </c>
      <c r="R41" s="14">
        <f>+R40*(1+'SImple Return'!D40)</f>
        <v>122.21965851407474</v>
      </c>
      <c r="S41" s="14">
        <f>+S40*(1+'SImple Return'!E40)</f>
        <v>103.6411714813152</v>
      </c>
      <c r="T41" s="14">
        <f>+T40*(1+'SImple Return'!F40)</f>
        <v>115.51050461417633</v>
      </c>
      <c r="U41" s="14">
        <f>+U40*(1+'SImple Return'!G40)</f>
        <v>133.75957826248853</v>
      </c>
      <c r="V41" s="14">
        <f>+V40*(1+'SImple Return'!H40)</f>
        <v>99.209868178512053</v>
      </c>
      <c r="W41" s="14">
        <f>+W40*(1+'SImple Return'!I40)</f>
        <v>103.97842278968209</v>
      </c>
      <c r="X41" s="14">
        <f>+X40*(1+'SImple Return'!J40)</f>
        <v>100.41099616202112</v>
      </c>
      <c r="Y41" s="14">
        <f>+Y40*(1+'SImple Return'!K40)</f>
        <v>113.6318601262748</v>
      </c>
      <c r="Z41" s="14">
        <f>+Z40*(1+'SImple Return'!L40)</f>
        <v>277.39274409544657</v>
      </c>
      <c r="AA41" s="14">
        <f>+AA40*(1+'SImple Return'!M40)</f>
        <v>126.8994855559953</v>
      </c>
      <c r="AB41" s="14">
        <f>+AB40*(1+'SImple Return'!N40)</f>
        <v>111.92764605230994</v>
      </c>
    </row>
    <row r="42" spans="1:28">
      <c r="A42" s="8">
        <v>37904</v>
      </c>
      <c r="B42" s="10">
        <v>956.27</v>
      </c>
      <c r="C42" s="10">
        <v>226.89</v>
      </c>
      <c r="D42" s="10">
        <v>107.69</v>
      </c>
      <c r="E42" s="14">
        <v>1048</v>
      </c>
      <c r="F42" s="14">
        <v>1191.1099999999999</v>
      </c>
      <c r="G42" s="14">
        <v>1394.51</v>
      </c>
      <c r="H42" s="14">
        <v>989.79</v>
      </c>
      <c r="I42" s="14">
        <v>1066.3399999999999</v>
      </c>
      <c r="J42" s="14">
        <v>996.36</v>
      </c>
      <c r="K42" s="14">
        <v>1169.6199999999999</v>
      </c>
      <c r="L42" s="14">
        <v>2990.52</v>
      </c>
      <c r="M42" s="14">
        <v>1326.78</v>
      </c>
      <c r="N42" s="14">
        <v>1158.18</v>
      </c>
      <c r="P42" s="14">
        <f>+P41*(1+'SImple Return'!B41)</f>
        <v>117.49087736973377</v>
      </c>
      <c r="Q42" s="14">
        <f>+Q41*(1+'SImple Return'!C41)</f>
        <v>105.81568883499671</v>
      </c>
      <c r="R42" s="14">
        <f>+R41*(1+'SImple Return'!D41)</f>
        <v>124.23857868020303</v>
      </c>
      <c r="S42" s="14">
        <f>+S41*(1+'SImple Return'!E41)</f>
        <v>104.57516339869282</v>
      </c>
      <c r="T42" s="14">
        <f>+T41*(1+'SImple Return'!F41)</f>
        <v>116.93599057529944</v>
      </c>
      <c r="U42" s="14">
        <f>+U41*(1+'SImple Return'!G41)</f>
        <v>136.6443255531386</v>
      </c>
      <c r="V42" s="14">
        <f>+V41*(1+'SImple Return'!H41)</f>
        <v>98.621005749130703</v>
      </c>
      <c r="W42" s="14">
        <f>+W41*(1+'SImple Return'!I41)</f>
        <v>106.3245954273066</v>
      </c>
      <c r="X42" s="14">
        <f>+X41*(1+'SImple Return'!J41)</f>
        <v>100.36768039004342</v>
      </c>
      <c r="Y42" s="14">
        <f>+Y41*(1+'SImple Return'!K41)</f>
        <v>113.61049052938311</v>
      </c>
      <c r="Z42" s="14">
        <f>+Z41*(1+'SImple Return'!L41)</f>
        <v>291.26077428780104</v>
      </c>
      <c r="AA42" s="14">
        <f>+AA41*(1+'SImple Return'!M41)</f>
        <v>131.26038781163439</v>
      </c>
      <c r="AB42" s="14">
        <f>+AB41*(1+'SImple Return'!N41)</f>
        <v>113.24175018332924</v>
      </c>
    </row>
    <row r="43" spans="1:28">
      <c r="A43" s="8">
        <v>37911</v>
      </c>
      <c r="B43" s="10">
        <v>959.43</v>
      </c>
      <c r="C43" s="10">
        <v>225.81</v>
      </c>
      <c r="D43" s="10">
        <v>107.43</v>
      </c>
      <c r="E43" s="14">
        <v>1053.45</v>
      </c>
      <c r="F43" s="14">
        <v>1187.42</v>
      </c>
      <c r="G43" s="14">
        <v>1367.22</v>
      </c>
      <c r="H43" s="14">
        <v>984.1</v>
      </c>
      <c r="I43" s="14">
        <v>1068.6600000000001</v>
      </c>
      <c r="J43" s="14">
        <v>1014.08</v>
      </c>
      <c r="K43" s="14">
        <v>1199.01</v>
      </c>
      <c r="L43" s="14">
        <v>3002.49</v>
      </c>
      <c r="M43" s="14">
        <v>1313.58</v>
      </c>
      <c r="N43" s="14">
        <v>1155.23</v>
      </c>
      <c r="P43" s="14">
        <f>+P42*(1+'SImple Return'!B42)</f>
        <v>117.87912668476859</v>
      </c>
      <c r="Q43" s="14">
        <f>+Q42*(1+'SImple Return'!C42)</f>
        <v>105.31200447719426</v>
      </c>
      <c r="R43" s="14">
        <f>+R42*(1+'SImple Return'!D42)</f>
        <v>123.93862482694971</v>
      </c>
      <c r="S43" s="14">
        <f>+S42*(1+'SImple Return'!E42)</f>
        <v>105.11899416255052</v>
      </c>
      <c r="T43" s="14">
        <f>+T42*(1+'SImple Return'!F42)</f>
        <v>116.5737286471628</v>
      </c>
      <c r="U43" s="14">
        <f>+U42*(1+'SImple Return'!G42)</f>
        <v>133.97025104356524</v>
      </c>
      <c r="V43" s="14">
        <f>+V42*(1+'SImple Return'!H42)</f>
        <v>98.054063748592654</v>
      </c>
      <c r="W43" s="14">
        <f>+W42*(1+'SImple Return'!I42)</f>
        <v>106.55592226620543</v>
      </c>
      <c r="X43" s="14">
        <f>+X42*(1+'SImple Return'!J42)</f>
        <v>102.15269313293913</v>
      </c>
      <c r="Y43" s="14">
        <f>+Y42*(1+'SImple Return'!K42)</f>
        <v>116.46527440505092</v>
      </c>
      <c r="Z43" s="14">
        <f>+Z42*(1+'SImple Return'!L42)</f>
        <v>292.4265887509128</v>
      </c>
      <c r="AA43" s="14">
        <f>+AA42*(1+'SImple Return'!M42)</f>
        <v>129.95449149188767</v>
      </c>
      <c r="AB43" s="14">
        <f>+AB42*(1+'SImple Return'!N42)</f>
        <v>112.95331214861891</v>
      </c>
    </row>
    <row r="44" spans="1:28">
      <c r="A44" s="8">
        <v>37918</v>
      </c>
      <c r="B44" s="10">
        <v>946.11</v>
      </c>
      <c r="C44" s="10">
        <v>227.08</v>
      </c>
      <c r="D44" s="10">
        <v>105.12</v>
      </c>
      <c r="E44" s="14">
        <v>1063.1300000000001</v>
      </c>
      <c r="F44" s="14">
        <v>1182.78</v>
      </c>
      <c r="G44" s="14">
        <v>1394.99</v>
      </c>
      <c r="H44" s="14">
        <v>996.91</v>
      </c>
      <c r="I44" s="14">
        <v>1068.47</v>
      </c>
      <c r="J44" s="14">
        <v>1031.07</v>
      </c>
      <c r="K44" s="14">
        <v>1210.1500000000001</v>
      </c>
      <c r="L44" s="14">
        <v>2945.39</v>
      </c>
      <c r="M44" s="14">
        <v>1329.96</v>
      </c>
      <c r="N44" s="14">
        <v>1145.99</v>
      </c>
      <c r="P44" s="14">
        <f>+P43*(1+'SImple Return'!B43)</f>
        <v>116.2425821036724</v>
      </c>
      <c r="Q44" s="14">
        <f>+Q43*(1+'SImple Return'!C43)</f>
        <v>105.9042999720175</v>
      </c>
      <c r="R44" s="14">
        <f>+R43*(1+'SImple Return'!D43)</f>
        <v>121.27365020766035</v>
      </c>
      <c r="S44" s="14">
        <f>+S43*(1+'SImple Return'!E43)</f>
        <v>106.08491742753083</v>
      </c>
      <c r="T44" s="14">
        <f>+T43*(1+'SImple Return'!F43)</f>
        <v>116.11820145297467</v>
      </c>
      <c r="U44" s="14">
        <f>+U43*(1+'SImple Return'!G43)</f>
        <v>136.69135947635573</v>
      </c>
      <c r="V44" s="14">
        <f>+V43*(1+'SImple Return'!H43)</f>
        <v>99.330430537150178</v>
      </c>
      <c r="W44" s="14">
        <f>+W43*(1+'SImple Return'!I43)</f>
        <v>106.53697739577837</v>
      </c>
      <c r="X44" s="14">
        <f>+X43*(1+'SImple Return'!J43)</f>
        <v>103.86416979782615</v>
      </c>
      <c r="Y44" s="14">
        <f>+Y43*(1+'SImple Return'!K43)</f>
        <v>117.54735308402131</v>
      </c>
      <c r="Z44" s="14">
        <f>+Z43*(1+'SImple Return'!L43)</f>
        <v>286.86535183832456</v>
      </c>
      <c r="AA44" s="14">
        <f>+AA43*(1+'SImple Return'!M43)</f>
        <v>131.57499010684614</v>
      </c>
      <c r="AB44" s="14">
        <f>+AB43*(1+'SImple Return'!N43)</f>
        <v>112.04986555854312</v>
      </c>
    </row>
    <row r="45" spans="1:28">
      <c r="A45" s="8">
        <v>37925</v>
      </c>
      <c r="B45" s="10">
        <v>962.71</v>
      </c>
      <c r="C45" s="10">
        <v>227.05</v>
      </c>
      <c r="D45" s="10">
        <v>105.79</v>
      </c>
      <c r="E45" s="14">
        <v>1058.96</v>
      </c>
      <c r="F45" s="14">
        <v>1201.71</v>
      </c>
      <c r="G45" s="14">
        <v>1391.52</v>
      </c>
      <c r="H45" s="14">
        <v>987.87</v>
      </c>
      <c r="I45" s="14">
        <v>1067.78</v>
      </c>
      <c r="J45" s="14">
        <v>1039.5</v>
      </c>
      <c r="K45" s="14">
        <v>1231.04</v>
      </c>
      <c r="L45" s="14">
        <v>3253.82</v>
      </c>
      <c r="M45" s="14">
        <v>1314.71</v>
      </c>
      <c r="N45" s="14">
        <v>1158.3699999999999</v>
      </c>
      <c r="P45" s="14">
        <f>+P44*(1+'SImple Return'!B44)</f>
        <v>118.28211964467818</v>
      </c>
      <c r="Q45" s="14">
        <f>+Q44*(1+'SImple Return'!C44)</f>
        <v>105.89030873985632</v>
      </c>
      <c r="R45" s="14">
        <f>+R44*(1+'SImple Return'!D44)</f>
        <v>122.04660821412091</v>
      </c>
      <c r="S45" s="14">
        <f>+S44*(1+'SImple Return'!E44)</f>
        <v>105.66881205408373</v>
      </c>
      <c r="T45" s="14">
        <f>+T44*(1+'SImple Return'!F44)</f>
        <v>117.97663459650501</v>
      </c>
      <c r="U45" s="14">
        <f>+U44*(1+'SImple Return'!G44)</f>
        <v>136.35134340643197</v>
      </c>
      <c r="V45" s="14">
        <f>+V44*(1+'SImple Return'!H44)</f>
        <v>98.42970018831646</v>
      </c>
      <c r="W45" s="14">
        <f>+W44*(1+'SImple Return'!I44)</f>
        <v>106.46817760317484</v>
      </c>
      <c r="X45" s="14">
        <f>+X44*(1+'SImple Return'!J44)</f>
        <v>104.71336039729628</v>
      </c>
      <c r="Y45" s="14">
        <f>+Y44*(1+'SImple Return'!K44)</f>
        <v>119.57649344341905</v>
      </c>
      <c r="Z45" s="14">
        <f>+Z44*(1+'SImple Return'!L44)</f>
        <v>316.90479668858023</v>
      </c>
      <c r="AA45" s="14">
        <f>+AA44*(1+'SImple Return'!M44)</f>
        <v>130.06628413138117</v>
      </c>
      <c r="AB45" s="14">
        <f>+AB44*(1+'SImple Return'!N44)</f>
        <v>113.26032754827666</v>
      </c>
    </row>
    <row r="46" spans="1:28">
      <c r="A46" s="8">
        <v>37932</v>
      </c>
      <c r="B46" s="10">
        <v>967.33</v>
      </c>
      <c r="C46" s="10">
        <v>225.29</v>
      </c>
      <c r="D46" s="10">
        <v>106.52</v>
      </c>
      <c r="E46" s="14">
        <v>1070.22</v>
      </c>
      <c r="F46" s="14">
        <v>1210.3</v>
      </c>
      <c r="G46" s="14">
        <v>1369.37</v>
      </c>
      <c r="H46" s="14">
        <v>997.35</v>
      </c>
      <c r="I46" s="14">
        <v>1079.92</v>
      </c>
      <c r="J46" s="14">
        <v>1049.42</v>
      </c>
      <c r="K46" s="14">
        <v>1251.55</v>
      </c>
      <c r="L46" s="14">
        <v>3267.57</v>
      </c>
      <c r="M46" s="14">
        <v>1305.6600000000001</v>
      </c>
      <c r="N46" s="14">
        <v>1167.54</v>
      </c>
      <c r="P46" s="14">
        <f>+P45*(1+'SImple Return'!B45)</f>
        <v>118.8497499723557</v>
      </c>
      <c r="Q46" s="14">
        <f>+Q45*(1+'SImple Return'!C45)</f>
        <v>105.06948978640048</v>
      </c>
      <c r="R46" s="14">
        <f>+R45*(1+'SImple Return'!D45)</f>
        <v>122.88878634056297</v>
      </c>
      <c r="S46" s="14">
        <f>+S45*(1+'SImple Return'!E45)</f>
        <v>106.79239634785212</v>
      </c>
      <c r="T46" s="14">
        <f>+T45*(1+'SImple Return'!F45)</f>
        <v>118.81994894953857</v>
      </c>
      <c r="U46" s="14">
        <f>+U45*(1+'SImple Return'!G45)</f>
        <v>134.18092382464192</v>
      </c>
      <c r="V46" s="14">
        <f>+V45*(1+'SImple Return'!H45)</f>
        <v>99.374271394836796</v>
      </c>
      <c r="W46" s="14">
        <f>+W45*(1+'SImple Return'!I45)</f>
        <v>107.67865511361944</v>
      </c>
      <c r="X46" s="14">
        <f>+X45*(1+'SImple Return'!J45)</f>
        <v>105.71264518338688</v>
      </c>
      <c r="Y46" s="14">
        <f>+Y45*(1+'SImple Return'!K45)</f>
        <v>121.568722680913</v>
      </c>
      <c r="Z46" s="14">
        <f>+Z45*(1+'SImple Return'!L45)</f>
        <v>318.24397370343291</v>
      </c>
      <c r="AA46" s="14">
        <f>+AA45*(1+'SImple Return'!M45)</f>
        <v>129.17095370003966</v>
      </c>
      <c r="AB46" s="14">
        <f>+AB45*(1+'SImple Return'!N45)</f>
        <v>114.15692984600338</v>
      </c>
    </row>
    <row r="47" spans="1:28">
      <c r="A47" s="8">
        <v>37939</v>
      </c>
      <c r="B47" s="10">
        <v>970.02</v>
      </c>
      <c r="C47" s="10">
        <v>227.85</v>
      </c>
      <c r="D47" s="10">
        <v>106.4</v>
      </c>
      <c r="E47" s="14">
        <v>1081.77</v>
      </c>
      <c r="F47" s="14">
        <v>1200.8699999999999</v>
      </c>
      <c r="G47" s="14">
        <v>1398.72</v>
      </c>
      <c r="H47" s="14">
        <v>990.4</v>
      </c>
      <c r="I47" s="14">
        <v>1102.52</v>
      </c>
      <c r="J47" s="14">
        <v>1055.28</v>
      </c>
      <c r="K47" s="14">
        <v>1243.32</v>
      </c>
      <c r="L47" s="14">
        <v>3022.97</v>
      </c>
      <c r="M47" s="14">
        <v>1333.85</v>
      </c>
      <c r="N47" s="14">
        <v>1179.6099999999999</v>
      </c>
      <c r="P47" s="14">
        <f>+P46*(1+'SImple Return'!B46)</f>
        <v>119.18025334496447</v>
      </c>
      <c r="Q47" s="14">
        <f>+Q46*(1+'SImple Return'!C46)</f>
        <v>106.26340826415444</v>
      </c>
      <c r="R47" s="14">
        <f>+R46*(1+'SImple Return'!D46)</f>
        <v>122.7503461005999</v>
      </c>
      <c r="S47" s="14">
        <f>+S46*(1+'SImple Return'!E46)</f>
        <v>107.94491842538541</v>
      </c>
      <c r="T47" s="14">
        <f>+T46*(1+'SImple Return'!F46)</f>
        <v>117.89416846652267</v>
      </c>
      <c r="U47" s="14">
        <f>+U46*(1+'SImple Return'!G46)</f>
        <v>137.05685225468878</v>
      </c>
      <c r="V47" s="14">
        <f>+V46*(1+'SImple Return'!H46)</f>
        <v>98.681785120014396</v>
      </c>
      <c r="W47" s="14">
        <f>+W46*(1+'SImple Return'!I46)</f>
        <v>109.93209759599573</v>
      </c>
      <c r="X47" s="14">
        <f>+X46*(1+'SImple Return'!J46)</f>
        <v>106.30294849452507</v>
      </c>
      <c r="Y47" s="14">
        <f>+Y46*(1+'SImple Return'!K46)</f>
        <v>120.76930548810095</v>
      </c>
      <c r="Z47" s="14">
        <f>+Z46*(1+'SImple Return'!L46)</f>
        <v>294.42123204285343</v>
      </c>
      <c r="AA47" s="14">
        <f>+AA46*(1+'SImple Return'!M46)</f>
        <v>131.95983379501391</v>
      </c>
      <c r="AB47" s="14">
        <f>+AB46*(1+'SImple Return'!N46)</f>
        <v>115.33708139819112</v>
      </c>
    </row>
    <row r="48" spans="1:28">
      <c r="A48" s="8">
        <v>37946</v>
      </c>
      <c r="B48" s="10">
        <v>955.98</v>
      </c>
      <c r="C48" s="10">
        <v>229.62</v>
      </c>
      <c r="D48" s="10">
        <v>104.45</v>
      </c>
      <c r="E48" s="14">
        <v>1098.17</v>
      </c>
      <c r="F48" s="14">
        <v>1192.0899999999999</v>
      </c>
      <c r="G48" s="14">
        <v>1434.66</v>
      </c>
      <c r="H48" s="14">
        <v>1004.93</v>
      </c>
      <c r="I48" s="14">
        <v>1080.07</v>
      </c>
      <c r="J48" s="14">
        <v>1076.83</v>
      </c>
      <c r="K48" s="14">
        <v>1243.0899999999999</v>
      </c>
      <c r="L48" s="14">
        <v>3015.54</v>
      </c>
      <c r="M48" s="14">
        <v>1362.03</v>
      </c>
      <c r="N48" s="14">
        <v>1175.95</v>
      </c>
      <c r="P48" s="14">
        <f>+P47*(1+'SImple Return'!B47)</f>
        <v>117.45524689461983</v>
      </c>
      <c r="Q48" s="14">
        <f>+Q47*(1+'SImple Return'!C47)</f>
        <v>107.08889096166401</v>
      </c>
      <c r="R48" s="14">
        <f>+R47*(1+'SImple Return'!D47)</f>
        <v>120.50069220119981</v>
      </c>
      <c r="S48" s="14">
        <f>+S47*(1+'SImple Return'!E47)</f>
        <v>109.58139999002145</v>
      </c>
      <c r="T48" s="14">
        <f>+T47*(1+'SImple Return'!F47)</f>
        <v>117.03220106027881</v>
      </c>
      <c r="U48" s="14">
        <f>+U47*(1+'SImple Return'!G47)</f>
        <v>140.57851725557066</v>
      </c>
      <c r="V48" s="14">
        <f>+V47*(1+'SImple Return'!H47)</f>
        <v>100.12952980680136</v>
      </c>
      <c r="W48" s="14">
        <f>+W47*(1+'SImple Return'!I47)</f>
        <v>107.69361159027237</v>
      </c>
      <c r="X48" s="14">
        <f>+X47*(1+'SImple Return'!J47)</f>
        <v>108.47377381108278</v>
      </c>
      <c r="Y48" s="14">
        <f>+Y47*(1+'SImple Return'!K47)</f>
        <v>120.74696454589601</v>
      </c>
      <c r="Z48" s="14">
        <f>+Z47*(1+'SImple Return'!L47)</f>
        <v>293.69758948137309</v>
      </c>
      <c r="AA48" s="14">
        <f>+AA47*(1+'SImple Return'!M47)</f>
        <v>134.74772457459443</v>
      </c>
      <c r="AB48" s="14">
        <f>+AB47*(1+'SImple Return'!N47)</f>
        <v>114.97922268394034</v>
      </c>
    </row>
    <row r="49" spans="1:28">
      <c r="A49" s="8">
        <v>37953</v>
      </c>
      <c r="B49" s="10">
        <v>976.02</v>
      </c>
      <c r="C49" s="10">
        <v>229.08</v>
      </c>
      <c r="D49" s="10">
        <v>107.21</v>
      </c>
      <c r="E49" s="14">
        <v>1112.1199999999999</v>
      </c>
      <c r="F49" s="14">
        <v>1217.1400000000001</v>
      </c>
      <c r="G49" s="14">
        <v>1434.87</v>
      </c>
      <c r="H49" s="14">
        <v>1018.7</v>
      </c>
      <c r="I49" s="14">
        <v>1091.1500000000001</v>
      </c>
      <c r="J49" s="14">
        <v>1102.1300000000001</v>
      </c>
      <c r="K49" s="14">
        <v>1241.94</v>
      </c>
      <c r="L49" s="14">
        <v>3181.26</v>
      </c>
      <c r="M49" s="14">
        <v>1384.58</v>
      </c>
      <c r="N49" s="14">
        <v>1186.97</v>
      </c>
      <c r="P49" s="14">
        <f>+P48*(1+'SImple Return'!B48)</f>
        <v>119.91743558870149</v>
      </c>
      <c r="Q49" s="14">
        <f>+Q48*(1+'SImple Return'!C48)</f>
        <v>106.83704878276279</v>
      </c>
      <c r="R49" s="14">
        <f>+R48*(1+'SImple Return'!D48)</f>
        <v>123.68481772035071</v>
      </c>
      <c r="S49" s="14">
        <f>+S48*(1+'SImple Return'!E48)</f>
        <v>110.97340717457463</v>
      </c>
      <c r="T49" s="14">
        <f>+T48*(1+'SImple Return'!F48)</f>
        <v>119.491458865109</v>
      </c>
      <c r="U49" s="14">
        <f>+U48*(1+'SImple Return'!G48)</f>
        <v>140.59909459697812</v>
      </c>
      <c r="V49" s="14">
        <f>+V48*(1+'SImple Return'!H48)</f>
        <v>101.50154937576603</v>
      </c>
      <c r="W49" s="14">
        <f>+W48*(1+'SImple Return'!I48)</f>
        <v>108.79839666570288</v>
      </c>
      <c r="X49" s="14">
        <f>+X48*(1+'SImple Return'!J48)</f>
        <v>111.02235295302759</v>
      </c>
      <c r="Y49" s="14">
        <f>+Y48*(1+'SImple Return'!K48)</f>
        <v>120.63525983487126</v>
      </c>
      <c r="Z49" s="14">
        <f>+Z48*(1+'SImple Return'!L48)</f>
        <v>309.8378378378377</v>
      </c>
      <c r="AA49" s="14">
        <f>+AA48*(1+'SImple Return'!M48)</f>
        <v>136.97863078749509</v>
      </c>
      <c r="AB49" s="14">
        <f>+AB48*(1+'SImple Return'!N48)</f>
        <v>116.05670985089218</v>
      </c>
    </row>
    <row r="50" spans="1:28">
      <c r="A50" s="8">
        <v>37960</v>
      </c>
      <c r="B50" s="10">
        <v>987.82</v>
      </c>
      <c r="C50" s="10">
        <v>228.91</v>
      </c>
      <c r="D50" s="10">
        <v>108.86</v>
      </c>
      <c r="E50" s="14">
        <v>1121.76</v>
      </c>
      <c r="F50" s="14">
        <v>1218.23</v>
      </c>
      <c r="G50" s="14">
        <v>1492.4</v>
      </c>
      <c r="H50" s="14">
        <v>1017.07</v>
      </c>
      <c r="I50" s="14">
        <v>1095.1500000000001</v>
      </c>
      <c r="J50" s="14">
        <v>1112.6400000000001</v>
      </c>
      <c r="K50" s="14">
        <v>1272.6500000000001</v>
      </c>
      <c r="L50" s="14">
        <v>3141.94</v>
      </c>
      <c r="M50" s="14">
        <v>1425.33</v>
      </c>
      <c r="N50" s="14">
        <v>1194.96</v>
      </c>
      <c r="P50" s="14">
        <f>+P49*(1+'SImple Return'!B49)</f>
        <v>121.36722733471765</v>
      </c>
      <c r="Q50" s="14">
        <f>+Q49*(1+'SImple Return'!C49)</f>
        <v>106.75776513384943</v>
      </c>
      <c r="R50" s="14">
        <f>+R49*(1+'SImple Return'!D49)</f>
        <v>125.58837101984309</v>
      </c>
      <c r="S50" s="14">
        <f>+S49*(1+'SImple Return'!E49)</f>
        <v>111.9353390211046</v>
      </c>
      <c r="T50" s="14">
        <f>+T49*(1+'SImple Return'!F49)</f>
        <v>119.59846848615749</v>
      </c>
      <c r="U50" s="14">
        <f>+U49*(1+'SImple Return'!G49)</f>
        <v>146.23630626923008</v>
      </c>
      <c r="V50" s="14">
        <f>+V49*(1+'SImple Return'!H49)</f>
        <v>101.33913892569977</v>
      </c>
      <c r="W50" s="14">
        <f>+W49*(1+'SImple Return'!I49)</f>
        <v>109.19723604311461</v>
      </c>
      <c r="X50" s="14">
        <f>+X49*(1+'SImple Return'!J49)</f>
        <v>112.08107100764576</v>
      </c>
      <c r="Y50" s="14">
        <f>+Y49*(1+'SImple Return'!K49)</f>
        <v>123.61826129188924</v>
      </c>
      <c r="Z50" s="14">
        <f>+Z49*(1+'SImple Return'!L49)</f>
        <v>306.00827854881891</v>
      </c>
      <c r="AA50" s="14">
        <f>+AA49*(1+'SImple Return'!M49)</f>
        <v>141.01009101701626</v>
      </c>
      <c r="AB50" s="14">
        <f>+AB49*(1+'SImple Return'!N49)</f>
        <v>116.83793693473477</v>
      </c>
    </row>
    <row r="51" spans="1:28">
      <c r="A51" s="8">
        <v>37967</v>
      </c>
      <c r="B51" s="10">
        <v>995.22</v>
      </c>
      <c r="C51" s="10">
        <v>230.66</v>
      </c>
      <c r="D51" s="10">
        <v>109.95</v>
      </c>
      <c r="E51" s="14">
        <v>1141.6099999999999</v>
      </c>
      <c r="F51" s="14">
        <v>1221.6199999999999</v>
      </c>
      <c r="G51" s="14">
        <v>1490.54</v>
      </c>
      <c r="H51" s="14">
        <v>1022.97</v>
      </c>
      <c r="I51" s="14">
        <v>1114.18</v>
      </c>
      <c r="J51" s="14">
        <v>1146.57</v>
      </c>
      <c r="K51" s="14">
        <v>1274</v>
      </c>
      <c r="L51" s="14">
        <v>3049.92</v>
      </c>
      <c r="M51" s="14">
        <v>1426.91</v>
      </c>
      <c r="N51" s="14">
        <v>1210.8</v>
      </c>
      <c r="P51" s="14">
        <f>+P50*(1+'SImple Return'!B50)</f>
        <v>122.27641876865997</v>
      </c>
      <c r="Q51" s="14">
        <f>+Q50*(1+'SImple Return'!C50)</f>
        <v>107.57392034325154</v>
      </c>
      <c r="R51" s="14">
        <f>+R50*(1+'SImple Return'!D50)</f>
        <v>126.84586986617443</v>
      </c>
      <c r="S51" s="14">
        <f>+S50*(1+'SImple Return'!E50)</f>
        <v>113.91608042708174</v>
      </c>
      <c r="T51" s="14">
        <f>+T50*(1+'SImple Return'!F50)</f>
        <v>119.93127822501472</v>
      </c>
      <c r="U51" s="14">
        <f>+U50*(1+'SImple Return'!G50)</f>
        <v>146.05404981676372</v>
      </c>
      <c r="V51" s="14">
        <f>+V50*(1+'SImple Return'!H50)</f>
        <v>101.92700497195187</v>
      </c>
      <c r="W51" s="14">
        <f>+W50*(1+'SImple Return'!I50)</f>
        <v>111.09471438115092</v>
      </c>
      <c r="X51" s="14">
        <f>+X50*(1+'SImple Return'!J50)</f>
        <v>115.49898761974798</v>
      </c>
      <c r="Y51" s="14">
        <f>+Y50*(1+'SImple Return'!K50)</f>
        <v>123.74939290917918</v>
      </c>
      <c r="Z51" s="14">
        <f>+Z50*(1+'SImple Return'!L50)</f>
        <v>297.04601899196479</v>
      </c>
      <c r="AA51" s="14">
        <f>+AA50*(1+'SImple Return'!M50)</f>
        <v>141.16640284922838</v>
      </c>
      <c r="AB51" s="14">
        <f>+AB50*(1+'SImple Return'!N50)</f>
        <v>118.3867025177218</v>
      </c>
    </row>
    <row r="52" spans="1:28">
      <c r="A52" s="8">
        <v>37974</v>
      </c>
      <c r="B52" s="10">
        <v>1008.52</v>
      </c>
      <c r="C52" s="10">
        <v>232.53</v>
      </c>
      <c r="D52" s="10">
        <v>110.03</v>
      </c>
      <c r="E52" s="14">
        <v>1160.94</v>
      </c>
      <c r="F52" s="14">
        <v>1220.32</v>
      </c>
      <c r="G52" s="14">
        <v>1498.61</v>
      </c>
      <c r="H52" s="14">
        <v>1047.01</v>
      </c>
      <c r="I52" s="14">
        <v>1132.55</v>
      </c>
      <c r="J52" s="14">
        <v>1147.26</v>
      </c>
      <c r="K52" s="14">
        <v>1277.6300000000001</v>
      </c>
      <c r="L52" s="14">
        <v>2850.48</v>
      </c>
      <c r="M52" s="14">
        <v>1437.65</v>
      </c>
      <c r="N52" s="14">
        <v>1219.08</v>
      </c>
      <c r="P52" s="14">
        <f>+P51*(1+'SImple Return'!B51)</f>
        <v>123.91050607561036</v>
      </c>
      <c r="Q52" s="14">
        <f>+Q51*(1+'SImple Return'!C51)</f>
        <v>108.44604048129838</v>
      </c>
      <c r="R52" s="14">
        <f>+R51*(1+'SImple Return'!D51)</f>
        <v>126.93816335948314</v>
      </c>
      <c r="S52" s="14">
        <f>+S51*(1+'SImple Return'!E51)</f>
        <v>115.84493339320458</v>
      </c>
      <c r="T52" s="14">
        <f>+T51*(1+'SImple Return'!F51)</f>
        <v>119.80365207147064</v>
      </c>
      <c r="U52" s="14">
        <f>+U51*(1+'SImple Return'!G51)</f>
        <v>146.84480765085155</v>
      </c>
      <c r="V52" s="14">
        <f>+V51*(1+'SImple Return'!H51)</f>
        <v>104.32231001464689</v>
      </c>
      <c r="W52" s="14">
        <f>+W51*(1+'SImple Return'!I51)</f>
        <v>112.92638422191429</v>
      </c>
      <c r="X52" s="14">
        <f>+X51*(1+'SImple Return'!J51)</f>
        <v>115.56849432361921</v>
      </c>
      <c r="Y52" s="14">
        <f>+Y51*(1+'SImple Return'!K51)</f>
        <v>124.10199125789215</v>
      </c>
      <c r="Z52" s="14">
        <f>+Z51*(1+'SImple Return'!L51)</f>
        <v>277.6216216216215</v>
      </c>
      <c r="AA52" s="14">
        <f>+AA51*(1+'SImple Return'!M51)</f>
        <v>142.22892758211322</v>
      </c>
      <c r="AB52" s="14">
        <f>+AB51*(1+'SImple Return'!N51)</f>
        <v>119.19628452701048</v>
      </c>
    </row>
    <row r="53" spans="1:28">
      <c r="A53" s="8">
        <v>37981</v>
      </c>
      <c r="B53" s="10">
        <v>1018.31</v>
      </c>
      <c r="C53" s="10">
        <v>232.78</v>
      </c>
      <c r="D53" s="10">
        <v>110.95</v>
      </c>
      <c r="E53" s="14">
        <v>1176.6099999999999</v>
      </c>
      <c r="F53" s="14">
        <v>1245.71</v>
      </c>
      <c r="G53" s="14">
        <v>1501.89</v>
      </c>
      <c r="H53" s="14">
        <v>1060.82</v>
      </c>
      <c r="I53" s="14">
        <v>1156.33</v>
      </c>
      <c r="J53" s="14">
        <v>1152.93</v>
      </c>
      <c r="K53" s="14">
        <v>1318.26</v>
      </c>
      <c r="L53" s="14">
        <v>2962.91</v>
      </c>
      <c r="M53" s="14">
        <v>1444.45</v>
      </c>
      <c r="N53" s="14">
        <v>1245.32</v>
      </c>
      <c r="P53" s="14">
        <f>+P52*(1+'SImple Return'!B52)</f>
        <v>125.11334176997458</v>
      </c>
      <c r="Q53" s="14">
        <f>+Q52*(1+'SImple Return'!C52)</f>
        <v>108.56263408264154</v>
      </c>
      <c r="R53" s="14">
        <f>+R52*(1+'SImple Return'!D52)</f>
        <v>127.99953853253344</v>
      </c>
      <c r="S53" s="14">
        <f>+S52*(1+'SImple Return'!E52)</f>
        <v>117.40857157112204</v>
      </c>
      <c r="T53" s="14">
        <f>+T52*(1+'SImple Return'!F52)</f>
        <v>122.29628902415081</v>
      </c>
      <c r="U53" s="14">
        <f>+U52*(1+'SImple Return'!G52)</f>
        <v>147.16620612616856</v>
      </c>
      <c r="V53" s="14">
        <f>+V52*(1+'SImple Return'!H52)</f>
        <v>105.69831511612851</v>
      </c>
      <c r="W53" s="14">
        <f>+W52*(1+'SImple Return'!I52)</f>
        <v>115.29748432062705</v>
      </c>
      <c r="X53" s="14">
        <f>+X52*(1+'SImple Return'!J52)</f>
        <v>116.13965810760448</v>
      </c>
      <c r="Y53" s="14">
        <f>+Y52*(1+'SImple Return'!K52)</f>
        <v>128.04856726566291</v>
      </c>
      <c r="Z53" s="14">
        <f>+Z52*(1+'SImple Return'!L52)</f>
        <v>288.571706841977</v>
      </c>
      <c r="AA53" s="14">
        <f>+AA52*(1+'SImple Return'!M52)</f>
        <v>142.90166204986153</v>
      </c>
      <c r="AB53" s="14">
        <f>+AB52*(1+'SImple Return'!N52)</f>
        <v>121.76191640185769</v>
      </c>
    </row>
    <row r="54" spans="1:28">
      <c r="A54" s="8">
        <v>37988</v>
      </c>
      <c r="B54" s="10">
        <v>1038.06</v>
      </c>
      <c r="C54" s="10">
        <v>233.02</v>
      </c>
      <c r="D54" s="10">
        <v>113.05</v>
      </c>
      <c r="E54" s="14">
        <v>1208.2</v>
      </c>
      <c r="F54" s="14">
        <v>1254.0899999999999</v>
      </c>
      <c r="G54" s="14">
        <v>1559.85</v>
      </c>
      <c r="H54" s="14">
        <v>1077.8599999999999</v>
      </c>
      <c r="I54" s="14">
        <v>1180.1099999999999</v>
      </c>
      <c r="J54" s="14">
        <v>1181.0899999999999</v>
      </c>
      <c r="K54" s="14">
        <v>1358.75</v>
      </c>
      <c r="L54" s="14">
        <v>2982.81</v>
      </c>
      <c r="M54" s="14">
        <v>1497.3</v>
      </c>
      <c r="N54" s="14">
        <v>1259.6099999999999</v>
      </c>
      <c r="P54" s="14">
        <f>+P53*(1+'SImple Return'!B53)</f>
        <v>127.53989998894228</v>
      </c>
      <c r="Q54" s="14">
        <f>+Q53*(1+'SImple Return'!C53)</f>
        <v>108.67456393993098</v>
      </c>
      <c r="R54" s="14">
        <f>+R53*(1+'SImple Return'!D53)</f>
        <v>130.42224273188737</v>
      </c>
      <c r="S54" s="14">
        <f>+S53*(1+'SImple Return'!E53)</f>
        <v>120.56079429227158</v>
      </c>
      <c r="T54" s="14">
        <f>+T53*(1+'SImple Return'!F53)</f>
        <v>123.11898684468879</v>
      </c>
      <c r="U54" s="14">
        <f>+U53*(1+'SImple Return'!G53)</f>
        <v>152.8455523546358</v>
      </c>
      <c r="V54" s="14">
        <f>+V53*(1+'SImple Return'!H53)</f>
        <v>107.39615196835493</v>
      </c>
      <c r="W54" s="14">
        <f>+W53*(1+'SImple Return'!I53)</f>
        <v>117.66858441933979</v>
      </c>
      <c r="X54" s="14">
        <f>+X53*(1+'SImple Return'!J53)</f>
        <v>118.97633750037777</v>
      </c>
      <c r="Y54" s="14">
        <f>+Y53*(1+'SImple Return'!K53)</f>
        <v>131.98154443904804</v>
      </c>
      <c r="Z54" s="14">
        <f>+Z53*(1+'SImple Return'!L53)</f>
        <v>290.50986121256381</v>
      </c>
      <c r="AA54" s="14">
        <f>+AA53*(1+'SImple Return'!M53)</f>
        <v>148.13019390581721</v>
      </c>
      <c r="AB54" s="14">
        <f>+AB53*(1+'SImple Return'!N53)</f>
        <v>123.15912979711557</v>
      </c>
    </row>
    <row r="55" spans="1:28">
      <c r="A55" s="8">
        <v>37995</v>
      </c>
      <c r="B55" s="10">
        <v>1056.78</v>
      </c>
      <c r="C55" s="10">
        <v>234.04</v>
      </c>
      <c r="D55" s="10">
        <v>117.25</v>
      </c>
      <c r="E55" s="14">
        <v>1218.78</v>
      </c>
      <c r="F55" s="14">
        <v>1269.1300000000001</v>
      </c>
      <c r="G55" s="14">
        <v>1543.5</v>
      </c>
      <c r="H55" s="14">
        <v>1081.32</v>
      </c>
      <c r="I55" s="14">
        <v>1203.26</v>
      </c>
      <c r="J55" s="14">
        <v>1174.97</v>
      </c>
      <c r="K55" s="14">
        <v>1394.09</v>
      </c>
      <c r="L55" s="14">
        <v>3499.03</v>
      </c>
      <c r="M55" s="14">
        <v>1492.75</v>
      </c>
      <c r="N55" s="14">
        <v>1254.75</v>
      </c>
      <c r="P55" s="14">
        <f>+P54*(1+'SImple Return'!B54)</f>
        <v>129.8399085894018</v>
      </c>
      <c r="Q55" s="14">
        <f>+Q54*(1+'SImple Return'!C54)</f>
        <v>109.15026583341105</v>
      </c>
      <c r="R55" s="14">
        <f>+R54*(1+'SImple Return'!D54)</f>
        <v>135.26765113059525</v>
      </c>
      <c r="S55" s="14">
        <f>+S54*(1+'SImple Return'!E54)</f>
        <v>121.61652447238434</v>
      </c>
      <c r="T55" s="14">
        <f>+T54*(1+'SImple Return'!F54)</f>
        <v>124.59552326722955</v>
      </c>
      <c r="U55" s="14">
        <f>+U54*(1+'SImple Return'!G54)</f>
        <v>151.24345934505266</v>
      </c>
      <c r="V55" s="14">
        <f>+V54*(1+'SImple Return'!H54)</f>
        <v>107.74090053107227</v>
      </c>
      <c r="W55" s="14">
        <f>+W54*(1+'SImple Return'!I54)</f>
        <v>119.97686731611019</v>
      </c>
      <c r="X55" s="14">
        <f>+X54*(1+'SImple Return'!J54)</f>
        <v>118.35984325734607</v>
      </c>
      <c r="Y55" s="14">
        <f>+Y54*(1+'SImple Return'!K54)</f>
        <v>135.41427877610485</v>
      </c>
      <c r="Z55" s="14">
        <f>+Z54*(1+'SImple Return'!L54)</f>
        <v>340.78694911127332</v>
      </c>
      <c r="AA55" s="14">
        <f>+AA54*(1+'SImple Return'!M54)</f>
        <v>147.68005540166209</v>
      </c>
      <c r="AB55" s="14">
        <f>+AB54*(1+'SImple Return'!N54)</f>
        <v>122.68394035688092</v>
      </c>
    </row>
    <row r="56" spans="1:28">
      <c r="A56" s="8">
        <v>38002</v>
      </c>
      <c r="B56" s="10">
        <v>1059.6300000000001</v>
      </c>
      <c r="C56" s="10">
        <v>236.1</v>
      </c>
      <c r="D56" s="10">
        <v>117.08</v>
      </c>
      <c r="E56" s="14">
        <v>1201.6300000000001</v>
      </c>
      <c r="F56" s="14">
        <v>1263.3599999999999</v>
      </c>
      <c r="G56" s="14">
        <v>1536.92</v>
      </c>
      <c r="H56" s="14">
        <v>1074.3699999999999</v>
      </c>
      <c r="I56" s="14">
        <v>1228.21</v>
      </c>
      <c r="J56" s="14">
        <v>1134.6600000000001</v>
      </c>
      <c r="K56" s="14">
        <v>1385.79</v>
      </c>
      <c r="L56" s="14">
        <v>3357.09</v>
      </c>
      <c r="M56" s="14">
        <v>1473.8</v>
      </c>
      <c r="N56" s="14">
        <v>1248.3699999999999</v>
      </c>
      <c r="P56" s="14">
        <f>+P55*(1+'SImple Return'!B55)</f>
        <v>130.1900701551769</v>
      </c>
      <c r="Q56" s="14">
        <f>+Q55*(1+'SImple Return'!C55)</f>
        <v>110.11099710847868</v>
      </c>
      <c r="R56" s="14">
        <f>+R55*(1+'SImple Return'!D55)</f>
        <v>135.07152745731423</v>
      </c>
      <c r="S56" s="14">
        <f>+S55*(1+'SImple Return'!E55)</f>
        <v>119.9052038118046</v>
      </c>
      <c r="T56" s="14">
        <f>+T55*(1+'SImple Return'!F55)</f>
        <v>124.02905949342235</v>
      </c>
      <c r="U56" s="14">
        <f>+U55*(1+'SImple Return'!G55)</f>
        <v>150.59870264761798</v>
      </c>
      <c r="V56" s="14">
        <f>+V55*(1+'SImple Return'!H55)</f>
        <v>107.04841425624987</v>
      </c>
      <c r="W56" s="14">
        <f>+W55*(1+'SImple Return'!I55)</f>
        <v>122.46462793271586</v>
      </c>
      <c r="X56" s="14">
        <f>+X55*(1+'SImple Return'!J55)</f>
        <v>114.29924147031863</v>
      </c>
      <c r="Y56" s="14">
        <f>+Y55*(1+'SImple Return'!K55)</f>
        <v>134.60806216610001</v>
      </c>
      <c r="Z56" s="14">
        <f>+Z55*(1+'SImple Return'!L55)</f>
        <v>326.96274653031395</v>
      </c>
      <c r="AA56" s="14">
        <f>+AA55*(1+'SImple Return'!M55)</f>
        <v>145.8053027305105</v>
      </c>
      <c r="AB56" s="14">
        <f>+AB55*(1+'SImple Return'!N55)</f>
        <v>122.06013199706669</v>
      </c>
    </row>
    <row r="57" spans="1:28">
      <c r="A57" s="8">
        <v>38009</v>
      </c>
      <c r="B57" s="10">
        <v>1071.69</v>
      </c>
      <c r="C57" s="10">
        <v>235.66</v>
      </c>
      <c r="D57" s="10">
        <v>120.71</v>
      </c>
      <c r="E57" s="14">
        <v>1223.22</v>
      </c>
      <c r="F57" s="14">
        <v>1265.24</v>
      </c>
      <c r="G57" s="14">
        <v>1564.14</v>
      </c>
      <c r="H57" s="14">
        <v>1080.55</v>
      </c>
      <c r="I57" s="14">
        <v>1249.73</v>
      </c>
      <c r="J57" s="14">
        <v>1158.43</v>
      </c>
      <c r="K57" s="14">
        <v>1390.32</v>
      </c>
      <c r="L57" s="14">
        <v>3244.94</v>
      </c>
      <c r="M57" s="14">
        <v>1512.39</v>
      </c>
      <c r="N57" s="14">
        <v>1259.08</v>
      </c>
      <c r="P57" s="14">
        <f>+P56*(1+'SImple Return'!B56)</f>
        <v>131.67180646508831</v>
      </c>
      <c r="Q57" s="14">
        <f>+Q56*(1+'SImple Return'!C56)</f>
        <v>109.90579237011472</v>
      </c>
      <c r="R57" s="14">
        <f>+R56*(1+'SImple Return'!D56)</f>
        <v>139.25934471619746</v>
      </c>
      <c r="S57" s="14">
        <f>+S56*(1+'SImple Return'!E56)</f>
        <v>122.05957192037116</v>
      </c>
      <c r="T57" s="14">
        <f>+T56*(1+'SImple Return'!F56)</f>
        <v>124.21362654623996</v>
      </c>
      <c r="U57" s="14">
        <f>+U56*(1+'SImple Return'!G56)</f>
        <v>153.26591804338887</v>
      </c>
      <c r="V57" s="14">
        <f>+V56*(1+'SImple Return'!H56)</f>
        <v>107.66417903012072</v>
      </c>
      <c r="W57" s="14">
        <f>+W56*(1+'SImple Return'!I56)</f>
        <v>124.61038378319097</v>
      </c>
      <c r="X57" s="14">
        <f>+X56*(1+'SImple Return'!J56)</f>
        <v>116.6936970515055</v>
      </c>
      <c r="Y57" s="14">
        <f>+Y56*(1+'SImple Return'!K56)</f>
        <v>135.04808159300626</v>
      </c>
      <c r="Z57" s="14">
        <f>+Z56*(1+'SImple Return'!L56)</f>
        <v>316.03993182371545</v>
      </c>
      <c r="AA57" s="14">
        <f>+AA56*(1+'SImple Return'!M56)</f>
        <v>149.6230708349822</v>
      </c>
      <c r="AB57" s="14">
        <f>+AB56*(1+'SImple Return'!N56)</f>
        <v>123.1073087264727</v>
      </c>
    </row>
    <row r="58" spans="1:28">
      <c r="A58" s="8">
        <v>38016</v>
      </c>
      <c r="B58" s="10">
        <v>1052.29</v>
      </c>
      <c r="C58" s="10">
        <v>233.89</v>
      </c>
      <c r="D58" s="10">
        <v>118.66</v>
      </c>
      <c r="E58" s="14">
        <v>1211.55</v>
      </c>
      <c r="F58" s="14">
        <v>1249.49</v>
      </c>
      <c r="G58" s="14">
        <v>1509.33</v>
      </c>
      <c r="H58" s="14">
        <v>1080.76</v>
      </c>
      <c r="I58" s="14">
        <v>1239.21</v>
      </c>
      <c r="J58" s="14">
        <v>1145.18</v>
      </c>
      <c r="K58" s="14">
        <v>1403.47</v>
      </c>
      <c r="L58" s="14">
        <v>3175.02</v>
      </c>
      <c r="M58" s="14">
        <v>1464.93</v>
      </c>
      <c r="N58" s="14">
        <v>1235.17</v>
      </c>
      <c r="P58" s="14">
        <f>+P57*(1+'SImple Return'!B57)</f>
        <v>129.28825054367192</v>
      </c>
      <c r="Q58" s="14">
        <f>+Q57*(1+'SImple Return'!C57)</f>
        <v>109.08030967260515</v>
      </c>
      <c r="R58" s="14">
        <f>+R57*(1+'SImple Return'!D57)</f>
        <v>136.89432395016146</v>
      </c>
      <c r="S58" s="14">
        <f>+S57*(1+'SImple Return'!E57)</f>
        <v>120.89507558748686</v>
      </c>
      <c r="T58" s="14">
        <f>+T57*(1+'SImple Return'!F57)</f>
        <v>122.6673866090713</v>
      </c>
      <c r="U58" s="14">
        <f>+U57*(1+'SImple Return'!G57)</f>
        <v>147.89523193603392</v>
      </c>
      <c r="V58" s="14">
        <f>+V57*(1+'SImple Return'!H57)</f>
        <v>107.68510307583479</v>
      </c>
      <c r="W58" s="14">
        <f>+W57*(1+'SImple Return'!I57)</f>
        <v>123.56143622059813</v>
      </c>
      <c r="X58" s="14">
        <f>+X57*(1+'SImple Return'!J57)</f>
        <v>115.35896686847117</v>
      </c>
      <c r="Y58" s="14">
        <f>+Y57*(1+'SImple Return'!K57)</f>
        <v>136.32540067994168</v>
      </c>
      <c r="Z58" s="14">
        <f>+Z57*(1+'SImple Return'!L57)</f>
        <v>309.2300949598245</v>
      </c>
      <c r="AA58" s="14">
        <f>+AA57*(1+'SImple Return'!M57)</f>
        <v>144.92777997625643</v>
      </c>
      <c r="AB58" s="14">
        <f>+AB57*(1+'SImple Return'!N57)</f>
        <v>120.76949401124416</v>
      </c>
    </row>
    <row r="59" spans="1:28">
      <c r="A59" s="8">
        <v>38023</v>
      </c>
      <c r="B59" s="10">
        <v>1064.2</v>
      </c>
      <c r="C59" s="10">
        <v>235.1</v>
      </c>
      <c r="D59" s="10">
        <v>120.99</v>
      </c>
      <c r="E59" s="14">
        <v>1249.17</v>
      </c>
      <c r="F59" s="14">
        <v>1245.8399999999999</v>
      </c>
      <c r="G59" s="14">
        <v>1507.29</v>
      </c>
      <c r="H59" s="14">
        <v>1092.57</v>
      </c>
      <c r="I59" s="14">
        <v>1275.3699999999999</v>
      </c>
      <c r="J59" s="14">
        <v>1161.1600000000001</v>
      </c>
      <c r="K59" s="14">
        <v>1428.61</v>
      </c>
      <c r="L59" s="14">
        <v>3291.99</v>
      </c>
      <c r="M59" s="14">
        <v>1484.25</v>
      </c>
      <c r="N59" s="14">
        <v>1245.27</v>
      </c>
      <c r="P59" s="14">
        <f>+P58*(1+'SImple Return'!B58)</f>
        <v>130.75155729748994</v>
      </c>
      <c r="Q59" s="14">
        <f>+Q58*(1+'SImple Return'!C58)</f>
        <v>109.64462270310604</v>
      </c>
      <c r="R59" s="14">
        <f>+R58*(1+'SImple Return'!D58)</f>
        <v>139.582371942778</v>
      </c>
      <c r="S59" s="14">
        <f>+S58*(1+'SImple Return'!E58)</f>
        <v>124.6490046400239</v>
      </c>
      <c r="T59" s="14">
        <f>+T58*(1+'SImple Return'!F58)</f>
        <v>122.30905163950521</v>
      </c>
      <c r="U59" s="14">
        <f>+U58*(1+'SImple Return'!G58)</f>
        <v>147.69533776236116</v>
      </c>
      <c r="V59" s="14">
        <f>+V58*(1+'SImple Return'!H58)</f>
        <v>108.86183155146823</v>
      </c>
      <c r="W59" s="14">
        <f>+W58*(1+'SImple Return'!I58)</f>
        <v>127.16694419240017</v>
      </c>
      <c r="X59" s="14">
        <f>+X58*(1+'SImple Return'!J58)</f>
        <v>116.9687018363873</v>
      </c>
      <c r="Y59" s="14">
        <f>+Y58*(1+'SImple Return'!K58)</f>
        <v>138.76736279747445</v>
      </c>
      <c r="Z59" s="14">
        <f>+Z58*(1+'SImple Return'!L58)</f>
        <v>320.62235208181136</v>
      </c>
      <c r="AA59" s="14">
        <f>+AA58*(1+'SImple Return'!M58)</f>
        <v>146.83913731697663</v>
      </c>
      <c r="AB59" s="14">
        <f>+AB58*(1+'SImple Return'!N58)</f>
        <v>121.75702762160837</v>
      </c>
    </row>
    <row r="60" spans="1:28">
      <c r="A60" s="8">
        <v>38030</v>
      </c>
      <c r="B60" s="10">
        <v>1074.32</v>
      </c>
      <c r="C60" s="10">
        <v>237.11</v>
      </c>
      <c r="D60" s="10">
        <v>122.68</v>
      </c>
      <c r="E60" s="14">
        <v>1279.74</v>
      </c>
      <c r="F60" s="14">
        <v>1255.7</v>
      </c>
      <c r="G60" s="14">
        <v>1529.16</v>
      </c>
      <c r="H60" s="14">
        <v>1112.6199999999999</v>
      </c>
      <c r="I60" s="14">
        <v>1303.1199999999999</v>
      </c>
      <c r="J60" s="14">
        <v>1201.5999999999999</v>
      </c>
      <c r="K60" s="14">
        <v>1429.82</v>
      </c>
      <c r="L60" s="14">
        <v>3282.03</v>
      </c>
      <c r="M60" s="14">
        <v>1506.58</v>
      </c>
      <c r="N60" s="14">
        <v>1260.1099999999999</v>
      </c>
      <c r="P60" s="14">
        <f>+P59*(1+'SImple Return'!B59)</f>
        <v>131.99493801525972</v>
      </c>
      <c r="Q60" s="14">
        <f>+Q59*(1+'SImple Return'!C59)</f>
        <v>110.58203525790503</v>
      </c>
      <c r="R60" s="14">
        <f>+R59*(1+'SImple Return'!D59)</f>
        <v>141.53207198892477</v>
      </c>
      <c r="S60" s="14">
        <f>+S59*(1+'SImple Return'!E59)</f>
        <v>127.69944619068995</v>
      </c>
      <c r="T60" s="14">
        <f>+T59*(1+'SImple Return'!F59)</f>
        <v>123.27704692715494</v>
      </c>
      <c r="U60" s="14">
        <f>+U59*(1+'SImple Return'!G59)</f>
        <v>149.83832088894124</v>
      </c>
      <c r="V60" s="14">
        <f>+V59*(1+'SImple Return'!H59)</f>
        <v>110.85957972559615</v>
      </c>
      <c r="W60" s="14">
        <f>+W59*(1+'SImple Return'!I59)</f>
        <v>129.93389237319406</v>
      </c>
      <c r="X60" s="14">
        <f>+X59*(1+'SImple Return'!J59)</f>
        <v>121.04239908936147</v>
      </c>
      <c r="Y60" s="14">
        <f>+Y59*(1+'SImple Return'!K59)</f>
        <v>138.88489558037878</v>
      </c>
      <c r="Z60" s="14">
        <f>+Z59*(1+'SImple Return'!L59)</f>
        <v>319.6523009495981</v>
      </c>
      <c r="AA60" s="14">
        <f>+AA59*(1+'SImple Return'!M59)</f>
        <v>149.04827859121482</v>
      </c>
      <c r="AB60" s="14">
        <f>+AB59*(1+'SImple Return'!N59)</f>
        <v>123.20801759960885</v>
      </c>
    </row>
    <row r="61" spans="1:28">
      <c r="A61" s="8">
        <v>38037</v>
      </c>
      <c r="B61" s="10">
        <v>1070.73</v>
      </c>
      <c r="C61" s="10">
        <v>237.43</v>
      </c>
      <c r="D61" s="10">
        <v>121.91</v>
      </c>
      <c r="E61" s="14">
        <v>1285.28</v>
      </c>
      <c r="F61" s="14">
        <v>1247</v>
      </c>
      <c r="G61" s="14">
        <v>1518.91</v>
      </c>
      <c r="H61" s="14">
        <v>1123.02</v>
      </c>
      <c r="I61" s="14">
        <v>1286.94</v>
      </c>
      <c r="J61" s="14">
        <v>1215.42</v>
      </c>
      <c r="K61" s="14">
        <v>1442.65</v>
      </c>
      <c r="L61" s="14">
        <v>3152.05</v>
      </c>
      <c r="M61" s="14">
        <v>1504.71</v>
      </c>
      <c r="N61" s="14">
        <v>1251.25</v>
      </c>
      <c r="P61" s="14">
        <f>+P60*(1+'SImple Return'!B60)</f>
        <v>131.55385730609041</v>
      </c>
      <c r="Q61" s="14">
        <f>+Q60*(1+'SImple Return'!C60)</f>
        <v>110.73127506762427</v>
      </c>
      <c r="R61" s="14">
        <f>+R60*(1+'SImple Return'!D60)</f>
        <v>140.64374711582832</v>
      </c>
      <c r="S61" s="14">
        <f>+S60*(1+'SImple Return'!E60)</f>
        <v>128.25225764606091</v>
      </c>
      <c r="T61" s="14">
        <f>+T60*(1+'SImple Return'!F60)</f>
        <v>122.42293343805225</v>
      </c>
      <c r="U61" s="14">
        <f>+U60*(1+'SImple Return'!G60)</f>
        <v>148.83395065357564</v>
      </c>
      <c r="V61" s="14">
        <f>+V60*(1+'SImple Return'!H60)</f>
        <v>111.89581818000664</v>
      </c>
      <c r="W61" s="14">
        <f>+W60*(1+'SImple Return'!I60)</f>
        <v>128.3205870915636</v>
      </c>
      <c r="X61" s="14">
        <f>+X60*(1+'SImple Return'!J60)</f>
        <v>122.43454785385464</v>
      </c>
      <c r="Y61" s="14">
        <f>+Y60*(1+'SImple Return'!K60)</f>
        <v>140.13113161728992</v>
      </c>
      <c r="Z61" s="14">
        <f>+Z60*(1+'SImple Return'!L60)</f>
        <v>306.99293888483066</v>
      </c>
      <c r="AA61" s="14">
        <f>+AA60*(1+'SImple Return'!M60)</f>
        <v>148.86327661258406</v>
      </c>
      <c r="AB61" s="14">
        <f>+AB60*(1+'SImple Return'!N60)</f>
        <v>122.34172573942799</v>
      </c>
    </row>
    <row r="62" spans="1:28">
      <c r="A62" s="8">
        <v>38044</v>
      </c>
      <c r="B62" s="10">
        <v>1068.6500000000001</v>
      </c>
      <c r="C62" s="10">
        <v>235.72</v>
      </c>
      <c r="D62" s="10">
        <v>122.54</v>
      </c>
      <c r="E62" s="14">
        <v>1291.33</v>
      </c>
      <c r="F62" s="14">
        <v>1260.3699999999999</v>
      </c>
      <c r="G62" s="14">
        <v>1526.81</v>
      </c>
      <c r="H62" s="14">
        <v>1137.68</v>
      </c>
      <c r="I62" s="14">
        <v>1270.72</v>
      </c>
      <c r="J62" s="14">
        <v>1215.23</v>
      </c>
      <c r="K62" s="14">
        <v>1485.01</v>
      </c>
      <c r="L62" s="14">
        <v>3153.13</v>
      </c>
      <c r="M62" s="14">
        <v>1517.24</v>
      </c>
      <c r="N62" s="14">
        <v>1264.1199999999999</v>
      </c>
      <c r="P62" s="14">
        <f>+P61*(1+'SImple Return'!B61)</f>
        <v>131.29830079492825</v>
      </c>
      <c r="Q62" s="14">
        <f>+Q61*(1+'SImple Return'!C61)</f>
        <v>109.93377483443707</v>
      </c>
      <c r="R62" s="14">
        <f>+R61*(1+'SImple Return'!D61)</f>
        <v>141.37055837563452</v>
      </c>
      <c r="S62" s="14">
        <f>+S61*(1+'SImple Return'!E61)</f>
        <v>128.8559596866736</v>
      </c>
      <c r="T62" s="14">
        <f>+T61*(1+'SImple Return'!F61)</f>
        <v>123.73551934027097</v>
      </c>
      <c r="U62" s="14">
        <f>+U61*(1+'SImple Return'!G61)</f>
        <v>149.6080506398574</v>
      </c>
      <c r="V62" s="14">
        <f>+V61*(1+'SImple Return'!H61)</f>
        <v>113.35651584747374</v>
      </c>
      <c r="W62" s="14">
        <f>+W61*(1+'SImple Return'!I61)</f>
        <v>126.70329341615903</v>
      </c>
      <c r="X62" s="14">
        <f>+X61*(1+'SImple Return'!J61)</f>
        <v>122.41540832670169</v>
      </c>
      <c r="Y62" s="14">
        <f>+Y61*(1+'SImple Return'!K61)</f>
        <v>144.24575036425446</v>
      </c>
      <c r="Z62" s="14">
        <f>+Z61*(1+'SImple Return'!L61)</f>
        <v>307.09812515217908</v>
      </c>
      <c r="AA62" s="14">
        <f>+AA61*(1+'SImple Return'!M61)</f>
        <v>150.1028888009497</v>
      </c>
      <c r="AB62" s="14">
        <f>+AB61*(1+'SImple Return'!N61)</f>
        <v>123.60009777560495</v>
      </c>
    </row>
    <row r="63" spans="1:28">
      <c r="A63" s="8">
        <v>38051</v>
      </c>
      <c r="B63" s="10">
        <v>1082.1600000000001</v>
      </c>
      <c r="C63" s="10">
        <v>234.95</v>
      </c>
      <c r="D63" s="10">
        <v>125</v>
      </c>
      <c r="E63" s="14">
        <v>1302.69</v>
      </c>
      <c r="F63" s="14">
        <v>1299.05</v>
      </c>
      <c r="G63" s="14">
        <v>1522.77</v>
      </c>
      <c r="H63" s="14">
        <v>1150.77</v>
      </c>
      <c r="I63" s="14">
        <v>1300.46</v>
      </c>
      <c r="J63" s="14">
        <v>1218.1400000000001</v>
      </c>
      <c r="K63" s="14">
        <v>1505.98</v>
      </c>
      <c r="L63" s="14">
        <v>3428.08</v>
      </c>
      <c r="M63" s="14">
        <v>1524.5</v>
      </c>
      <c r="N63" s="14">
        <v>1292.42</v>
      </c>
      <c r="P63" s="14">
        <f>+P62*(1+'SImple Return'!B62)</f>
        <v>132.95818948040946</v>
      </c>
      <c r="Q63" s="14">
        <f>+Q62*(1+'SImple Return'!C62)</f>
        <v>109.57466654230014</v>
      </c>
      <c r="R63" s="14">
        <f>+R62*(1+'SImple Return'!D62)</f>
        <v>144.20858329487771</v>
      </c>
      <c r="S63" s="14">
        <f>+S62*(1+'SImple Return'!E62)</f>
        <v>129.98952252656784</v>
      </c>
      <c r="T63" s="14">
        <f>+T62*(1+'SImple Return'!F62)</f>
        <v>127.53288827802868</v>
      </c>
      <c r="U63" s="14">
        <f>+U62*(1+'SImple Return'!G62)</f>
        <v>149.21218178611329</v>
      </c>
      <c r="V63" s="14">
        <f>+V62*(1+'SImple Return'!H62)</f>
        <v>114.66078136365003</v>
      </c>
      <c r="W63" s="14">
        <f>+W62*(1+'SImple Return'!I62)</f>
        <v>129.66866418721526</v>
      </c>
      <c r="X63" s="14">
        <f>+X62*(1+'SImple Return'!J62)</f>
        <v>122.70854529520206</v>
      </c>
      <c r="Y63" s="14">
        <f>+Y62*(1+'SImple Return'!K62)</f>
        <v>146.2826614861583</v>
      </c>
      <c r="Z63" s="14">
        <f>+Z62*(1+'SImple Return'!L62)</f>
        <v>333.87679571463337</v>
      </c>
      <c r="AA63" s="14">
        <f>+AA62*(1+'SImple Return'!M62)</f>
        <v>150.8211317768104</v>
      </c>
      <c r="AB63" s="14">
        <f>+AB62*(1+'SImple Return'!N62)</f>
        <v>126.3671473967245</v>
      </c>
    </row>
    <row r="64" spans="1:28">
      <c r="A64" s="8">
        <v>38058</v>
      </c>
      <c r="B64" s="10">
        <v>1041.93</v>
      </c>
      <c r="C64" s="10">
        <v>237.55</v>
      </c>
      <c r="D64" s="10">
        <v>120.66</v>
      </c>
      <c r="E64" s="14">
        <v>1253.3499999999999</v>
      </c>
      <c r="F64" s="14">
        <v>1266.47</v>
      </c>
      <c r="G64" s="14">
        <v>1457.79</v>
      </c>
      <c r="H64" s="14">
        <v>1106.33</v>
      </c>
      <c r="I64" s="14">
        <v>1232.6099999999999</v>
      </c>
      <c r="J64" s="14">
        <v>1189.1400000000001</v>
      </c>
      <c r="K64" s="14">
        <v>1449.52</v>
      </c>
      <c r="L64" s="14">
        <v>3199.1</v>
      </c>
      <c r="M64" s="14">
        <v>1482.82</v>
      </c>
      <c r="N64" s="14">
        <v>1263.82</v>
      </c>
      <c r="P64" s="14">
        <f>+P63*(1+'SImple Return'!B63)</f>
        <v>128.01538253615271</v>
      </c>
      <c r="Q64" s="14">
        <f>+Q63*(1+'SImple Return'!C63)</f>
        <v>110.78723999626898</v>
      </c>
      <c r="R64" s="14">
        <f>+R63*(1+'SImple Return'!D63)</f>
        <v>139.20166128287954</v>
      </c>
      <c r="S64" s="14">
        <f>+S63*(1+'SImple Return'!E63)</f>
        <v>125.06610786808358</v>
      </c>
      <c r="T64" s="14">
        <f>+T63*(1+'SImple Return'!F63)</f>
        <v>124.33438052228551</v>
      </c>
      <c r="U64" s="14">
        <f>+U63*(1+'SImple Return'!G63)</f>
        <v>142.84496443059561</v>
      </c>
      <c r="V64" s="14">
        <f>+V63*(1+'SImple Return'!H63)</f>
        <v>110.23285473730365</v>
      </c>
      <c r="W64" s="14">
        <f>+W63*(1+'SImple Return'!I63)</f>
        <v>122.90335124786874</v>
      </c>
      <c r="X64" s="14">
        <f>+X63*(1+'SImple Return'!J63)</f>
        <v>119.78724904554203</v>
      </c>
      <c r="Y64" s="14">
        <f>+Y63*(1+'SImple Return'!K63)</f>
        <v>140.79844584749875</v>
      </c>
      <c r="Z64" s="14">
        <f>+Z63*(1+'SImple Return'!L63)</f>
        <v>311.57535914292657</v>
      </c>
      <c r="AA64" s="14">
        <f>+AA63*(1+'SImple Return'!M63)</f>
        <v>146.69766521567072</v>
      </c>
      <c r="AB64" s="14">
        <f>+AB63*(1+'SImple Return'!N63)</f>
        <v>123.57076509410899</v>
      </c>
    </row>
    <row r="65" spans="1:28">
      <c r="A65" s="8">
        <v>38065</v>
      </c>
      <c r="B65" s="10">
        <v>1043.96</v>
      </c>
      <c r="C65" s="10">
        <v>238.89</v>
      </c>
      <c r="D65" s="10">
        <v>123.91</v>
      </c>
      <c r="E65" s="14">
        <v>1276.31</v>
      </c>
      <c r="F65" s="14">
        <v>1273.5999999999999</v>
      </c>
      <c r="G65" s="14">
        <v>1497.76</v>
      </c>
      <c r="H65" s="14">
        <v>1135.5899999999999</v>
      </c>
      <c r="I65" s="14">
        <v>1232.3399999999999</v>
      </c>
      <c r="J65" s="14">
        <v>1209.69</v>
      </c>
      <c r="K65" s="14">
        <v>1492.55</v>
      </c>
      <c r="L65" s="14">
        <v>3243.09</v>
      </c>
      <c r="M65" s="14">
        <v>1501.51</v>
      </c>
      <c r="N65" s="14">
        <v>1270.43</v>
      </c>
      <c r="P65" s="14">
        <f>+P64*(1+'SImple Return'!B64)</f>
        <v>128.2647958619504</v>
      </c>
      <c r="Q65" s="14">
        <f>+Q64*(1+'SImple Return'!C64)</f>
        <v>111.41218169946829</v>
      </c>
      <c r="R65" s="14">
        <f>+R64*(1+'SImple Return'!D64)</f>
        <v>142.95108444854637</v>
      </c>
      <c r="S65" s="14">
        <f>+S64*(1+'SImple Return'!E64)</f>
        <v>127.35718205857401</v>
      </c>
      <c r="T65" s="14">
        <f>+T64*(1+'SImple Return'!F64)</f>
        <v>125.03436088749265</v>
      </c>
      <c r="U65" s="14">
        <f>+U64*(1+'SImple Return'!G64)</f>
        <v>146.76151841182124</v>
      </c>
      <c r="V65" s="14">
        <f>+V64*(1+'SImple Return'!H64)</f>
        <v>113.1482717734624</v>
      </c>
      <c r="W65" s="14">
        <f>+W64*(1+'SImple Return'!I64)</f>
        <v>122.87642958989345</v>
      </c>
      <c r="X65" s="14">
        <f>+X64*(1+'SImple Return'!J64)</f>
        <v>121.85734000866317</v>
      </c>
      <c r="Y65" s="14">
        <f>+Y64*(1+'SImple Return'!K64)</f>
        <v>144.97814473045165</v>
      </c>
      <c r="Z65" s="14">
        <f>+Z64*(1+'SImple Return'!L64)</f>
        <v>315.85975164353533</v>
      </c>
      <c r="AA65" s="14">
        <f>+AA64*(1+'SImple Return'!M64)</f>
        <v>148.54669568658488</v>
      </c>
      <c r="AB65" s="14">
        <f>+AB64*(1+'SImple Return'!N64)</f>
        <v>124.21706184307014</v>
      </c>
    </row>
    <row r="66" spans="1:28">
      <c r="A66" s="8">
        <v>38072</v>
      </c>
      <c r="B66" s="10">
        <v>1039.98</v>
      </c>
      <c r="C66" s="10">
        <v>238.78</v>
      </c>
      <c r="D66" s="10">
        <v>123.43</v>
      </c>
      <c r="E66" s="14">
        <v>1244.6199999999999</v>
      </c>
      <c r="F66" s="14">
        <v>1254.6600000000001</v>
      </c>
      <c r="G66" s="14">
        <v>1491.46</v>
      </c>
      <c r="H66" s="14">
        <v>1114.82</v>
      </c>
      <c r="I66" s="14">
        <v>1206.08</v>
      </c>
      <c r="J66" s="14">
        <v>1175.3599999999999</v>
      </c>
      <c r="K66" s="14">
        <v>1452.22</v>
      </c>
      <c r="L66" s="14">
        <v>3121.2</v>
      </c>
      <c r="M66" s="14">
        <v>1486.77</v>
      </c>
      <c r="N66" s="14">
        <v>1250.3399999999999</v>
      </c>
      <c r="P66" s="14">
        <f>+P65*(1+'SImple Return'!B65)</f>
        <v>127.77579830693817</v>
      </c>
      <c r="Q66" s="14">
        <f>+Q65*(1+'SImple Return'!C65)</f>
        <v>111.36088051487731</v>
      </c>
      <c r="R66" s="14">
        <f>+R65*(1+'SImple Return'!D65)</f>
        <v>142.39732348869404</v>
      </c>
      <c r="S66" s="14">
        <f>+S65*(1+'SImple Return'!E65)</f>
        <v>124.19498079129865</v>
      </c>
      <c r="T66" s="14">
        <f>+T65*(1+'SImple Return'!F65)</f>
        <v>123.17494600431969</v>
      </c>
      <c r="U66" s="14">
        <f>+U65*(1+'SImple Return'!G65)</f>
        <v>146.14419816959654</v>
      </c>
      <c r="V66" s="14">
        <f>+V65*(1+'SImple Return'!H65)</f>
        <v>111.07878401402914</v>
      </c>
      <c r="W66" s="14">
        <f>+W65*(1+'SImple Return'!I65)</f>
        <v>120.25804907718542</v>
      </c>
      <c r="X66" s="14">
        <f>+X65*(1+'SImple Return'!J65)</f>
        <v>118.39912965518631</v>
      </c>
      <c r="Y66" s="14">
        <f>+Y65*(1+'SImple Return'!K65)</f>
        <v>141.06070908207866</v>
      </c>
      <c r="Z66" s="14">
        <f>+Z65*(1+'SImple Return'!L65)</f>
        <v>303.98831263696115</v>
      </c>
      <c r="AA66" s="14">
        <f>+AA65*(1+'SImple Return'!M65)</f>
        <v>147.08844479620103</v>
      </c>
      <c r="AB66" s="14">
        <f>+AB65*(1+'SImple Return'!N65)</f>
        <v>122.25274993889022</v>
      </c>
    </row>
    <row r="67" spans="1:28">
      <c r="A67" s="8">
        <v>38079</v>
      </c>
      <c r="B67" s="10">
        <v>1073.33</v>
      </c>
      <c r="C67" s="10">
        <v>238.6</v>
      </c>
      <c r="D67" s="10">
        <v>126.48</v>
      </c>
      <c r="E67" s="14">
        <v>1287.29</v>
      </c>
      <c r="F67" s="14">
        <v>1284.74</v>
      </c>
      <c r="G67" s="14">
        <v>1517.46</v>
      </c>
      <c r="H67" s="14">
        <v>1139.8399999999999</v>
      </c>
      <c r="I67" s="14">
        <v>1247.3599999999999</v>
      </c>
      <c r="J67" s="14">
        <v>1228.19</v>
      </c>
      <c r="K67" s="14">
        <v>1488.27</v>
      </c>
      <c r="L67" s="14">
        <v>3327.11</v>
      </c>
      <c r="M67" s="14">
        <v>1517.92</v>
      </c>
      <c r="N67" s="14">
        <v>1279.8599999999999</v>
      </c>
      <c r="P67" s="14">
        <f>+P66*(1+'SImple Return'!B66)</f>
        <v>131.87330294504312</v>
      </c>
      <c r="Q67" s="14">
        <f>+Q66*(1+'SImple Return'!C66)</f>
        <v>111.27693312191023</v>
      </c>
      <c r="R67" s="14">
        <f>+R66*(1+'SImple Return'!D66)</f>
        <v>145.91601292108905</v>
      </c>
      <c r="S67" s="14">
        <f>+S66*(1+'SImple Return'!E66)</f>
        <v>128.45282642319009</v>
      </c>
      <c r="T67" s="14">
        <f>+T66*(1+'SImple Return'!F66)</f>
        <v>126.12801884940117</v>
      </c>
      <c r="U67" s="14">
        <f>+U66*(1+'SImple Return'!G66)</f>
        <v>148.69186901052387</v>
      </c>
      <c r="V67" s="14">
        <f>+V66*(1+'SImple Return'!H66)</f>
        <v>113.57173460338976</v>
      </c>
      <c r="W67" s="14">
        <f>+W66*(1+'SImple Return'!I66)</f>
        <v>124.37407145207447</v>
      </c>
      <c r="X67" s="14">
        <f>+X66*(1+'SImple Return'!J66)</f>
        <v>123.72092554723939</v>
      </c>
      <c r="Y67" s="14">
        <f>+Y66*(1+'SImple Return'!K66)</f>
        <v>144.56240893637687</v>
      </c>
      <c r="Z67" s="14">
        <f>+Z66*(1+'SImple Return'!L66)</f>
        <v>324.04285366447516</v>
      </c>
      <c r="AA67" s="14">
        <f>+AA66*(1+'SImple Return'!M66)</f>
        <v>150.17016224772459</v>
      </c>
      <c r="AB67" s="14">
        <f>+AB66*(1+'SImple Return'!N66)</f>
        <v>125.13908579809333</v>
      </c>
    </row>
    <row r="68" spans="1:28">
      <c r="A68" s="8">
        <v>38086</v>
      </c>
      <c r="B68" s="10">
        <v>1071.68</v>
      </c>
      <c r="C68" s="10">
        <v>235.29</v>
      </c>
      <c r="D68" s="10">
        <v>123.49</v>
      </c>
      <c r="E68" s="14">
        <v>1296.04</v>
      </c>
      <c r="F68" s="14">
        <v>1281.6500000000001</v>
      </c>
      <c r="G68" s="14">
        <v>1510.8</v>
      </c>
      <c r="H68" s="14">
        <v>1127.44</v>
      </c>
      <c r="I68" s="14">
        <v>1253.55</v>
      </c>
      <c r="J68" s="14">
        <v>1231.24</v>
      </c>
      <c r="K68" s="14">
        <v>1496.89</v>
      </c>
      <c r="L68" s="14">
        <v>3538.11</v>
      </c>
      <c r="M68" s="14">
        <v>1543.13</v>
      </c>
      <c r="N68" s="14">
        <v>1272.33</v>
      </c>
      <c r="P68" s="14">
        <f>+P67*(1+'SImple Return'!B67)</f>
        <v>131.67057782801547</v>
      </c>
      <c r="Q68" s="14">
        <f>+Q67*(1+'SImple Return'!C67)</f>
        <v>109.73323384012681</v>
      </c>
      <c r="R68" s="14">
        <f>+R67*(1+'SImple Return'!D67)</f>
        <v>142.46654360867558</v>
      </c>
      <c r="S68" s="14">
        <f>+S67*(1+'SImple Return'!E67)</f>
        <v>129.32594920920019</v>
      </c>
      <c r="T68" s="14">
        <f>+T67*(1+'SImple Return'!F67)</f>
        <v>125.82466129982333</v>
      </c>
      <c r="U68" s="14">
        <f>+U67*(1+'SImple Return'!G67)</f>
        <v>148.03927332588631</v>
      </c>
      <c r="V68" s="14">
        <f>+V67*(1+'SImple Return'!H67)</f>
        <v>112.33621952313111</v>
      </c>
      <c r="W68" s="14">
        <f>+W67*(1+'SImple Return'!I67)</f>
        <v>124.99127538861913</v>
      </c>
      <c r="X68" s="14">
        <f>+X67*(1+'SImple Return'!J67)</f>
        <v>124.02816532522087</v>
      </c>
      <c r="Y68" s="14">
        <f>+Y67*(1+'SImple Return'!K67)</f>
        <v>145.39970859640601</v>
      </c>
      <c r="Z68" s="14">
        <f>+Z67*(1+'SImple Return'!L67)</f>
        <v>344.59313367421458</v>
      </c>
      <c r="AA68" s="14">
        <f>+AA67*(1+'SImple Return'!M67)</f>
        <v>152.66422635536213</v>
      </c>
      <c r="AB68" s="14">
        <f>+AB67*(1+'SImple Return'!N67)</f>
        <v>124.40283549254457</v>
      </c>
    </row>
    <row r="69" spans="1:28">
      <c r="A69" s="8">
        <v>38093</v>
      </c>
      <c r="B69" s="10">
        <v>1062.5899999999999</v>
      </c>
      <c r="C69" s="10">
        <v>232.48</v>
      </c>
      <c r="D69" s="10">
        <v>118.97</v>
      </c>
      <c r="E69" s="14">
        <v>1285.42</v>
      </c>
      <c r="F69" s="14">
        <v>1248.8399999999999</v>
      </c>
      <c r="G69" s="14">
        <v>1471.6</v>
      </c>
      <c r="H69" s="14">
        <v>1110.08</v>
      </c>
      <c r="I69" s="14">
        <v>1223.4100000000001</v>
      </c>
      <c r="J69" s="14">
        <v>1222.99</v>
      </c>
      <c r="K69" s="14">
        <v>1465.6</v>
      </c>
      <c r="L69" s="14">
        <v>3673.53</v>
      </c>
      <c r="M69" s="14">
        <v>1516.88</v>
      </c>
      <c r="N69" s="14">
        <v>1235.25</v>
      </c>
      <c r="P69" s="14">
        <f>+P68*(1+'SImple Return'!B68)</f>
        <v>130.55374672875385</v>
      </c>
      <c r="Q69" s="14">
        <f>+Q68*(1+'SImple Return'!C68)</f>
        <v>108.42272176102972</v>
      </c>
      <c r="R69" s="14">
        <f>+R68*(1+'SImple Return'!D68)</f>
        <v>137.2519612367328</v>
      </c>
      <c r="S69" s="14">
        <f>+S68*(1+'SImple Return'!E68)</f>
        <v>128.26622761063712</v>
      </c>
      <c r="T69" s="14">
        <f>+T68*(1+'SImple Return'!F68)</f>
        <v>122.60357353229925</v>
      </c>
      <c r="U69" s="14">
        <f>+U68*(1+'SImple Return'!G68)</f>
        <v>144.19816959648816</v>
      </c>
      <c r="V69" s="14">
        <f>+V68*(1+'SImple Return'!H68)</f>
        <v>110.60649841076896</v>
      </c>
      <c r="W69" s="14">
        <f>+W68*(1+'SImple Return'!I68)</f>
        <v>121.98602067982175</v>
      </c>
      <c r="X69" s="14">
        <f>+X68*(1+'SImple Return'!J68)</f>
        <v>123.19710690936931</v>
      </c>
      <c r="Y69" s="14">
        <f>+Y68*(1+'SImple Return'!K68)</f>
        <v>142.360369111219</v>
      </c>
      <c r="Z69" s="14">
        <f>+Z68*(1+'SImple Return'!L68)</f>
        <v>357.78232286340381</v>
      </c>
      <c r="AA69" s="14">
        <f>+AA68*(1+'SImple Return'!M68)</f>
        <v>150.06727344677489</v>
      </c>
      <c r="AB69" s="14">
        <f>+AB68*(1+'SImple Return'!N68)</f>
        <v>120.77731605964308</v>
      </c>
    </row>
    <row r="70" spans="1:28">
      <c r="A70" s="8">
        <v>38100</v>
      </c>
      <c r="B70" s="10">
        <v>1063.69</v>
      </c>
      <c r="C70" s="10">
        <v>232.3</v>
      </c>
      <c r="D70" s="10">
        <v>116.21</v>
      </c>
      <c r="E70" s="14">
        <v>1262.8499999999999</v>
      </c>
      <c r="F70" s="14">
        <v>1254.05</v>
      </c>
      <c r="G70" s="14">
        <v>1458</v>
      </c>
      <c r="H70" s="14">
        <v>1096.5999999999999</v>
      </c>
      <c r="I70" s="14">
        <v>1239.6199999999999</v>
      </c>
      <c r="J70" s="14">
        <v>1217.17</v>
      </c>
      <c r="K70" s="14">
        <v>1381.85</v>
      </c>
      <c r="L70" s="14">
        <v>3844.12</v>
      </c>
      <c r="M70" s="14">
        <v>1479.7</v>
      </c>
      <c r="N70" s="14">
        <v>1225.9100000000001</v>
      </c>
      <c r="P70" s="14">
        <f>+P69*(1+'SImple Return'!B69)</f>
        <v>130.68889680677231</v>
      </c>
      <c r="Q70" s="14">
        <f>+Q69*(1+'SImple Return'!C69)</f>
        <v>108.33877436806266</v>
      </c>
      <c r="R70" s="14">
        <f>+R69*(1+'SImple Return'!D69)</f>
        <v>134.06783571758189</v>
      </c>
      <c r="S70" s="14">
        <f>+S69*(1+'SImple Return'!E69)</f>
        <v>126.01406975003739</v>
      </c>
      <c r="T70" s="14">
        <f>+T69*(1+'SImple Return'!F69)</f>
        <v>123.1150598861182</v>
      </c>
      <c r="U70" s="14">
        <f>+U69*(1+'SImple Return'!G69)</f>
        <v>142.8655417720031</v>
      </c>
      <c r="V70" s="14">
        <f>+V69*(1+'SImple Return'!H69)</f>
        <v>109.26337395255229</v>
      </c>
      <c r="W70" s="14">
        <f>+W69*(1+'SImple Return'!I69)</f>
        <v>123.60231725678278</v>
      </c>
      <c r="X70" s="14">
        <f>+X69*(1+'SImple Return'!J69)</f>
        <v>122.61083297236858</v>
      </c>
      <c r="Y70" s="14">
        <f>+Y69*(1+'SImple Return'!K69)</f>
        <v>134.22535211267601</v>
      </c>
      <c r="Z70" s="14">
        <f>+Z69*(1+'SImple Return'!L69)</f>
        <v>374.39688336985614</v>
      </c>
      <c r="AA70" s="14">
        <f>+AA69*(1+'SImple Return'!M69)</f>
        <v>146.38899881282157</v>
      </c>
      <c r="AB70" s="14">
        <f>+AB69*(1+'SImple Return'!N69)</f>
        <v>119.86409190906866</v>
      </c>
    </row>
    <row r="71" spans="1:28">
      <c r="A71" s="8">
        <v>38107</v>
      </c>
      <c r="B71" s="10">
        <v>1035.6600000000001</v>
      </c>
      <c r="C71" s="10">
        <v>231</v>
      </c>
      <c r="D71" s="10">
        <v>114.05</v>
      </c>
      <c r="E71" s="14">
        <v>1259.0899999999999</v>
      </c>
      <c r="F71" s="14">
        <v>1220.92</v>
      </c>
      <c r="G71" s="14">
        <v>1396.73</v>
      </c>
      <c r="H71" s="14">
        <v>1084.18</v>
      </c>
      <c r="I71" s="14">
        <v>1218.5</v>
      </c>
      <c r="J71" s="14">
        <v>1205.77</v>
      </c>
      <c r="K71" s="14">
        <v>1368.14</v>
      </c>
      <c r="L71" s="14">
        <v>3535.92</v>
      </c>
      <c r="M71" s="14">
        <v>1461.55</v>
      </c>
      <c r="N71" s="14">
        <v>1208.03</v>
      </c>
      <c r="P71" s="14">
        <f>+P70*(1+'SImple Return'!B70)</f>
        <v>127.24502709144751</v>
      </c>
      <c r="Q71" s="14">
        <f>+Q70*(1+'SImple Return'!C70)</f>
        <v>107.73248764107822</v>
      </c>
      <c r="R71" s="14">
        <f>+R70*(1+'SImple Return'!D70)</f>
        <v>131.5759113982464</v>
      </c>
      <c r="S71" s="14">
        <f>+S70*(1+'SImple Return'!E70)</f>
        <v>125.63887641570621</v>
      </c>
      <c r="T71" s="14">
        <f>+T70*(1+'SImple Return'!F70)</f>
        <v>119.86255645002946</v>
      </c>
      <c r="U71" s="14">
        <f>+U70*(1+'SImple Return'!G70)</f>
        <v>136.86185744801776</v>
      </c>
      <c r="V71" s="14">
        <f>+V70*(1+'SImple Return'!H70)</f>
        <v>108.02586610603517</v>
      </c>
      <c r="W71" s="14">
        <f>+W70*(1+'SImple Return'!I70)</f>
        <v>121.49644534404885</v>
      </c>
      <c r="X71" s="14">
        <f>+X70*(1+'SImple Return'!J70)</f>
        <v>121.46246134319188</v>
      </c>
      <c r="Y71" s="14">
        <f>+Y70*(1+'SImple Return'!K70)</f>
        <v>132.89363768819811</v>
      </c>
      <c r="Z71" s="14">
        <f>+Z70*(1+'SImple Return'!L70)</f>
        <v>344.37983929875804</v>
      </c>
      <c r="AA71" s="14">
        <f>+AA70*(1+'SImple Return'!M70)</f>
        <v>144.59339137316979</v>
      </c>
      <c r="AB71" s="14">
        <f>+AB70*(1+'SImple Return'!N70)</f>
        <v>118.11586409190903</v>
      </c>
    </row>
    <row r="72" spans="1:28">
      <c r="A72" s="8">
        <v>38114</v>
      </c>
      <c r="B72" s="10">
        <v>1025.1300000000001</v>
      </c>
      <c r="C72" s="10">
        <v>231.45</v>
      </c>
      <c r="D72" s="10">
        <v>111.59</v>
      </c>
      <c r="E72" s="14">
        <v>1274.72</v>
      </c>
      <c r="F72" s="14">
        <v>1211.8399999999999</v>
      </c>
      <c r="G72" s="14">
        <v>1432.66</v>
      </c>
      <c r="H72" s="14">
        <v>1067.9000000000001</v>
      </c>
      <c r="I72" s="14">
        <v>1220.7</v>
      </c>
      <c r="J72" s="14">
        <v>1249.6500000000001</v>
      </c>
      <c r="K72" s="14">
        <v>1395.74</v>
      </c>
      <c r="L72" s="14">
        <v>3659.62</v>
      </c>
      <c r="M72" s="14">
        <v>1486.84</v>
      </c>
      <c r="N72" s="14">
        <v>1204.8699999999999</v>
      </c>
      <c r="P72" s="14">
        <f>+P71*(1+'SImple Return'!B71)</f>
        <v>125.95127225368904</v>
      </c>
      <c r="Q72" s="14">
        <f>+Q71*(1+'SImple Return'!C71)</f>
        <v>107.9423561234959</v>
      </c>
      <c r="R72" s="14">
        <f>+R71*(1+'SImple Return'!D71)</f>
        <v>128.73788647900321</v>
      </c>
      <c r="S72" s="14">
        <f>+S71*(1+'SImple Return'!E71)</f>
        <v>127.19852317517335</v>
      </c>
      <c r="T72" s="14">
        <f>+T71*(1+'SImple Return'!F71)</f>
        <v>118.97113685450618</v>
      </c>
      <c r="U72" s="14">
        <f>+U71*(1+'SImple Return'!G71)</f>
        <v>140.38254257549929</v>
      </c>
      <c r="V72" s="14">
        <f>+V71*(1+'SImple Return'!H71)</f>
        <v>106.40375437163105</v>
      </c>
      <c r="W72" s="14">
        <f>+W71*(1+'SImple Return'!I71)</f>
        <v>121.71580700162532</v>
      </c>
      <c r="X72" s="14">
        <f>+X71*(1+'SImple Return'!J71)</f>
        <v>125.8826847719878</v>
      </c>
      <c r="Y72" s="14">
        <f>+Y71*(1+'SImple Return'!K71)</f>
        <v>135.57455075279256</v>
      </c>
      <c r="Z72" s="14">
        <f>+Z71*(1+'SImple Return'!L71)</f>
        <v>356.42756269783274</v>
      </c>
      <c r="AA72" s="14">
        <f>+AA71*(1+'SImple Return'!M71)</f>
        <v>147.09537000395727</v>
      </c>
      <c r="AB72" s="14">
        <f>+AB71*(1+'SImple Return'!N71)</f>
        <v>117.8068931801515</v>
      </c>
    </row>
    <row r="73" spans="1:28">
      <c r="A73" s="8">
        <v>38121</v>
      </c>
      <c r="B73" s="10">
        <v>1006.94</v>
      </c>
      <c r="C73" s="10">
        <v>227.05</v>
      </c>
      <c r="D73" s="10">
        <v>108.28</v>
      </c>
      <c r="E73" s="14">
        <v>1252.93</v>
      </c>
      <c r="F73" s="14">
        <v>1188.56</v>
      </c>
      <c r="G73" s="14">
        <v>1367.87</v>
      </c>
      <c r="H73" s="14">
        <v>1044.26</v>
      </c>
      <c r="I73" s="14">
        <v>1208.49</v>
      </c>
      <c r="J73" s="14">
        <v>1226.8599999999999</v>
      </c>
      <c r="K73" s="14">
        <v>1353.85</v>
      </c>
      <c r="L73" s="14">
        <v>3526.26</v>
      </c>
      <c r="M73" s="14">
        <v>1440.44</v>
      </c>
      <c r="N73" s="14">
        <v>1188.5999999999999</v>
      </c>
      <c r="P73" s="14">
        <f>+P72*(1+'SImple Return'!B72)</f>
        <v>123.71638141809295</v>
      </c>
      <c r="Q73" s="14">
        <f>+Q72*(1+'SImple Return'!C72)</f>
        <v>105.89030873985632</v>
      </c>
      <c r="R73" s="14">
        <f>+R72*(1+'SImple Return'!D72)</f>
        <v>124.91924319335484</v>
      </c>
      <c r="S73" s="14">
        <f>+S72*(1+'SImple Return'!E72)</f>
        <v>125.0241979743551</v>
      </c>
      <c r="T73" s="14">
        <f>+T72*(1+'SImple Return'!F72)</f>
        <v>116.6856469664245</v>
      </c>
      <c r="U73" s="14">
        <f>+U72*(1+'SImple Return'!G72)</f>
        <v>134.03394281458839</v>
      </c>
      <c r="V73" s="14">
        <f>+V72*(1+'SImple Return'!H72)</f>
        <v>104.04830465410565</v>
      </c>
      <c r="W73" s="14">
        <f>+W72*(1+'SImple Return'!I72)</f>
        <v>120.49834980207601</v>
      </c>
      <c r="X73" s="14">
        <f>+X72*(1+'SImple Return'!J72)</f>
        <v>123.58694885716875</v>
      </c>
      <c r="Y73" s="14">
        <f>+Y72*(1+'SImple Return'!K72)</f>
        <v>131.50558523555117</v>
      </c>
      <c r="Z73" s="14">
        <f>+Z72*(1+'SImple Return'!L72)</f>
        <v>343.4390065741415</v>
      </c>
      <c r="AA73" s="14">
        <f>+AA72*(1+'SImple Return'!M72)</f>
        <v>142.50494657696876</v>
      </c>
      <c r="AB73" s="14">
        <f>+AB72*(1+'SImple Return'!N72)</f>
        <v>116.21608408702025</v>
      </c>
    </row>
    <row r="74" spans="1:28">
      <c r="A74" s="8">
        <v>38128</v>
      </c>
      <c r="B74" s="10">
        <v>1016.32</v>
      </c>
      <c r="C74" s="10">
        <v>228.68</v>
      </c>
      <c r="D74" s="10">
        <v>112.04</v>
      </c>
      <c r="E74" s="14">
        <v>1272.49</v>
      </c>
      <c r="F74" s="14">
        <v>1184.5999999999999</v>
      </c>
      <c r="G74" s="14">
        <v>1421.13</v>
      </c>
      <c r="H74" s="14">
        <v>1048.5999999999999</v>
      </c>
      <c r="I74" s="14">
        <v>1245.6500000000001</v>
      </c>
      <c r="J74" s="14">
        <v>1239.72</v>
      </c>
      <c r="K74" s="14">
        <v>1374.73</v>
      </c>
      <c r="L74" s="14">
        <v>3595.73</v>
      </c>
      <c r="M74" s="14">
        <v>1473.84</v>
      </c>
      <c r="N74" s="14">
        <v>1185.46</v>
      </c>
      <c r="P74" s="14">
        <f>+P73*(1+'SImple Return'!B73)</f>
        <v>124.8688429924685</v>
      </c>
      <c r="Q74" s="14">
        <f>+Q73*(1+'SImple Return'!C73)</f>
        <v>106.65049902061371</v>
      </c>
      <c r="R74" s="14">
        <f>+R73*(1+'SImple Return'!D73)</f>
        <v>129.25703737886477</v>
      </c>
      <c r="S74" s="14">
        <f>+S73*(1+'SImple Return'!E73)</f>
        <v>126.97600159656736</v>
      </c>
      <c r="T74" s="14">
        <f>+T73*(1+'SImple Return'!F73)</f>
        <v>116.29687806793638</v>
      </c>
      <c r="U74" s="14">
        <f>+U73*(1+'SImple Return'!G73)</f>
        <v>139.25274854488805</v>
      </c>
      <c r="V74" s="14">
        <f>+V73*(1+'SImple Return'!H73)</f>
        <v>104.48073493219617</v>
      </c>
      <c r="W74" s="14">
        <f>+W73*(1+'SImple Return'!I73)</f>
        <v>124.20356761823101</v>
      </c>
      <c r="X74" s="14">
        <f>+X73*(1+'SImple Return'!J73)</f>
        <v>124.88239264236282</v>
      </c>
      <c r="Y74" s="14">
        <f>+Y73*(1+'SImple Return'!K73)</f>
        <v>133.53375424963571</v>
      </c>
      <c r="Z74" s="14">
        <f>+Z73*(1+'SImple Return'!L73)</f>
        <v>350.20501582663718</v>
      </c>
      <c r="AA74" s="14">
        <f>+AA73*(1+'SImple Return'!M73)</f>
        <v>145.80925999208549</v>
      </c>
      <c r="AB74" s="14">
        <f>+AB73*(1+'SImple Return'!N73)</f>
        <v>115.90906868736248</v>
      </c>
    </row>
    <row r="75" spans="1:28">
      <c r="A75" s="8">
        <v>38135</v>
      </c>
      <c r="B75" s="10">
        <v>1041.8499999999999</v>
      </c>
      <c r="C75" s="10">
        <v>231.74</v>
      </c>
      <c r="D75" s="10">
        <v>117.98</v>
      </c>
      <c r="E75" s="14">
        <v>1308.3</v>
      </c>
      <c r="F75" s="14">
        <v>1220.83</v>
      </c>
      <c r="G75" s="14">
        <v>1472.27</v>
      </c>
      <c r="H75" s="14">
        <v>1089.9100000000001</v>
      </c>
      <c r="I75" s="14">
        <v>1291.9000000000001</v>
      </c>
      <c r="J75" s="14">
        <v>1275.4100000000001</v>
      </c>
      <c r="K75" s="14">
        <v>1396.31</v>
      </c>
      <c r="L75" s="14">
        <v>3799.16</v>
      </c>
      <c r="M75" s="14">
        <v>1517.58</v>
      </c>
      <c r="N75" s="14">
        <v>1204.8499999999999</v>
      </c>
      <c r="P75" s="14">
        <f>+P74*(1+'SImple Return'!B74)</f>
        <v>128.00555343956952</v>
      </c>
      <c r="Q75" s="14">
        <f>+Q74*(1+'SImple Return'!C74)</f>
        <v>108.07760470105397</v>
      </c>
      <c r="R75" s="14">
        <f>+R74*(1+'SImple Return'!D74)</f>
        <v>136.10982925703735</v>
      </c>
      <c r="S75" s="14">
        <f>+S74*(1+'SImple Return'!E74)</f>
        <v>130.54931896422687</v>
      </c>
      <c r="T75" s="14">
        <f>+T74*(1+'SImple Return'!F74)</f>
        <v>119.85372079324564</v>
      </c>
      <c r="U75" s="14">
        <f>+U74*(1+'SImple Return'!G74)</f>
        <v>144.26382111431207</v>
      </c>
      <c r="V75" s="14">
        <f>+V74*(1+'SImple Return'!H74)</f>
        <v>108.59679363909017</v>
      </c>
      <c r="W75" s="14">
        <f>+W74*(1+'SImple Return'!I74)</f>
        <v>128.81514791955416</v>
      </c>
      <c r="X75" s="14">
        <f>+X74*(1+'SImple Return'!J74)</f>
        <v>128.47760171651339</v>
      </c>
      <c r="Y75" s="14">
        <f>+Y74*(1+'SImple Return'!K74)</f>
        <v>135.62991743564834</v>
      </c>
      <c r="Z75" s="14">
        <f>+Z74*(1+'SImple Return'!L74)</f>
        <v>370.0180180180177</v>
      </c>
      <c r="AA75" s="14">
        <f>+AA74*(1+'SImple Return'!M74)</f>
        <v>150.13652552433717</v>
      </c>
      <c r="AB75" s="14">
        <f>+AB74*(1+'SImple Return'!N74)</f>
        <v>117.80493766805179</v>
      </c>
    </row>
    <row r="76" spans="1:28">
      <c r="A76" s="8">
        <v>38142</v>
      </c>
      <c r="B76" s="10">
        <v>1043.43</v>
      </c>
      <c r="C76" s="10">
        <v>230.49</v>
      </c>
      <c r="D76" s="10">
        <v>116.37</v>
      </c>
      <c r="E76" s="14">
        <v>1319.73</v>
      </c>
      <c r="F76" s="14">
        <v>1218.74</v>
      </c>
      <c r="G76" s="14">
        <v>1444.46</v>
      </c>
      <c r="H76" s="14">
        <v>1083.29</v>
      </c>
      <c r="I76" s="14">
        <v>1303.51</v>
      </c>
      <c r="J76" s="14">
        <v>1294.47</v>
      </c>
      <c r="K76" s="14">
        <v>1407.22</v>
      </c>
      <c r="L76" s="14">
        <v>3807.79</v>
      </c>
      <c r="M76" s="14">
        <v>1515.56</v>
      </c>
      <c r="N76" s="14">
        <v>1207.22</v>
      </c>
      <c r="P76" s="14">
        <f>+P75*(1+'SImple Return'!B75)</f>
        <v>128.19967809708697</v>
      </c>
      <c r="Q76" s="14">
        <f>+Q75*(1+'SImple Return'!C75)</f>
        <v>107.49463669433818</v>
      </c>
      <c r="R76" s="14">
        <f>+R75*(1+'SImple Return'!D75)</f>
        <v>134.25242270419932</v>
      </c>
      <c r="S76" s="14">
        <f>+S75*(1+'SImple Return'!E75)</f>
        <v>131.6898667864092</v>
      </c>
      <c r="T76" s="14">
        <f>+T75*(1+'SImple Return'!F75)</f>
        <v>119.64853720793246</v>
      </c>
      <c r="U76" s="14">
        <f>+U75*(1+'SImple Return'!G75)</f>
        <v>141.53879318792016</v>
      </c>
      <c r="V76" s="14">
        <f>+V75*(1+'SImple Return'!H75)</f>
        <v>107.93718800753271</v>
      </c>
      <c r="W76" s="14">
        <f>+W75*(1+'SImple Return'!I75)</f>
        <v>129.9727792124917</v>
      </c>
      <c r="X76" s="14">
        <f>+X75*(1+'SImple Return'!J75)</f>
        <v>130.39759849301407</v>
      </c>
      <c r="Y76" s="14">
        <f>+Y75*(1+'SImple Return'!K75)</f>
        <v>136.68965517241375</v>
      </c>
      <c r="Z76" s="14">
        <f>+Z75*(1+'SImple Return'!L75)</f>
        <v>370.85853420988519</v>
      </c>
      <c r="AA76" s="14">
        <f>+AA75*(1+'SImple Return'!M75)</f>
        <v>149.93668381480018</v>
      </c>
      <c r="AB76" s="14">
        <f>+AB75*(1+'SImple Return'!N75)</f>
        <v>118.03666585186993</v>
      </c>
    </row>
    <row r="77" spans="1:28">
      <c r="A77" s="8">
        <v>38149</v>
      </c>
      <c r="B77" s="10">
        <v>1052.18</v>
      </c>
      <c r="C77" s="10">
        <v>229.8</v>
      </c>
      <c r="D77" s="10">
        <v>117.71</v>
      </c>
      <c r="E77" s="14">
        <v>1296.6500000000001</v>
      </c>
      <c r="F77" s="14">
        <v>1225.48</v>
      </c>
      <c r="G77" s="14">
        <v>1488.48</v>
      </c>
      <c r="H77" s="14">
        <v>1078.56</v>
      </c>
      <c r="I77" s="14">
        <v>1280.1600000000001</v>
      </c>
      <c r="J77" s="14">
        <v>1283.1300000000001</v>
      </c>
      <c r="K77" s="14">
        <v>1400.28</v>
      </c>
      <c r="L77" s="14">
        <v>3915.28</v>
      </c>
      <c r="M77" s="14">
        <v>1513.51</v>
      </c>
      <c r="N77" s="14">
        <v>1203.29</v>
      </c>
      <c r="P77" s="14">
        <f>+P76*(1+'SImple Return'!B76)</f>
        <v>129.27473553587012</v>
      </c>
      <c r="Q77" s="14">
        <f>+Q76*(1+'SImple Return'!C76)</f>
        <v>107.17283835463107</v>
      </c>
      <c r="R77" s="14">
        <f>+R76*(1+'SImple Return'!D76)</f>
        <v>135.7983387171204</v>
      </c>
      <c r="S77" s="14">
        <f>+S76*(1+'SImple Return'!E76)</f>
        <v>129.38681834056777</v>
      </c>
      <c r="T77" s="14">
        <f>+T76*(1+'SImple Return'!F76)</f>
        <v>120.31022972707639</v>
      </c>
      <c r="U77" s="14">
        <f>+U76*(1+'SImple Return'!G76)</f>
        <v>145.85219589629025</v>
      </c>
      <c r="V77" s="14">
        <f>+V76*(1+'SImple Return'!H76)</f>
        <v>107.46589878740178</v>
      </c>
      <c r="W77" s="14">
        <f>+W76*(1+'SImple Return'!I76)</f>
        <v>127.64455434685073</v>
      </c>
      <c r="X77" s="14">
        <f>+X76*(1+'SImple Return'!J76)</f>
        <v>129.25527092504359</v>
      </c>
      <c r="Y77" s="14">
        <f>+Y76*(1+'SImple Return'!K76)</f>
        <v>136.01554152501208</v>
      </c>
      <c r="Z77" s="14">
        <f>+Z76*(1+'SImple Return'!L76)</f>
        <v>381.32748965181361</v>
      </c>
      <c r="AA77" s="14">
        <f>+AA76*(1+'SImple Return'!M76)</f>
        <v>149.73387415908195</v>
      </c>
      <c r="AB77" s="14">
        <f>+AB76*(1+'SImple Return'!N76)</f>
        <v>117.65240772427275</v>
      </c>
    </row>
    <row r="78" spans="1:28">
      <c r="A78" s="8">
        <v>38156</v>
      </c>
      <c r="B78" s="10">
        <v>1056.67</v>
      </c>
      <c r="C78" s="10">
        <v>230.45</v>
      </c>
      <c r="D78" s="10">
        <v>117.52</v>
      </c>
      <c r="E78" s="14">
        <v>1318.36</v>
      </c>
      <c r="F78" s="14">
        <v>1244.6199999999999</v>
      </c>
      <c r="G78" s="14">
        <v>1474.1</v>
      </c>
      <c r="H78" s="14">
        <v>1099.3800000000001</v>
      </c>
      <c r="I78" s="14">
        <v>1314.67</v>
      </c>
      <c r="J78" s="14">
        <v>1283.18</v>
      </c>
      <c r="K78" s="14">
        <v>1385.77</v>
      </c>
      <c r="L78" s="14">
        <v>3995.23</v>
      </c>
      <c r="M78" s="14">
        <v>1520.59</v>
      </c>
      <c r="N78" s="14">
        <v>1224.5999999999999</v>
      </c>
      <c r="P78" s="14">
        <f>+P77*(1+'SImple Return'!B77)</f>
        <v>129.82639358159997</v>
      </c>
      <c r="Q78" s="14">
        <f>+Q77*(1+'SImple Return'!C77)</f>
        <v>107.47598171812328</v>
      </c>
      <c r="R78" s="14">
        <f>+R77*(1+'SImple Return'!D77)</f>
        <v>135.5791416705122</v>
      </c>
      <c r="S78" s="14">
        <f>+S77*(1+'SImple Return'!E77)</f>
        <v>131.55316070448532</v>
      </c>
      <c r="T78" s="14">
        <f>+T77*(1+'SImple Return'!F77)</f>
        <v>122.18927940310229</v>
      </c>
      <c r="U78" s="14">
        <f>+U77*(1+'SImple Return'!G77)</f>
        <v>144.44313794657734</v>
      </c>
      <c r="V78" s="14">
        <f>+V77*(1+'SImple Return'!H77)</f>
        <v>109.54036846248127</v>
      </c>
      <c r="W78" s="14">
        <f>+W77*(1+'SImple Return'!I77)</f>
        <v>131.08554107547045</v>
      </c>
      <c r="X78" s="14">
        <f>+X77*(1+'SImple Return'!J77)</f>
        <v>129.26030764271542</v>
      </c>
      <c r="Y78" s="14">
        <f>+Y77*(1+'SImple Return'!K77)</f>
        <v>134.60611947547349</v>
      </c>
      <c r="Z78" s="14">
        <f>+Z77*(1+'SImple Return'!L77)</f>
        <v>389.11419527635707</v>
      </c>
      <c r="AA78" s="14">
        <f>+AA77*(1+'SImple Return'!M77)</f>
        <v>150.43430945785519</v>
      </c>
      <c r="AB78" s="14">
        <f>+AB77*(1+'SImple Return'!N77)</f>
        <v>119.73600586653623</v>
      </c>
    </row>
    <row r="79" spans="1:28">
      <c r="A79" s="8">
        <v>38163</v>
      </c>
      <c r="B79" s="10">
        <v>1059.6500000000001</v>
      </c>
      <c r="C79" s="10">
        <v>232.12</v>
      </c>
      <c r="D79" s="10">
        <v>118.37</v>
      </c>
      <c r="E79" s="14">
        <v>1310.87</v>
      </c>
      <c r="F79" s="14">
        <v>1258.5999999999999</v>
      </c>
      <c r="G79" s="14">
        <v>1499.11</v>
      </c>
      <c r="H79" s="14">
        <v>1103.2</v>
      </c>
      <c r="I79" s="14">
        <v>1300.04</v>
      </c>
      <c r="J79" s="14">
        <v>1275.51</v>
      </c>
      <c r="K79" s="14">
        <v>1342.82</v>
      </c>
      <c r="L79" s="14">
        <v>4120.93</v>
      </c>
      <c r="M79" s="14">
        <v>1549.56</v>
      </c>
      <c r="N79" s="14">
        <v>1227.43</v>
      </c>
      <c r="P79" s="14">
        <f>+P78*(1+'SImple Return'!B78)</f>
        <v>130.19252742932269</v>
      </c>
      <c r="Q79" s="14">
        <f>+Q78*(1+'SImple Return'!C78)</f>
        <v>108.25482697509558</v>
      </c>
      <c r="R79" s="14">
        <f>+R78*(1+'SImple Return'!D78)</f>
        <v>136.55976003691737</v>
      </c>
      <c r="S79" s="14">
        <f>+S78*(1+'SImple Return'!E78)</f>
        <v>130.8057675996607</v>
      </c>
      <c r="T79" s="14">
        <f>+T78*(1+'SImple Return'!F78)</f>
        <v>123.56175142352248</v>
      </c>
      <c r="U79" s="14">
        <f>+U78*(1+'SImple Return'!G78)</f>
        <v>146.89380132086939</v>
      </c>
      <c r="V79" s="14">
        <f>+V78*(1+'SImple Return'!H78)</f>
        <v>109.92098681785126</v>
      </c>
      <c r="W79" s="14">
        <f>+W78*(1+'SImple Return'!I78)</f>
        <v>129.62678605258702</v>
      </c>
      <c r="X79" s="14">
        <f>+X78*(1+'SImple Return'!J78)</f>
        <v>128.48767515185705</v>
      </c>
      <c r="Y79" s="14">
        <f>+Y78*(1+'SImple Return'!K78)</f>
        <v>130.43419135502668</v>
      </c>
      <c r="Z79" s="14">
        <f>+Z78*(1+'SImple Return'!L78)</f>
        <v>401.35670805941038</v>
      </c>
      <c r="AA79" s="14">
        <f>+AA78*(1+'SImple Return'!M78)</f>
        <v>153.3003561535418</v>
      </c>
      <c r="AB79" s="14">
        <f>+AB78*(1+'SImple Return'!N78)</f>
        <v>120.0127108286482</v>
      </c>
    </row>
    <row r="80" spans="1:28">
      <c r="A80" s="8">
        <v>38170</v>
      </c>
      <c r="B80" s="10">
        <v>1054.75</v>
      </c>
      <c r="C80" s="10">
        <v>232.2</v>
      </c>
      <c r="D80" s="10">
        <v>120.32</v>
      </c>
      <c r="E80" s="14">
        <v>1313.88</v>
      </c>
      <c r="F80" s="14">
        <v>1253.8499999999999</v>
      </c>
      <c r="G80" s="14">
        <v>1572.81</v>
      </c>
      <c r="H80" s="14">
        <v>1092.8</v>
      </c>
      <c r="I80" s="14">
        <v>1338.03</v>
      </c>
      <c r="J80" s="14">
        <v>1252.71</v>
      </c>
      <c r="K80" s="14">
        <v>1335.81</v>
      </c>
      <c r="L80" s="14">
        <v>3971.07</v>
      </c>
      <c r="M80" s="14">
        <v>1600.22</v>
      </c>
      <c r="N80" s="14">
        <v>1236.3</v>
      </c>
      <c r="P80" s="14">
        <f>+P79*(1+'SImple Return'!B79)</f>
        <v>129.59049526360411</v>
      </c>
      <c r="Q80" s="14">
        <f>+Q79*(1+'SImple Return'!C79)</f>
        <v>108.29213692752539</v>
      </c>
      <c r="R80" s="14">
        <f>+R79*(1+'SImple Return'!D79)</f>
        <v>138.80941393631747</v>
      </c>
      <c r="S80" s="14">
        <f>+S79*(1+'SImple Return'!E79)</f>
        <v>131.10612183804818</v>
      </c>
      <c r="T80" s="14">
        <f>+T79*(1+'SImple Return'!F79)</f>
        <v>123.09542509326526</v>
      </c>
      <c r="U80" s="14">
        <f>+U79*(1+'SImple Return'!G79)</f>
        <v>154.11546828149807</v>
      </c>
      <c r="V80" s="14">
        <f>+V79*(1+'SImple Return'!H79)</f>
        <v>108.88474836344076</v>
      </c>
      <c r="W80" s="14">
        <f>+W79*(1+'SImple Return'!I79)</f>
        <v>133.41476303955494</v>
      </c>
      <c r="X80" s="14">
        <f>+X79*(1+'SImple Return'!J79)</f>
        <v>126.19093189350366</v>
      </c>
      <c r="Y80" s="14">
        <f>+Y79*(1+'SImple Return'!K79)</f>
        <v>129.75327829043223</v>
      </c>
      <c r="Z80" s="14">
        <f>+Z79*(1+'SImple Return'!L79)</f>
        <v>386.76113951789591</v>
      </c>
      <c r="AA80" s="14">
        <f>+AA79*(1+'SImple Return'!M79)</f>
        <v>158.3122279382668</v>
      </c>
      <c r="AB80" s="14">
        <f>+AB79*(1+'SImple Return'!N79)</f>
        <v>120.87998044487892</v>
      </c>
    </row>
    <row r="81" spans="1:28">
      <c r="A81" s="8">
        <v>38177</v>
      </c>
      <c r="B81" s="10">
        <v>1047.73</v>
      </c>
      <c r="C81" s="10">
        <v>234.51</v>
      </c>
      <c r="D81" s="10">
        <v>121.12</v>
      </c>
      <c r="E81" s="14">
        <v>1335.79</v>
      </c>
      <c r="F81" s="14">
        <v>1257.1099999999999</v>
      </c>
      <c r="G81" s="14">
        <v>1618.21</v>
      </c>
      <c r="H81" s="14">
        <v>1103.07</v>
      </c>
      <c r="I81" s="14">
        <v>1349.83</v>
      </c>
      <c r="J81" s="14">
        <v>1281.47</v>
      </c>
      <c r="K81" s="14">
        <v>1330.33</v>
      </c>
      <c r="L81" s="14">
        <v>3991.45</v>
      </c>
      <c r="M81" s="14">
        <v>1635.6</v>
      </c>
      <c r="N81" s="14">
        <v>1244.72</v>
      </c>
      <c r="P81" s="14">
        <f>+P80*(1+'SImple Return'!B80)</f>
        <v>128.72799203843181</v>
      </c>
      <c r="Q81" s="14">
        <f>+Q80*(1+'SImple Return'!C80)</f>
        <v>109.36946180393618</v>
      </c>
      <c r="R81" s="14">
        <f>+R80*(1+'SImple Return'!D80)</f>
        <v>139.73234886940472</v>
      </c>
      <c r="S81" s="14">
        <f>+S80*(1+'SImple Return'!E80)</f>
        <v>133.29242129421741</v>
      </c>
      <c r="T81" s="14">
        <f>+T80*(1+'SImple Return'!F80)</f>
        <v>123.41547221676811</v>
      </c>
      <c r="U81" s="14">
        <f>+U80*(1+'SImple Return'!G80)</f>
        <v>158.56409351911736</v>
      </c>
      <c r="V81" s="14">
        <f>+V80*(1+'SImple Return'!H80)</f>
        <v>109.90803383717112</v>
      </c>
      <c r="W81" s="14">
        <f>+W80*(1+'SImple Return'!I80)</f>
        <v>134.59133920291953</v>
      </c>
      <c r="X81" s="14">
        <f>+X80*(1+'SImple Return'!J80)</f>
        <v>129.0880518983389</v>
      </c>
      <c r="Y81" s="14">
        <f>+Y80*(1+'SImple Return'!K80)</f>
        <v>129.22098105876637</v>
      </c>
      <c r="Z81" s="14">
        <f>+Z80*(1+'SImple Return'!L80)</f>
        <v>388.74604334063753</v>
      </c>
      <c r="AA81" s="14">
        <f>+AA80*(1+'SImple Return'!M80)</f>
        <v>161.81242580134554</v>
      </c>
      <c r="AB81" s="14">
        <f>+AB80*(1+'SImple Return'!N80)</f>
        <v>121.70325103886573</v>
      </c>
    </row>
    <row r="82" spans="1:28">
      <c r="A82" s="8">
        <v>38184</v>
      </c>
      <c r="B82" s="10">
        <v>1039.2</v>
      </c>
      <c r="C82" s="10">
        <v>234.1</v>
      </c>
      <c r="D82" s="10">
        <v>122.39</v>
      </c>
      <c r="E82" s="14">
        <v>1350.23</v>
      </c>
      <c r="F82" s="14">
        <v>1256.51</v>
      </c>
      <c r="G82" s="14">
        <v>1619.8</v>
      </c>
      <c r="H82" s="14">
        <v>1117.45</v>
      </c>
      <c r="I82" s="14">
        <v>1372.37</v>
      </c>
      <c r="J82" s="14">
        <v>1293.68</v>
      </c>
      <c r="K82" s="14">
        <v>1354.72</v>
      </c>
      <c r="L82" s="14">
        <v>3922.13</v>
      </c>
      <c r="M82" s="14">
        <v>1637.16</v>
      </c>
      <c r="N82" s="14">
        <v>1240.95</v>
      </c>
      <c r="P82" s="14">
        <f>+P81*(1+'SImple Return'!B81)</f>
        <v>127.67996461525235</v>
      </c>
      <c r="Q82" s="14">
        <f>+Q81*(1+'SImple Return'!C81)</f>
        <v>109.1782482977334</v>
      </c>
      <c r="R82" s="14">
        <f>+R81*(1+'SImple Return'!D81)</f>
        <v>141.19750807568067</v>
      </c>
      <c r="S82" s="14">
        <f>+S81*(1+'SImple Return'!E81)</f>
        <v>134.73332335478719</v>
      </c>
      <c r="T82" s="14">
        <f>+T81*(1+'SImple Return'!F81)</f>
        <v>123.35656783820932</v>
      </c>
      <c r="U82" s="14">
        <f>+U81*(1+'SImple Return'!G81)</f>
        <v>158.71989338977409</v>
      </c>
      <c r="V82" s="14">
        <f>+V81*(1+'SImple Return'!H81)</f>
        <v>111.34083277701947</v>
      </c>
      <c r="W82" s="14">
        <f>+W81*(1+'SImple Return'!I81)</f>
        <v>136.83879909463462</v>
      </c>
      <c r="X82" s="14">
        <f>+X81*(1+'SImple Return'!J81)</f>
        <v>130.3180183537992</v>
      </c>
      <c r="Y82" s="14">
        <f>+Y81*(1+'SImple Return'!K81)</f>
        <v>131.59009227780476</v>
      </c>
      <c r="Z82" s="14">
        <f>+Z81*(1+'SImple Return'!L81)</f>
        <v>381.99464329194018</v>
      </c>
      <c r="AA82" s="14">
        <f>+AA81*(1+'SImple Return'!M81)</f>
        <v>161.96675900277017</v>
      </c>
      <c r="AB82" s="14">
        <f>+AB81*(1+'SImple Return'!N81)</f>
        <v>121.33463700806642</v>
      </c>
    </row>
    <row r="83" spans="1:28">
      <c r="A83" s="8">
        <v>38191</v>
      </c>
      <c r="B83" s="10">
        <v>1016.78</v>
      </c>
      <c r="C83" s="10">
        <v>234.23</v>
      </c>
      <c r="D83" s="10">
        <v>119.35</v>
      </c>
      <c r="E83" s="14">
        <v>1310.2</v>
      </c>
      <c r="F83" s="14">
        <v>1237</v>
      </c>
      <c r="G83" s="14">
        <v>1587.14</v>
      </c>
      <c r="H83" s="14">
        <v>1098.42</v>
      </c>
      <c r="I83" s="14">
        <v>1333.04</v>
      </c>
      <c r="J83" s="14">
        <v>1248.78</v>
      </c>
      <c r="K83" s="14">
        <v>1311.19</v>
      </c>
      <c r="L83" s="14">
        <v>3736.59</v>
      </c>
      <c r="M83" s="14">
        <v>1590.6</v>
      </c>
      <c r="N83" s="14">
        <v>1226.0999999999999</v>
      </c>
      <c r="P83" s="14">
        <f>+P82*(1+'SImple Return'!B82)</f>
        <v>124.92536029782165</v>
      </c>
      <c r="Q83" s="14">
        <f>+Q82*(1+'SImple Return'!C82)</f>
        <v>109.23887697043185</v>
      </c>
      <c r="R83" s="14">
        <f>+R82*(1+'SImple Return'!D82)</f>
        <v>137.69035532994923</v>
      </c>
      <c r="S83" s="14">
        <f>+S82*(1+'SImple Return'!E82)</f>
        <v>130.73891134061765</v>
      </c>
      <c r="T83" s="14">
        <f>+T82*(1+'SImple Return'!F82)</f>
        <v>121.44119379540547</v>
      </c>
      <c r="U83" s="14">
        <f>+U82*(1+'SImple Return'!G82)</f>
        <v>155.51962686420922</v>
      </c>
      <c r="V83" s="14">
        <f>+V82*(1+'SImple Return'!H82)</f>
        <v>109.44471568207413</v>
      </c>
      <c r="W83" s="14">
        <f>+W82*(1+'SImple Return'!I82)</f>
        <v>132.91721091623378</v>
      </c>
      <c r="X83" s="14">
        <f>+X82*(1+'SImple Return'!J82)</f>
        <v>125.79504588449798</v>
      </c>
      <c r="Y83" s="14">
        <f>+Y82*(1+'SImple Return'!K82)</f>
        <v>127.36182612918893</v>
      </c>
      <c r="Z83" s="14">
        <f>+Z82*(1+'SImple Return'!L82)</f>
        <v>363.92403214024802</v>
      </c>
      <c r="AA83" s="14">
        <f>+AA82*(1+'SImple Return'!M82)</f>
        <v>157.36050652948168</v>
      </c>
      <c r="AB83" s="14">
        <f>+AB82*(1+'SImple Return'!N82)</f>
        <v>119.88266927401605</v>
      </c>
    </row>
    <row r="84" spans="1:28">
      <c r="A84" s="8">
        <v>38198</v>
      </c>
      <c r="B84" s="10">
        <v>1026.99</v>
      </c>
      <c r="C84" s="10">
        <v>232.45</v>
      </c>
      <c r="D84" s="10">
        <v>119.31</v>
      </c>
      <c r="E84" s="14">
        <v>1308.83</v>
      </c>
      <c r="F84" s="14">
        <v>1247.8499999999999</v>
      </c>
      <c r="G84" s="14">
        <v>1594.14</v>
      </c>
      <c r="H84" s="14">
        <v>1107.23</v>
      </c>
      <c r="I84" s="14">
        <v>1347.36</v>
      </c>
      <c r="J84" s="14">
        <v>1241.3699999999999</v>
      </c>
      <c r="K84" s="14">
        <v>1320.44</v>
      </c>
      <c r="L84" s="14">
        <v>3848.65</v>
      </c>
      <c r="M84" s="14">
        <v>1587.03</v>
      </c>
      <c r="N84" s="14">
        <v>1224.43</v>
      </c>
      <c r="P84" s="14">
        <f>+P83*(1+'SImple Return'!B83)</f>
        <v>126.17979874924748</v>
      </c>
      <c r="Q84" s="14">
        <f>+Q83*(1+'SImple Return'!C83)</f>
        <v>108.40873052886856</v>
      </c>
      <c r="R84" s="14">
        <f>+R83*(1+'SImple Return'!D83)</f>
        <v>137.64420858329487</v>
      </c>
      <c r="S84" s="14">
        <f>+S83*(1+'SImple Return'!E83)</f>
        <v>130.60220525869377</v>
      </c>
      <c r="T84" s="14">
        <f>+T83*(1+'SImple Return'!F83)</f>
        <v>122.50638130767722</v>
      </c>
      <c r="U84" s="14">
        <f>+U83*(1+'SImple Return'!G83)</f>
        <v>156.20553824445886</v>
      </c>
      <c r="V84" s="14">
        <f>+V83*(1+'SImple Return'!H83)</f>
        <v>110.32252921893532</v>
      </c>
      <c r="W84" s="14">
        <f>+W83*(1+'SImple Return'!I83)</f>
        <v>134.34505588736778</v>
      </c>
      <c r="X84" s="14">
        <f>+X83*(1+'SImple Return'!J83)</f>
        <v>125.04860432553312</v>
      </c>
      <c r="Y84" s="14">
        <f>+Y83*(1+'SImple Return'!K83)</f>
        <v>128.26032054395338</v>
      </c>
      <c r="Z84" s="14">
        <f>+Z83*(1+'SImple Return'!L83)</f>
        <v>374.83808132456744</v>
      </c>
      <c r="AA84" s="14">
        <f>+AA83*(1+'SImple Return'!M83)</f>
        <v>157.00732093391383</v>
      </c>
      <c r="AB84" s="14">
        <f>+AB83*(1+'SImple Return'!N83)</f>
        <v>119.71938401368853</v>
      </c>
    </row>
    <row r="85" spans="1:28">
      <c r="A85" s="8">
        <v>38205</v>
      </c>
      <c r="B85" s="10">
        <v>1003.81</v>
      </c>
      <c r="C85" s="10">
        <v>234.33</v>
      </c>
      <c r="D85" s="10">
        <v>120.98</v>
      </c>
      <c r="E85" s="14">
        <v>1346.31</v>
      </c>
      <c r="F85" s="14">
        <v>1246.8800000000001</v>
      </c>
      <c r="G85" s="14">
        <v>1614.11</v>
      </c>
      <c r="H85" s="14">
        <v>1131.73</v>
      </c>
      <c r="I85" s="14">
        <v>1365.13</v>
      </c>
      <c r="J85" s="14">
        <v>1283.3499999999999</v>
      </c>
      <c r="K85" s="14">
        <v>1320.85</v>
      </c>
      <c r="L85" s="14">
        <v>3638.32</v>
      </c>
      <c r="M85" s="14">
        <v>1625.46</v>
      </c>
      <c r="N85" s="14">
        <v>1237.18</v>
      </c>
      <c r="P85" s="14">
        <f>+P84*(1+'SImple Return'!B84)</f>
        <v>123.33181801427678</v>
      </c>
      <c r="Q85" s="14">
        <f>+Q84*(1+'SImple Return'!C84)</f>
        <v>109.28551441096911</v>
      </c>
      <c r="R85" s="14">
        <f>+R84*(1+'SImple Return'!D84)</f>
        <v>139.57083525611444</v>
      </c>
      <c r="S85" s="14">
        <f>+S84*(1+'SImple Return'!E84)</f>
        <v>134.34216434665464</v>
      </c>
      <c r="T85" s="14">
        <f>+T84*(1+'SImple Return'!F84)</f>
        <v>122.4111525623405</v>
      </c>
      <c r="U85" s="14">
        <f>+U84*(1+'SImple Return'!G84)</f>
        <v>158.16234542497111</v>
      </c>
      <c r="V85" s="14">
        <f>+V84*(1+'SImple Return'!H84)</f>
        <v>112.76366788557542</v>
      </c>
      <c r="W85" s="14">
        <f>+W84*(1+'SImple Return'!I84)</f>
        <v>136.11689982151944</v>
      </c>
      <c r="X85" s="14">
        <f>+X84*(1+'SImple Return'!J84)</f>
        <v>129.27743248279961</v>
      </c>
      <c r="Y85" s="14">
        <f>+Y84*(1+'SImple Return'!K84)</f>
        <v>128.30014570179699</v>
      </c>
      <c r="Z85" s="14">
        <f>+Z84*(1+'SImple Return'!L84)</f>
        <v>354.35305575846081</v>
      </c>
      <c r="AA85" s="14">
        <f>+AA84*(1+'SImple Return'!M84)</f>
        <v>160.8092599920856</v>
      </c>
      <c r="AB85" s="14">
        <f>+AB84*(1+'SImple Return'!N84)</f>
        <v>120.96602297726712</v>
      </c>
    </row>
    <row r="86" spans="1:28">
      <c r="A86" s="8">
        <v>38212</v>
      </c>
      <c r="B86" s="10">
        <v>999.32</v>
      </c>
      <c r="C86" s="10">
        <v>236.4</v>
      </c>
      <c r="D86" s="10">
        <v>120.24</v>
      </c>
      <c r="E86" s="14">
        <v>1349.98</v>
      </c>
      <c r="F86" s="14">
        <v>1250.98</v>
      </c>
      <c r="G86" s="14">
        <v>1610.15</v>
      </c>
      <c r="H86" s="14">
        <v>1120.56</v>
      </c>
      <c r="I86" s="14">
        <v>1350.65</v>
      </c>
      <c r="J86" s="14">
        <v>1313</v>
      </c>
      <c r="K86" s="14">
        <v>1337.16</v>
      </c>
      <c r="L86" s="14">
        <v>3773.19</v>
      </c>
      <c r="M86" s="14">
        <v>1617.61</v>
      </c>
      <c r="N86" s="14">
        <v>1246.29</v>
      </c>
      <c r="P86" s="14">
        <f>+P85*(1+'SImple Return'!B85)</f>
        <v>122.78015996854691</v>
      </c>
      <c r="Q86" s="14">
        <f>+Q85*(1+'SImple Return'!C85)</f>
        <v>110.25090943009046</v>
      </c>
      <c r="R86" s="14">
        <f>+R85*(1+'SImple Return'!D85)</f>
        <v>138.71712044300875</v>
      </c>
      <c r="S86" s="14">
        <f>+S85*(1+'SImple Return'!E85)</f>
        <v>134.70837698947258</v>
      </c>
      <c r="T86" s="14">
        <f>+T85*(1+'SImple Return'!F85)</f>
        <v>122.81366581582567</v>
      </c>
      <c r="U86" s="14">
        <f>+U85*(1+'SImple Return'!G85)</f>
        <v>157.77431555842989</v>
      </c>
      <c r="V86" s="14">
        <f>+V85*(1+'SImple Return'!H85)</f>
        <v>111.65070793021337</v>
      </c>
      <c r="W86" s="14">
        <f>+W85*(1+'SImple Return'!I85)</f>
        <v>134.67310127528896</v>
      </c>
      <c r="X86" s="14">
        <f>+X85*(1+'SImple Return'!J85)</f>
        <v>132.26420606219341</v>
      </c>
      <c r="Y86" s="14">
        <f>+Y85*(1+'SImple Return'!K85)</f>
        <v>129.88440990772222</v>
      </c>
      <c r="Z86" s="14">
        <f>+Z85*(1+'SImple Return'!L85)</f>
        <v>367.48867786705586</v>
      </c>
      <c r="AA86" s="14">
        <f>+AA85*(1+'SImple Return'!M85)</f>
        <v>160.03264740799378</v>
      </c>
      <c r="AB86" s="14">
        <f>+AB85*(1+'SImple Return'!N85)</f>
        <v>121.85675873869464</v>
      </c>
    </row>
    <row r="87" spans="1:28">
      <c r="A87" s="8">
        <v>38219</v>
      </c>
      <c r="B87" s="10">
        <v>1023.34</v>
      </c>
      <c r="C87" s="10">
        <v>237.86</v>
      </c>
      <c r="D87" s="10">
        <v>123.4</v>
      </c>
      <c r="E87" s="14">
        <v>1344.55</v>
      </c>
      <c r="F87" s="14">
        <v>1265.5999999999999</v>
      </c>
      <c r="G87" s="14">
        <v>1661.61</v>
      </c>
      <c r="H87" s="14">
        <v>1121.8800000000001</v>
      </c>
      <c r="I87" s="14">
        <v>1344.6</v>
      </c>
      <c r="J87" s="14">
        <v>1299.04</v>
      </c>
      <c r="K87" s="14">
        <v>1355.85</v>
      </c>
      <c r="L87" s="14">
        <v>3854.04</v>
      </c>
      <c r="M87" s="14">
        <v>1650.53</v>
      </c>
      <c r="N87" s="14">
        <v>1256.8699999999999</v>
      </c>
      <c r="P87" s="14">
        <f>+P86*(1+'SImple Return'!B86)</f>
        <v>125.73134621764081</v>
      </c>
      <c r="Q87" s="14">
        <f>+Q86*(1+'SImple Return'!C86)</f>
        <v>110.9318160619345</v>
      </c>
      <c r="R87" s="14">
        <f>+R86*(1+'SImple Return'!D86)</f>
        <v>142.36271342870327</v>
      </c>
      <c r="S87" s="14">
        <f>+S86*(1+'SImple Return'!E86)</f>
        <v>134.16654193484004</v>
      </c>
      <c r="T87" s="14">
        <f>+T86*(1+'SImple Return'!F86)</f>
        <v>124.24896917337526</v>
      </c>
      <c r="U87" s="14">
        <f>+U86*(1+'SImple Return'!G86)</f>
        <v>162.81674407666534</v>
      </c>
      <c r="V87" s="14">
        <f>+V86*(1+'SImple Return'!H86)</f>
        <v>111.7822305032732</v>
      </c>
      <c r="W87" s="14">
        <f>+W86*(1+'SImple Return'!I86)</f>
        <v>134.06985671695369</v>
      </c>
      <c r="X87" s="14">
        <f>+X86*(1+'SImple Return'!J86)</f>
        <v>130.85795448821912</v>
      </c>
      <c r="Y87" s="14">
        <f>+Y86*(1+'SImple Return'!K86)</f>
        <v>131.69985429820301</v>
      </c>
      <c r="Z87" s="14">
        <f>+Z86*(1+'SImple Return'!L86)</f>
        <v>375.36303871438969</v>
      </c>
      <c r="AA87" s="14">
        <f>+AA86*(1+'SImple Return'!M86)</f>
        <v>163.28947368421063</v>
      </c>
      <c r="AB87" s="14">
        <f>+AB86*(1+'SImple Return'!N86)</f>
        <v>122.89122463945239</v>
      </c>
    </row>
    <row r="88" spans="1:28">
      <c r="A88" s="8">
        <v>38226</v>
      </c>
      <c r="B88" s="10">
        <v>1032.5999999999999</v>
      </c>
      <c r="C88" s="10">
        <v>237.12</v>
      </c>
      <c r="D88" s="10">
        <v>125.28</v>
      </c>
      <c r="E88" s="14">
        <v>1351.73</v>
      </c>
      <c r="F88" s="14">
        <v>1266.21</v>
      </c>
      <c r="G88" s="14">
        <v>1672.21</v>
      </c>
      <c r="H88" s="14">
        <v>1127.6500000000001</v>
      </c>
      <c r="I88" s="14">
        <v>1365.83</v>
      </c>
      <c r="J88" s="14">
        <v>1315.73</v>
      </c>
      <c r="K88" s="14">
        <v>1361.8</v>
      </c>
      <c r="L88" s="14">
        <v>3954.51</v>
      </c>
      <c r="M88" s="14">
        <v>1645.73</v>
      </c>
      <c r="N88" s="14">
        <v>1248.1199999999999</v>
      </c>
      <c r="P88" s="14">
        <f>+P87*(1+'SImple Return'!B87)</f>
        <v>126.8690641471416</v>
      </c>
      <c r="Q88" s="14">
        <f>+Q87*(1+'SImple Return'!C87)</f>
        <v>110.58669900195875</v>
      </c>
      <c r="R88" s="14">
        <f>+R87*(1+'SImple Return'!D87)</f>
        <v>144.53161052145822</v>
      </c>
      <c r="S88" s="14">
        <f>+S87*(1+'SImple Return'!E87)</f>
        <v>134.88300154667459</v>
      </c>
      <c r="T88" s="14">
        <f>+T87*(1+'SImple Return'!F87)</f>
        <v>124.30885529157672</v>
      </c>
      <c r="U88" s="14">
        <f>+U87*(1+'SImple Return'!G87)</f>
        <v>163.85540988104341</v>
      </c>
      <c r="V88" s="14">
        <f>+V87*(1+'SImple Return'!H87)</f>
        <v>112.35714356884516</v>
      </c>
      <c r="W88" s="14">
        <f>+W87*(1+'SImple Return'!I87)</f>
        <v>136.18669671256649</v>
      </c>
      <c r="X88" s="14">
        <f>+X87*(1+'SImple Return'!J87)</f>
        <v>132.5392108470752</v>
      </c>
      <c r="Y88" s="14">
        <f>+Y87*(1+'SImple Return'!K87)</f>
        <v>132.27780475959204</v>
      </c>
      <c r="Z88" s="14">
        <f>+Z87*(1+'SImple Return'!L87)</f>
        <v>385.14828341855332</v>
      </c>
      <c r="AA88" s="14">
        <f>+AA87*(1+'SImple Return'!M87)</f>
        <v>162.81460229521184</v>
      </c>
      <c r="AB88" s="14">
        <f>+AB87*(1+'SImple Return'!N87)</f>
        <v>122.03568809582003</v>
      </c>
    </row>
    <row r="89" spans="1:28">
      <c r="A89" s="8">
        <v>38233</v>
      </c>
      <c r="B89" s="10">
        <v>1036.24</v>
      </c>
      <c r="C89" s="10">
        <v>237.95</v>
      </c>
      <c r="D89" s="10">
        <v>126.82</v>
      </c>
      <c r="E89" s="14">
        <v>1361.69</v>
      </c>
      <c r="F89" s="14">
        <v>1287.58</v>
      </c>
      <c r="G89" s="14">
        <v>1632.13</v>
      </c>
      <c r="H89" s="14">
        <v>1142.97</v>
      </c>
      <c r="I89" s="14">
        <v>1340.65</v>
      </c>
      <c r="J89" s="14">
        <v>1322.59</v>
      </c>
      <c r="K89" s="14">
        <v>1360.68</v>
      </c>
      <c r="L89" s="14">
        <v>3933.95</v>
      </c>
      <c r="M89" s="14">
        <v>1664.22</v>
      </c>
      <c r="N89" s="14">
        <v>1269.0999999999999</v>
      </c>
      <c r="P89" s="14">
        <f>+P88*(1+'SImple Return'!B88)</f>
        <v>127.31628804167541</v>
      </c>
      <c r="Q89" s="14">
        <f>+Q88*(1+'SImple Return'!C88)</f>
        <v>110.97378975841802</v>
      </c>
      <c r="R89" s="14">
        <f>+R88*(1+'SImple Return'!D88)</f>
        <v>146.30826026765112</v>
      </c>
      <c r="S89" s="14">
        <f>+S88*(1+'SImple Return'!E88)</f>
        <v>135.87686474080721</v>
      </c>
      <c r="T89" s="14">
        <f>+T88*(1+'SImple Return'!F88)</f>
        <v>126.40683290791286</v>
      </c>
      <c r="U89" s="14">
        <f>+U88*(1+'SImple Return'!G88)</f>
        <v>159.92807729241386</v>
      </c>
      <c r="V89" s="14">
        <f>+V88*(1+'SImple Return'!H88)</f>
        <v>113.88360252284215</v>
      </c>
      <c r="W89" s="14">
        <f>+W88*(1+'SImple Return'!I88)</f>
        <v>133.67600283175966</v>
      </c>
      <c r="X89" s="14">
        <f>+X88*(1+'SImple Return'!J88)</f>
        <v>133.23024851164993</v>
      </c>
      <c r="Y89" s="14">
        <f>+Y88*(1+'SImple Return'!K88)</f>
        <v>132.16901408450707</v>
      </c>
      <c r="Z89" s="14">
        <f>+Z88*(1+'SImple Return'!L88)</f>
        <v>383.14584855125355</v>
      </c>
      <c r="AA89" s="14">
        <f>+AA88*(1+'SImple Return'!M88)</f>
        <v>164.64384645825103</v>
      </c>
      <c r="AB89" s="14">
        <f>+AB88*(1+'SImple Return'!N88)</f>
        <v>124.08702028843797</v>
      </c>
    </row>
    <row r="90" spans="1:28">
      <c r="A90" s="8">
        <v>38240</v>
      </c>
      <c r="B90" s="10">
        <v>1049.52</v>
      </c>
      <c r="C90" s="10">
        <v>238.01</v>
      </c>
      <c r="D90" s="10">
        <v>128.12</v>
      </c>
      <c r="E90" s="14">
        <v>1383.16</v>
      </c>
      <c r="F90" s="14">
        <v>1300.74</v>
      </c>
      <c r="G90" s="14">
        <v>1650.26</v>
      </c>
      <c r="H90" s="14">
        <v>1139.94</v>
      </c>
      <c r="I90" s="14">
        <v>1358.2</v>
      </c>
      <c r="J90" s="14">
        <v>1323.54</v>
      </c>
      <c r="K90" s="14">
        <v>1416.9</v>
      </c>
      <c r="L90" s="14">
        <v>4035.47</v>
      </c>
      <c r="M90" s="14">
        <v>1712.98</v>
      </c>
      <c r="N90" s="14">
        <v>1291.8800000000001</v>
      </c>
      <c r="P90" s="14">
        <f>+P89*(1+'SImple Return'!B89)</f>
        <v>128.94791807448001</v>
      </c>
      <c r="Q90" s="14">
        <f>+Q89*(1+'SImple Return'!C89)</f>
        <v>111.00177222274039</v>
      </c>
      <c r="R90" s="14">
        <f>+R89*(1+'SImple Return'!D89)</f>
        <v>147.80802953391787</v>
      </c>
      <c r="S90" s="14">
        <f>+S89*(1+'SImple Return'!E89)</f>
        <v>138.0192585940228</v>
      </c>
      <c r="T90" s="14">
        <f>+T89*(1+'SImple Return'!F89)</f>
        <v>127.69880227763602</v>
      </c>
      <c r="U90" s="14">
        <f>+U89*(1+'SImple Return'!G89)</f>
        <v>161.70458776726051</v>
      </c>
      <c r="V90" s="14">
        <f>+V89*(1+'SImple Return'!H89)</f>
        <v>113.58169843468218</v>
      </c>
      <c r="W90" s="14">
        <f>+W89*(1+'SImple Return'!I89)</f>
        <v>135.42591060015366</v>
      </c>
      <c r="X90" s="14">
        <f>+X89*(1+'SImple Return'!J89)</f>
        <v>133.32594614741464</v>
      </c>
      <c r="Y90" s="14">
        <f>+Y89*(1+'SImple Return'!K89)</f>
        <v>137.62991743564839</v>
      </c>
      <c r="Z90" s="14">
        <f>+Z89*(1+'SImple Return'!L89)</f>
        <v>393.03335768200594</v>
      </c>
      <c r="AA90" s="14">
        <f>+AA89*(1+'SImple Return'!M89)</f>
        <v>169.46774831816398</v>
      </c>
      <c r="AB90" s="14">
        <f>+AB89*(1+'SImple Return'!N89)</f>
        <v>126.31434857003173</v>
      </c>
    </row>
    <row r="91" spans="1:28">
      <c r="A91" s="8">
        <v>38247</v>
      </c>
      <c r="B91" s="10">
        <v>1051.6199999999999</v>
      </c>
      <c r="C91" s="10">
        <v>239.26</v>
      </c>
      <c r="D91" s="10">
        <v>127.75</v>
      </c>
      <c r="E91" s="14">
        <v>1381.44</v>
      </c>
      <c r="F91" s="14">
        <v>1309.26</v>
      </c>
      <c r="G91" s="14">
        <v>1653.63</v>
      </c>
      <c r="H91" s="14">
        <v>1147.24</v>
      </c>
      <c r="I91" s="14">
        <v>1354.31</v>
      </c>
      <c r="J91" s="14">
        <v>1323.55</v>
      </c>
      <c r="K91" s="14">
        <v>1412.48</v>
      </c>
      <c r="L91" s="14">
        <v>4051.64</v>
      </c>
      <c r="M91" s="14">
        <v>1707.68</v>
      </c>
      <c r="N91" s="14">
        <v>1298.5</v>
      </c>
      <c r="P91" s="14">
        <f>+P90*(1+'SImple Return'!B90)</f>
        <v>129.20593185978794</v>
      </c>
      <c r="Q91" s="14">
        <f>+Q90*(1+'SImple Return'!C90)</f>
        <v>111.58474022945619</v>
      </c>
      <c r="R91" s="14">
        <f>+R90*(1+'SImple Return'!D90)</f>
        <v>147.38117212736503</v>
      </c>
      <c r="S91" s="14">
        <f>+S90*(1+'SImple Return'!E90)</f>
        <v>137.84762760065854</v>
      </c>
      <c r="T91" s="14">
        <f>+T90*(1+'SImple Return'!F90)</f>
        <v>128.53524445317106</v>
      </c>
      <c r="U91" s="14">
        <f>+U90*(1+'SImple Return'!G90)</f>
        <v>162.0348051031807</v>
      </c>
      <c r="V91" s="14">
        <f>+V90*(1+'SImple Return'!H90)</f>
        <v>114.30905811902799</v>
      </c>
      <c r="W91" s="14">
        <f>+W90*(1+'SImple Return'!I90)</f>
        <v>135.03803930562074</v>
      </c>
      <c r="X91" s="14">
        <f>+X90*(1+'SImple Return'!J90)</f>
        <v>133.32695349094899</v>
      </c>
      <c r="Y91" s="14">
        <f>+Y90*(1+'SImple Return'!K90)</f>
        <v>137.20058280718797</v>
      </c>
      <c r="Z91" s="14">
        <f>+Z90*(1+'SImple Return'!L90)</f>
        <v>394.60822985147269</v>
      </c>
      <c r="AA91" s="14">
        <f>+AA90*(1+'SImple Return'!M90)</f>
        <v>168.94341115947782</v>
      </c>
      <c r="AB91" s="14">
        <f>+AB90*(1+'SImple Return'!N90)</f>
        <v>126.96162307504271</v>
      </c>
    </row>
    <row r="92" spans="1:28">
      <c r="A92" s="8">
        <v>38254</v>
      </c>
      <c r="B92" s="10">
        <v>1041.53</v>
      </c>
      <c r="C92" s="10">
        <v>240.03</v>
      </c>
      <c r="D92" s="10">
        <v>126.26</v>
      </c>
      <c r="E92" s="14">
        <v>1390.54</v>
      </c>
      <c r="F92" s="14">
        <v>1290.9100000000001</v>
      </c>
      <c r="G92" s="14">
        <v>1713.48</v>
      </c>
      <c r="H92" s="14">
        <v>1133.5999999999999</v>
      </c>
      <c r="I92" s="14">
        <v>1360.47</v>
      </c>
      <c r="J92" s="14">
        <v>1339.49</v>
      </c>
      <c r="K92" s="14">
        <v>1419.27</v>
      </c>
      <c r="L92" s="14">
        <v>4019.81</v>
      </c>
      <c r="M92" s="14">
        <v>1737.86</v>
      </c>
      <c r="N92" s="14">
        <v>1295.6500000000001</v>
      </c>
      <c r="P92" s="14">
        <f>+P91*(1+'SImple Return'!B91)</f>
        <v>127.96623705323685</v>
      </c>
      <c r="Q92" s="14">
        <f>+Q91*(1+'SImple Return'!C91)</f>
        <v>111.94384852159313</v>
      </c>
      <c r="R92" s="14">
        <f>+R91*(1+'SImple Return'!D91)</f>
        <v>145.66220581449008</v>
      </c>
      <c r="S92" s="14">
        <f>+S91*(1+'SImple Return'!E91)</f>
        <v>138.755675298109</v>
      </c>
      <c r="T92" s="14">
        <f>+T91*(1+'SImple Return'!F91)</f>
        <v>126.73375220891424</v>
      </c>
      <c r="U92" s="14">
        <f>+U91*(1+'SImple Return'!G91)</f>
        <v>167.89934740431536</v>
      </c>
      <c r="V92" s="14">
        <f>+V91*(1+'SImple Return'!H91)</f>
        <v>112.94999153074346</v>
      </c>
      <c r="W92" s="14">
        <f>+W91*(1+'SImple Return'!I91)</f>
        <v>135.65225194683481</v>
      </c>
      <c r="X92" s="14">
        <f>+X91*(1+'SImple Return'!J91)</f>
        <v>134.93265908472765</v>
      </c>
      <c r="Y92" s="14">
        <f>+Y91*(1+'SImple Return'!K91)</f>
        <v>137.86012627489072</v>
      </c>
      <c r="Z92" s="14">
        <f>+Z91*(1+'SImple Return'!L91)</f>
        <v>391.50815680545372</v>
      </c>
      <c r="AA92" s="14">
        <f>+AA91*(1+'SImple Return'!M91)</f>
        <v>171.92916501780783</v>
      </c>
      <c r="AB92" s="14">
        <f>+AB91*(1+'SImple Return'!N91)</f>
        <v>126.68296260083103</v>
      </c>
    </row>
    <row r="93" spans="1:28">
      <c r="A93" s="8">
        <v>38261</v>
      </c>
      <c r="B93" s="10">
        <v>1062.8499999999999</v>
      </c>
      <c r="C93" s="10">
        <v>239.82</v>
      </c>
      <c r="D93" s="10">
        <v>127.76</v>
      </c>
      <c r="E93" s="14">
        <v>1414.3</v>
      </c>
      <c r="F93" s="14">
        <v>1325.83</v>
      </c>
      <c r="G93" s="14">
        <v>1730.35</v>
      </c>
      <c r="H93" s="14">
        <v>1159.8599999999999</v>
      </c>
      <c r="I93" s="14">
        <v>1386.7</v>
      </c>
      <c r="J93" s="14">
        <v>1364.35</v>
      </c>
      <c r="K93" s="14">
        <v>1423.28</v>
      </c>
      <c r="L93" s="14">
        <v>4153.5200000000004</v>
      </c>
      <c r="M93" s="14">
        <v>1755.99</v>
      </c>
      <c r="N93" s="14">
        <v>1326.94</v>
      </c>
      <c r="P93" s="14">
        <f>+P92*(1+'SImple Return'!B92)</f>
        <v>130.58569129264907</v>
      </c>
      <c r="Q93" s="14">
        <f>+Q92*(1+'SImple Return'!C92)</f>
        <v>111.84590989646487</v>
      </c>
      <c r="R93" s="14">
        <f>+R92*(1+'SImple Return'!D92)</f>
        <v>147.39270881402862</v>
      </c>
      <c r="S93" s="14">
        <f>+S92*(1+'SImple Return'!E92)</f>
        <v>141.12657785760607</v>
      </c>
      <c r="T93" s="14">
        <f>+T92*(1+'SImple Return'!F92)</f>
        <v>130.16198704103672</v>
      </c>
      <c r="U93" s="14">
        <f>+U92*(1+'SImple Return'!G92)</f>
        <v>169.55239383071705</v>
      </c>
      <c r="V93" s="14">
        <f>+V92*(1+'SImple Return'!H92)</f>
        <v>115.56649362812995</v>
      </c>
      <c r="W93" s="14">
        <f>+W92*(1+'SImple Return'!I92)</f>
        <v>138.26764116421225</v>
      </c>
      <c r="X93" s="14">
        <f>+X92*(1+'SImple Return'!J92)</f>
        <v>137.43691511116032</v>
      </c>
      <c r="Y93" s="14">
        <f>+Y92*(1+'SImple Return'!K92)</f>
        <v>138.2496357455075</v>
      </c>
      <c r="Z93" s="14">
        <f>+Z92*(1+'SImple Return'!L92)</f>
        <v>404.53080107134127</v>
      </c>
      <c r="AA93" s="14">
        <f>+AA92*(1+'SImple Return'!M92)</f>
        <v>173.7227938266721</v>
      </c>
      <c r="AB93" s="14">
        <f>+AB92*(1+'SImple Return'!N92)</f>
        <v>129.74236128086037</v>
      </c>
    </row>
    <row r="94" spans="1:28">
      <c r="A94" s="8">
        <v>38268</v>
      </c>
      <c r="B94" s="10">
        <v>1064.0999999999999</v>
      </c>
      <c r="C94" s="10">
        <v>238.39</v>
      </c>
      <c r="D94" s="10">
        <v>129.13999999999999</v>
      </c>
      <c r="E94" s="14">
        <v>1416.13</v>
      </c>
      <c r="F94" s="14">
        <v>1328.91</v>
      </c>
      <c r="G94" s="14">
        <v>1760.27</v>
      </c>
      <c r="H94" s="14">
        <v>1163.4000000000001</v>
      </c>
      <c r="I94" s="14">
        <v>1387.95</v>
      </c>
      <c r="J94" s="14">
        <v>1356.8</v>
      </c>
      <c r="K94" s="14">
        <v>1454.3</v>
      </c>
      <c r="L94" s="14">
        <v>4266.22</v>
      </c>
      <c r="M94" s="14">
        <v>1772.18</v>
      </c>
      <c r="N94" s="14">
        <v>1324.49</v>
      </c>
      <c r="P94" s="14">
        <f>+P93*(1+'SImple Return'!B93)</f>
        <v>130.73927092676095</v>
      </c>
      <c r="Q94" s="14">
        <f>+Q93*(1+'SImple Return'!C93)</f>
        <v>111.178994496782</v>
      </c>
      <c r="R94" s="14">
        <f>+R93*(1+'SImple Return'!D93)</f>
        <v>148.98477157360406</v>
      </c>
      <c r="S94" s="14">
        <f>+S93*(1+'SImple Return'!E93)</f>
        <v>141.30918525170875</v>
      </c>
      <c r="T94" s="14">
        <f>+T93*(1+'SImple Return'!F93)</f>
        <v>130.46436285097195</v>
      </c>
      <c r="U94" s="14">
        <f>+U93*(1+'SImple Return'!G93)</f>
        <v>172.48417504458422</v>
      </c>
      <c r="V94" s="14">
        <f>+V93*(1+'SImple Return'!H93)</f>
        <v>115.91921325588123</v>
      </c>
      <c r="W94" s="14">
        <f>+W93*(1+'SImple Return'!I93)</f>
        <v>138.39227846965341</v>
      </c>
      <c r="X94" s="14">
        <f>+X93*(1+'SImple Return'!J93)</f>
        <v>136.67637074271434</v>
      </c>
      <c r="Y94" s="14">
        <f>+Y93*(1+'SImple Return'!K93)</f>
        <v>141.2627489072365</v>
      </c>
      <c r="Z94" s="14">
        <f>+Z93*(1+'SImple Return'!L93)</f>
        <v>415.50718285853389</v>
      </c>
      <c r="AA94" s="14">
        <f>+AA93*(1+'SImple Return'!M93)</f>
        <v>175.32449544914937</v>
      </c>
      <c r="AB94" s="14">
        <f>+AB93*(1+'SImple Return'!N93)</f>
        <v>129.50281104864328</v>
      </c>
    </row>
    <row r="95" spans="1:28">
      <c r="A95" s="8">
        <v>38275</v>
      </c>
      <c r="B95" s="10">
        <v>1051.22</v>
      </c>
      <c r="C95" s="10">
        <v>241.41</v>
      </c>
      <c r="D95" s="10">
        <v>129.52000000000001</v>
      </c>
      <c r="E95" s="14">
        <v>1421.07</v>
      </c>
      <c r="F95" s="14">
        <v>1332.68</v>
      </c>
      <c r="G95" s="14">
        <v>1797.91</v>
      </c>
      <c r="H95" s="14">
        <v>1168.52</v>
      </c>
      <c r="I95" s="14">
        <v>1401.33</v>
      </c>
      <c r="J95" s="14">
        <v>1373.55</v>
      </c>
      <c r="K95" s="14">
        <v>1468.51</v>
      </c>
      <c r="L95" s="14">
        <v>4343.4799999999996</v>
      </c>
      <c r="M95" s="14">
        <v>1779.95</v>
      </c>
      <c r="N95" s="14">
        <v>1321.66</v>
      </c>
      <c r="P95" s="14">
        <f>+P94*(1+'SImple Return'!B94)</f>
        <v>129.15678637687216</v>
      </c>
      <c r="Q95" s="14">
        <f>+Q94*(1+'SImple Return'!C94)</f>
        <v>112.58744520100736</v>
      </c>
      <c r="R95" s="14">
        <f>+R94*(1+'SImple Return'!D94)</f>
        <v>149.42316566682052</v>
      </c>
      <c r="S95" s="14">
        <f>+S94*(1+'SImple Return'!E94)</f>
        <v>141.80212543032471</v>
      </c>
      <c r="T95" s="14">
        <f>+T94*(1+'SImple Return'!F94)</f>
        <v>130.83447869624979</v>
      </c>
      <c r="U95" s="14">
        <f>+U94*(1+'SImple Return'!G94)</f>
        <v>176.17241852352674</v>
      </c>
      <c r="V95" s="14">
        <f>+V94*(1+'SImple Return'!H94)</f>
        <v>116.42936141805255</v>
      </c>
      <c r="W95" s="14">
        <f>+W94*(1+'SImple Return'!I94)</f>
        <v>139.72639618709565</v>
      </c>
      <c r="X95" s="14">
        <f>+X94*(1+'SImple Return'!J94)</f>
        <v>138.3636711627766</v>
      </c>
      <c r="Y95" s="14">
        <f>+Y94*(1+'SImple Return'!K94)</f>
        <v>142.64303059737733</v>
      </c>
      <c r="Z95" s="14">
        <f>+Z94*(1+'SImple Return'!L94)</f>
        <v>423.03189676162611</v>
      </c>
      <c r="AA95" s="14">
        <f>+AA94*(1+'SImple Return'!M94)</f>
        <v>176.0931935100912</v>
      </c>
      <c r="AB95" s="14">
        <f>+AB94*(1+'SImple Return'!N94)</f>
        <v>129.22610608653133</v>
      </c>
    </row>
    <row r="96" spans="1:28">
      <c r="A96" s="8">
        <v>38282</v>
      </c>
      <c r="B96" s="10">
        <v>1049.82</v>
      </c>
      <c r="C96" s="10">
        <v>242.76</v>
      </c>
      <c r="D96" s="10">
        <v>129.44</v>
      </c>
      <c r="E96" s="14">
        <v>1445</v>
      </c>
      <c r="F96" s="14">
        <v>1328.52</v>
      </c>
      <c r="G96" s="14">
        <v>1825.95</v>
      </c>
      <c r="H96" s="14">
        <v>1166.83</v>
      </c>
      <c r="I96" s="14">
        <v>1418.63</v>
      </c>
      <c r="J96" s="14">
        <v>1402.63</v>
      </c>
      <c r="K96" s="14">
        <v>1517.35</v>
      </c>
      <c r="L96" s="14">
        <v>4353.17</v>
      </c>
      <c r="M96" s="14">
        <v>1813.36</v>
      </c>
      <c r="N96" s="14">
        <v>1328.97</v>
      </c>
      <c r="P96" s="14">
        <f>+P95*(1+'SImple Return'!B95)</f>
        <v>128.98477718666683</v>
      </c>
      <c r="Q96" s="14">
        <f>+Q95*(1+'SImple Return'!C95)</f>
        <v>113.21705064826041</v>
      </c>
      <c r="R96" s="14">
        <f>+R95*(1+'SImple Return'!D95)</f>
        <v>149.33087217351178</v>
      </c>
      <c r="S96" s="14">
        <f>+S95*(1+'SImple Return'!E95)</f>
        <v>144.18999151823573</v>
      </c>
      <c r="T96" s="14">
        <f>+T95*(1+'SImple Return'!F95)</f>
        <v>130.42607500490871</v>
      </c>
      <c r="U96" s="14">
        <f>+U95*(1+'SImple Return'!G95)</f>
        <v>178.91998353812684</v>
      </c>
      <c r="V96" s="14">
        <f>+V95*(1+'SImple Return'!H95)</f>
        <v>116.26097266921084</v>
      </c>
      <c r="W96" s="14">
        <f>+W95*(1+'SImple Return'!I95)</f>
        <v>141.45137649440139</v>
      </c>
      <c r="X96" s="14">
        <f>+X95*(1+'SImple Return'!J95)</f>
        <v>141.29302616071158</v>
      </c>
      <c r="Y96" s="14">
        <f>+Y95*(1+'SImple Return'!K95)</f>
        <v>147.38708110733359</v>
      </c>
      <c r="Z96" s="14">
        <f>+Z95*(1+'SImple Return'!L95)</f>
        <v>423.97565132700231</v>
      </c>
      <c r="AA96" s="14">
        <f>+AA95*(1+'SImple Return'!M95)</f>
        <v>179.39849624060167</v>
      </c>
      <c r="AB96" s="14">
        <f>+AB95*(1+'SImple Return'!N95)</f>
        <v>129.94084575898304</v>
      </c>
    </row>
    <row r="97" spans="1:28">
      <c r="A97" s="8">
        <v>38289</v>
      </c>
      <c r="B97" s="10">
        <v>1072.7</v>
      </c>
      <c r="C97" s="10">
        <v>243.02</v>
      </c>
      <c r="D97" s="10">
        <v>131.11000000000001</v>
      </c>
      <c r="E97" s="14">
        <v>1463.42</v>
      </c>
      <c r="F97" s="14">
        <v>1356.89</v>
      </c>
      <c r="G97" s="14">
        <v>1836.46</v>
      </c>
      <c r="H97" s="14">
        <v>1180.67</v>
      </c>
      <c r="I97" s="14">
        <v>1452.98</v>
      </c>
      <c r="J97" s="14">
        <v>1433.88</v>
      </c>
      <c r="K97" s="14">
        <v>1516.41</v>
      </c>
      <c r="L97" s="14">
        <v>4469.5600000000004</v>
      </c>
      <c r="M97" s="14">
        <v>1800.89</v>
      </c>
      <c r="N97" s="14">
        <v>1365.03</v>
      </c>
      <c r="P97" s="14">
        <f>+P96*(1+'SImple Return'!B96)</f>
        <v>131.7958988094507</v>
      </c>
      <c r="Q97" s="14">
        <f>+Q96*(1+'SImple Return'!C96)</f>
        <v>113.33830799365731</v>
      </c>
      <c r="R97" s="14">
        <f>+R96*(1+'SImple Return'!D96)</f>
        <v>151.25749884633134</v>
      </c>
      <c r="S97" s="14">
        <f>+S96*(1+'SImple Return'!E96)</f>
        <v>146.0280397146135</v>
      </c>
      <c r="T97" s="14">
        <f>+T96*(1+'SImple Return'!F96)</f>
        <v>133.21127037109761</v>
      </c>
      <c r="U97" s="14">
        <f>+U96*(1+'SImple Return'!G96)</f>
        <v>179.9498304819017</v>
      </c>
      <c r="V97" s="14">
        <f>+V96*(1+'SImple Return'!H96)</f>
        <v>117.63996692008021</v>
      </c>
      <c r="W97" s="14">
        <f>+W96*(1+'SImple Return'!I96)</f>
        <v>144.87640964792465</v>
      </c>
      <c r="X97" s="14">
        <f>+X96*(1+'SImple Return'!J96)</f>
        <v>144.44097470560385</v>
      </c>
      <c r="Y97" s="14">
        <f>+Y96*(1+'SImple Return'!K96)</f>
        <v>147.29577464788727</v>
      </c>
      <c r="Z97" s="14">
        <f>+Z96*(1+'SImple Return'!L96)</f>
        <v>435.31141952763539</v>
      </c>
      <c r="AA97" s="14">
        <f>+AA96*(1+'SImple Return'!M96)</f>
        <v>178.16481994459852</v>
      </c>
      <c r="AB97" s="14">
        <f>+AB96*(1+'SImple Return'!N96)</f>
        <v>133.46663407479824</v>
      </c>
    </row>
    <row r="98" spans="1:28">
      <c r="A98" s="8">
        <v>38296</v>
      </c>
      <c r="B98" s="10">
        <v>1108.5</v>
      </c>
      <c r="C98" s="10">
        <v>243.55</v>
      </c>
      <c r="D98" s="10">
        <v>134.32</v>
      </c>
      <c r="E98" s="14">
        <v>1498.26</v>
      </c>
      <c r="F98" s="14">
        <v>1384.16</v>
      </c>
      <c r="G98" s="14">
        <v>1875.48</v>
      </c>
      <c r="H98" s="14">
        <v>1215.43</v>
      </c>
      <c r="I98" s="14">
        <v>1495.2</v>
      </c>
      <c r="J98" s="14">
        <v>1456.24</v>
      </c>
      <c r="K98" s="14">
        <v>1556.88</v>
      </c>
      <c r="L98" s="14">
        <v>4586.6000000000004</v>
      </c>
      <c r="M98" s="14">
        <v>1851.9</v>
      </c>
      <c r="N98" s="14">
        <v>1378.63</v>
      </c>
      <c r="P98" s="14">
        <f>+P97*(1+'SImple Return'!B97)</f>
        <v>136.19441953041493</v>
      </c>
      <c r="Q98" s="14">
        <f>+Q97*(1+'SImple Return'!C97)</f>
        <v>113.58548642850481</v>
      </c>
      <c r="R98" s="14">
        <f>+R97*(1+'SImple Return'!D97)</f>
        <v>154.96077526534376</v>
      </c>
      <c r="S98" s="14">
        <f>+S97*(1+'SImple Return'!E97)</f>
        <v>149.50456518485248</v>
      </c>
      <c r="T98" s="14">
        <f>+T97*(1+'SImple Return'!F97)</f>
        <v>135.88847437659535</v>
      </c>
      <c r="U98" s="14">
        <f>+U97*(1+'SImple Return'!G97)</f>
        <v>183.77329649009343</v>
      </c>
      <c r="V98" s="14">
        <f>+V97*(1+'SImple Return'!H97)</f>
        <v>121.10339467732142</v>
      </c>
      <c r="W98" s="14">
        <f>+W97*(1+'SImple Return'!I97)</f>
        <v>149.08615927650547</v>
      </c>
      <c r="X98" s="14">
        <f>+X97*(1+'SImple Return'!J97)</f>
        <v>146.69339484844517</v>
      </c>
      <c r="Y98" s="14">
        <f>+Y97*(1+'SImple Return'!K97)</f>
        <v>151.2268091306459</v>
      </c>
      <c r="Z98" s="14">
        <f>+Z97*(1+'SImple Return'!L97)</f>
        <v>446.7104942780615</v>
      </c>
      <c r="AA98" s="14">
        <f>+AA97*(1+'SImple Return'!M97)</f>
        <v>183.21131776810466</v>
      </c>
      <c r="AB98" s="14">
        <f>+AB97*(1+'SImple Return'!N97)</f>
        <v>134.7963823026154</v>
      </c>
    </row>
    <row r="99" spans="1:28">
      <c r="A99" s="8">
        <v>38303</v>
      </c>
      <c r="B99" s="10">
        <v>1122.8399999999999</v>
      </c>
      <c r="C99" s="10">
        <v>242.68</v>
      </c>
      <c r="D99" s="10">
        <v>137.81</v>
      </c>
      <c r="E99" s="14">
        <v>1481.84</v>
      </c>
      <c r="F99" s="14">
        <v>1418.45</v>
      </c>
      <c r="G99" s="14">
        <v>1903.5</v>
      </c>
      <c r="H99" s="14">
        <v>1205.18</v>
      </c>
      <c r="I99" s="14">
        <v>1509.54</v>
      </c>
      <c r="J99" s="14">
        <v>1411.2</v>
      </c>
      <c r="K99" s="14">
        <v>1604.64</v>
      </c>
      <c r="L99" s="14">
        <v>4848.47</v>
      </c>
      <c r="M99" s="14">
        <v>1872.06</v>
      </c>
      <c r="N99" s="14">
        <v>1402.4</v>
      </c>
      <c r="P99" s="14">
        <f>+P98*(1+'SImple Return'!B98)</f>
        <v>137.95628509294642</v>
      </c>
      <c r="Q99" s="14">
        <f>+Q98*(1+'SImple Return'!C98)</f>
        <v>113.17974069583062</v>
      </c>
      <c r="R99" s="14">
        <f>+R98*(1+'SImple Return'!D98)</f>
        <v>158.98707891093673</v>
      </c>
      <c r="S99" s="14">
        <f>+S98*(1+'SImple Return'!E98)</f>
        <v>147.86608791099127</v>
      </c>
      <c r="T99" s="14">
        <f>+T98*(1+'SImple Return'!F98)</f>
        <v>139.25485961123113</v>
      </c>
      <c r="U99" s="14">
        <f>+U98*(1+'SImple Return'!G98)</f>
        <v>186.51890175789282</v>
      </c>
      <c r="V99" s="14">
        <f>+V98*(1+'SImple Return'!H98)</f>
        <v>120.08210196984953</v>
      </c>
      <c r="W99" s="14">
        <f>+W98*(1+'SImple Return'!I98)</f>
        <v>150.51599844452653</v>
      </c>
      <c r="X99" s="14">
        <f>+X98*(1+'SImple Return'!J98)</f>
        <v>142.15631956966286</v>
      </c>
      <c r="Y99" s="14">
        <f>+Y98*(1+'SImple Return'!K98)</f>
        <v>155.86595434677025</v>
      </c>
      <c r="Z99" s="14">
        <f>+Z98*(1+'SImple Return'!L98)</f>
        <v>472.21524226929591</v>
      </c>
      <c r="AA99" s="14">
        <f>+AA98*(1+'SImple Return'!M98)</f>
        <v>185.20577760189965</v>
      </c>
      <c r="AB99" s="14">
        <f>+AB98*(1+'SImple Return'!N98)</f>
        <v>137.12050843314583</v>
      </c>
    </row>
    <row r="100" spans="1:28">
      <c r="A100" s="8">
        <v>38310</v>
      </c>
      <c r="B100" s="10">
        <v>1121.2</v>
      </c>
      <c r="C100" s="10">
        <v>244.78</v>
      </c>
      <c r="D100" s="10">
        <v>137.6</v>
      </c>
      <c r="E100" s="14">
        <v>1500.8</v>
      </c>
      <c r="F100" s="14">
        <v>1398.54</v>
      </c>
      <c r="G100" s="14">
        <v>1947.32</v>
      </c>
      <c r="H100" s="14">
        <v>1204.71</v>
      </c>
      <c r="I100" s="14">
        <v>1527.47</v>
      </c>
      <c r="J100" s="14">
        <v>1410.26</v>
      </c>
      <c r="K100" s="14">
        <v>1616.01</v>
      </c>
      <c r="L100" s="14">
        <v>4723.75</v>
      </c>
      <c r="M100" s="14">
        <v>1901.16</v>
      </c>
      <c r="N100" s="14">
        <v>1403.4</v>
      </c>
      <c r="P100" s="14">
        <f>+P99*(1+'SImple Return'!B99)</f>
        <v>137.75478861299166</v>
      </c>
      <c r="Q100" s="14">
        <f>+Q99*(1+'SImple Return'!C99)</f>
        <v>114.15912694711314</v>
      </c>
      <c r="R100" s="14">
        <f>+R99*(1+'SImple Return'!D99)</f>
        <v>158.74480849100132</v>
      </c>
      <c r="S100" s="14">
        <f>+S99*(1+'SImple Return'!E99)</f>
        <v>149.75802025644853</v>
      </c>
      <c r="T100" s="14">
        <f>+T99*(1+'SImple Return'!F99)</f>
        <v>137.3002159827214</v>
      </c>
      <c r="U100" s="14">
        <f>+U99*(1+'SImple Return'!G99)</f>
        <v>190.81270699825578</v>
      </c>
      <c r="V100" s="14">
        <f>+V99*(1+'SImple Return'!H99)</f>
        <v>120.03527196277521</v>
      </c>
      <c r="W100" s="14">
        <f>+W99*(1+'SImple Return'!I99)</f>
        <v>152.30379595377462</v>
      </c>
      <c r="X100" s="14">
        <f>+X99*(1+'SImple Return'!J99)</f>
        <v>142.06162927743247</v>
      </c>
      <c r="Y100" s="14">
        <f>+Y99*(1+'SImple Return'!K99)</f>
        <v>156.97037396794556</v>
      </c>
      <c r="Z100" s="14">
        <f>+Z99*(1+'SImple Return'!L99)</f>
        <v>460.06817628439205</v>
      </c>
      <c r="AA100" s="14">
        <f>+AA99*(1+'SImple Return'!M99)</f>
        <v>188.08468539770499</v>
      </c>
      <c r="AB100" s="14">
        <f>+AB99*(1+'SImple Return'!N99)</f>
        <v>137.21828403813237</v>
      </c>
    </row>
    <row r="101" spans="1:28">
      <c r="A101" s="8">
        <v>38317</v>
      </c>
      <c r="B101" s="10">
        <v>1132.8399999999999</v>
      </c>
      <c r="C101" s="10">
        <v>245.43</v>
      </c>
      <c r="D101" s="10">
        <v>140.88999999999999</v>
      </c>
      <c r="E101" s="14">
        <v>1554.26</v>
      </c>
      <c r="F101" s="14">
        <v>1433.05</v>
      </c>
      <c r="G101" s="14">
        <v>2000.18</v>
      </c>
      <c r="H101" s="14">
        <v>1238.47</v>
      </c>
      <c r="I101" s="14">
        <v>1557.32</v>
      </c>
      <c r="J101" s="14">
        <v>1470.52</v>
      </c>
      <c r="K101" s="14">
        <v>1660.55</v>
      </c>
      <c r="L101" s="14">
        <v>4810.1899999999996</v>
      </c>
      <c r="M101" s="14">
        <v>1969.33</v>
      </c>
      <c r="N101" s="14">
        <v>1448.04</v>
      </c>
      <c r="P101" s="14">
        <f>+P100*(1+'SImple Return'!B100)</f>
        <v>139.18492216584147</v>
      </c>
      <c r="Q101" s="14">
        <f>+Q100*(1+'SImple Return'!C100)</f>
        <v>114.46227031060535</v>
      </c>
      <c r="R101" s="14">
        <f>+R100*(1+'SImple Return'!D100)</f>
        <v>162.54037840332248</v>
      </c>
      <c r="S101" s="14">
        <f>+S100*(1+'SImple Return'!E100)</f>
        <v>155.09255101531696</v>
      </c>
      <c r="T101" s="14">
        <f>+T100*(1+'SImple Return'!F100)</f>
        <v>140.68819948949539</v>
      </c>
      <c r="U101" s="14">
        <f>+U100*(1+'SImple Return'!G100)</f>
        <v>195.99231779254117</v>
      </c>
      <c r="V101" s="14">
        <f>+V100*(1+'SImple Return'!H100)</f>
        <v>123.39906140709233</v>
      </c>
      <c r="W101" s="14">
        <f>+W100*(1+'SImple Return'!I100)</f>
        <v>155.28013480770966</v>
      </c>
      <c r="X101" s="14">
        <f>+X100*(1+'SImple Return'!J100)</f>
        <v>148.13188141551913</v>
      </c>
      <c r="Y101" s="14">
        <f>+Y100*(1+'SImple Return'!K100)</f>
        <v>161.29674599320052</v>
      </c>
      <c r="Z101" s="14">
        <f>+Z100*(1+'SImple Return'!L100)</f>
        <v>468.48697345994589</v>
      </c>
      <c r="AA101" s="14">
        <f>+AA100*(1+'SImple Return'!M100)</f>
        <v>194.82884843688188</v>
      </c>
      <c r="AB101" s="14">
        <f>+AB100*(1+'SImple Return'!N100)</f>
        <v>141.58298704473219</v>
      </c>
    </row>
    <row r="102" spans="1:28">
      <c r="A102" s="8">
        <v>38324</v>
      </c>
      <c r="B102" s="10">
        <v>1144.32</v>
      </c>
      <c r="C102" s="10">
        <v>244.43</v>
      </c>
      <c r="D102" s="10">
        <v>143.43</v>
      </c>
      <c r="E102" s="14">
        <v>1601.73</v>
      </c>
      <c r="F102" s="14">
        <v>1417.5</v>
      </c>
      <c r="G102" s="14">
        <v>2021.71</v>
      </c>
      <c r="H102" s="14">
        <v>1227.73</v>
      </c>
      <c r="I102" s="14">
        <v>1593.07</v>
      </c>
      <c r="J102" s="14">
        <v>1570.8</v>
      </c>
      <c r="K102" s="14">
        <v>1721.8</v>
      </c>
      <c r="L102" s="14">
        <v>5022.58</v>
      </c>
      <c r="M102" s="14">
        <v>1992.75</v>
      </c>
      <c r="N102" s="14">
        <v>1440.55</v>
      </c>
      <c r="P102" s="14">
        <f>+P101*(1+'SImple Return'!B101)</f>
        <v>140.59539752552496</v>
      </c>
      <c r="Q102" s="14">
        <f>+Q101*(1+'SImple Return'!C101)</f>
        <v>113.99589590523271</v>
      </c>
      <c r="R102" s="14">
        <f>+R101*(1+'SImple Return'!D101)</f>
        <v>165.47069681587442</v>
      </c>
      <c r="S102" s="14">
        <f>+S101*(1+'SImple Return'!E101)</f>
        <v>159.82936686124822</v>
      </c>
      <c r="T102" s="14">
        <f>+T101*(1+'SImple Return'!F101)</f>
        <v>139.16159434517968</v>
      </c>
      <c r="U102" s="14">
        <f>+U101*(1+'SImple Return'!G101)</f>
        <v>198.10198522350908</v>
      </c>
      <c r="V102" s="14">
        <f>+V101*(1+'SImple Return'!H101)</f>
        <v>122.32894592628764</v>
      </c>
      <c r="W102" s="14">
        <f>+W101*(1+'SImple Return'!I101)</f>
        <v>158.84476174332701</v>
      </c>
      <c r="X102" s="14">
        <f>+X101*(1+'SImple Return'!J101)</f>
        <v>158.2335223781366</v>
      </c>
      <c r="Y102" s="14">
        <f>+Y101*(1+'SImple Return'!K101)</f>
        <v>167.24623603691106</v>
      </c>
      <c r="Z102" s="14">
        <f>+Z101*(1+'SImple Return'!L101)</f>
        <v>489.1726320915505</v>
      </c>
      <c r="AA102" s="14">
        <f>+AA101*(1+'SImple Return'!M101)</f>
        <v>197.1458250890386</v>
      </c>
      <c r="AB102" s="14">
        <f>+AB101*(1+'SImple Return'!N101)</f>
        <v>140.85064776338288</v>
      </c>
    </row>
    <row r="103" spans="1:28">
      <c r="A103" s="8">
        <v>38331</v>
      </c>
      <c r="B103" s="10">
        <v>1128.0899999999999</v>
      </c>
      <c r="C103" s="10">
        <v>246.41</v>
      </c>
      <c r="D103" s="10">
        <v>141.52000000000001</v>
      </c>
      <c r="E103" s="14">
        <v>1589.59</v>
      </c>
      <c r="F103" s="14">
        <v>1392.58</v>
      </c>
      <c r="G103" s="14">
        <v>1923.72</v>
      </c>
      <c r="H103" s="14">
        <v>1209.52</v>
      </c>
      <c r="I103" s="14">
        <v>1541.18</v>
      </c>
      <c r="J103" s="14">
        <v>1589.56</v>
      </c>
      <c r="K103" s="14">
        <v>1715.21</v>
      </c>
      <c r="L103" s="14">
        <v>4757.66</v>
      </c>
      <c r="M103" s="14">
        <v>1942.34</v>
      </c>
      <c r="N103" s="14">
        <v>1428.22</v>
      </c>
      <c r="P103" s="14">
        <f>+P102*(1+'SImple Return'!B102)</f>
        <v>138.60131955621631</v>
      </c>
      <c r="Q103" s="14">
        <f>+Q102*(1+'SImple Return'!C102)</f>
        <v>114.91931722787052</v>
      </c>
      <c r="R103" s="14">
        <f>+R102*(1+'SImple Return'!D102)</f>
        <v>163.2671896631287</v>
      </c>
      <c r="S103" s="14">
        <f>+S102*(1+'SImple Return'!E102)</f>
        <v>158.61797136157253</v>
      </c>
      <c r="T103" s="14">
        <f>+T102*(1+'SImple Return'!F102)</f>
        <v>136.71509915570391</v>
      </c>
      <c r="U103" s="14">
        <f>+U102*(1+'SImple Return'!G102)</f>
        <v>188.50020577341402</v>
      </c>
      <c r="V103" s="14">
        <f>+V102*(1+'SImple Return'!H102)</f>
        <v>120.51453224794004</v>
      </c>
      <c r="W103" s="14">
        <f>+W102*(1+'SImple Return'!I102)</f>
        <v>153.67081791985333</v>
      </c>
      <c r="X103" s="14">
        <f>+X102*(1+'SImple Return'!J102)</f>
        <v>160.12329884860634</v>
      </c>
      <c r="Y103" s="14">
        <f>+Y102*(1+'SImple Return'!K102)</f>
        <v>166.60611947547349</v>
      </c>
      <c r="Z103" s="14">
        <f>+Z102*(1+'SImple Return'!L102)</f>
        <v>463.37083028974871</v>
      </c>
      <c r="AA103" s="14">
        <f>+AA102*(1+'SImple Return'!M102)</f>
        <v>192.15868618915729</v>
      </c>
      <c r="AB103" s="14">
        <f>+AB102*(1+'SImple Return'!N102)</f>
        <v>139.64507455389867</v>
      </c>
    </row>
    <row r="104" spans="1:28">
      <c r="A104" s="8">
        <v>38338</v>
      </c>
      <c r="B104" s="10">
        <v>1139.29</v>
      </c>
      <c r="C104" s="10">
        <v>246.71</v>
      </c>
      <c r="D104" s="10">
        <v>143.08000000000001</v>
      </c>
      <c r="E104" s="14">
        <v>1619.65</v>
      </c>
      <c r="F104" s="14">
        <v>1427.42</v>
      </c>
      <c r="G104" s="14">
        <v>1990.17</v>
      </c>
      <c r="H104" s="14">
        <v>1244.9000000000001</v>
      </c>
      <c r="I104" s="14">
        <v>1560.04</v>
      </c>
      <c r="J104" s="14">
        <v>1619.31</v>
      </c>
      <c r="K104" s="14">
        <v>1721.97</v>
      </c>
      <c r="L104" s="14">
        <v>4887.32</v>
      </c>
      <c r="M104" s="14">
        <v>1983.92</v>
      </c>
      <c r="N104" s="14">
        <v>1464.98</v>
      </c>
      <c r="P104" s="14">
        <f>+P103*(1+'SImple Return'!B103)</f>
        <v>139.97739307785878</v>
      </c>
      <c r="Q104" s="14">
        <f>+Q103*(1+'SImple Return'!C103)</f>
        <v>115.05922954948232</v>
      </c>
      <c r="R104" s="14">
        <f>+R103*(1+'SImple Return'!D103)</f>
        <v>165.06691278264879</v>
      </c>
      <c r="S104" s="14">
        <f>+S103*(1+'SImple Return'!E103)</f>
        <v>161.61752232699689</v>
      </c>
      <c r="T104" s="14">
        <f>+T103*(1+'SImple Return'!F103)</f>
        <v>140.13548007068525</v>
      </c>
      <c r="U104" s="14">
        <f>+U103*(1+'SImple Return'!G103)</f>
        <v>195.01146451878412</v>
      </c>
      <c r="V104" s="14">
        <f>+V103*(1+'SImple Return'!H103)</f>
        <v>124.03973575919419</v>
      </c>
      <c r="W104" s="14">
        <f>+W103*(1+'SImple Return'!I103)</f>
        <v>155.55134558434963</v>
      </c>
      <c r="X104" s="14">
        <f>+X103*(1+'SImple Return'!J103)</f>
        <v>163.12014586334377</v>
      </c>
      <c r="Y104" s="14">
        <f>+Y103*(1+'SImple Return'!K103)</f>
        <v>167.26274890723647</v>
      </c>
      <c r="Z104" s="14">
        <f>+Z103*(1+'SImple Return'!L103)</f>
        <v>475.9990260530796</v>
      </c>
      <c r="AA104" s="14">
        <f>+AA103*(1+'SImple Return'!M103)</f>
        <v>196.27225959635956</v>
      </c>
      <c r="AB104" s="14">
        <f>+AB103*(1+'SImple Return'!N103)</f>
        <v>143.23930579320447</v>
      </c>
    </row>
    <row r="105" spans="1:28">
      <c r="A105" s="8">
        <v>38345</v>
      </c>
      <c r="B105" s="10">
        <v>1163.05</v>
      </c>
      <c r="C105" s="10">
        <v>246.35</v>
      </c>
      <c r="D105" s="10">
        <v>145.78</v>
      </c>
      <c r="E105" s="14">
        <v>1651.72</v>
      </c>
      <c r="F105" s="14">
        <v>1441.57</v>
      </c>
      <c r="G105" s="14">
        <v>2035.86</v>
      </c>
      <c r="H105" s="14">
        <v>1268.54</v>
      </c>
      <c r="I105" s="14">
        <v>1578.61</v>
      </c>
      <c r="J105" s="14">
        <v>1629.76</v>
      </c>
      <c r="K105" s="14">
        <v>1724.93</v>
      </c>
      <c r="L105" s="14">
        <v>4844.9799999999996</v>
      </c>
      <c r="M105" s="14">
        <v>2044.71</v>
      </c>
      <c r="N105" s="14">
        <v>1490.21</v>
      </c>
      <c r="P105" s="14">
        <f>+P104*(1+'SImple Return'!B104)</f>
        <v>142.89663476305736</v>
      </c>
      <c r="Q105" s="14">
        <f>+Q104*(1+'SImple Return'!C104)</f>
        <v>114.89133476354817</v>
      </c>
      <c r="R105" s="14">
        <f>+R104*(1+'SImple Return'!D104)</f>
        <v>168.1818181818181</v>
      </c>
      <c r="S105" s="14">
        <f>+S104*(1+'SImple Return'!E104)</f>
        <v>164.81764206955037</v>
      </c>
      <c r="T105" s="14">
        <f>+T104*(1+'SImple Return'!F104)</f>
        <v>141.5246416650304</v>
      </c>
      <c r="U105" s="14">
        <f>+U104*(1+'SImple Return'!G104)</f>
        <v>199.48850608501374</v>
      </c>
      <c r="V105" s="14">
        <f>+V104*(1+'SImple Return'!H104)</f>
        <v>126.39518547671956</v>
      </c>
      <c r="W105" s="14">
        <f>+W104*(1+'SImple Return'!I104)</f>
        <v>157.4029573939836</v>
      </c>
      <c r="X105" s="14">
        <f>+X104*(1+'SImple Return'!J104)</f>
        <v>164.17281985675572</v>
      </c>
      <c r="Y105" s="14">
        <f>+Y104*(1+'SImple Return'!K104)</f>
        <v>167.55026711996112</v>
      </c>
      <c r="Z105" s="14">
        <f>+Z104*(1+'SImple Return'!L104)</f>
        <v>471.87533479425321</v>
      </c>
      <c r="AA105" s="14">
        <f>+AA104*(1+'SImple Return'!M104)</f>
        <v>202.28630787495075</v>
      </c>
      <c r="AB105" s="14">
        <f>+AB104*(1+'SImple Return'!N104)</f>
        <v>145.70618430701529</v>
      </c>
    </row>
    <row r="106" spans="1:28">
      <c r="A106" s="9">
        <v>38352</v>
      </c>
      <c r="B106" s="10">
        <v>1169.3399999999999</v>
      </c>
      <c r="C106" s="10">
        <v>246.35</v>
      </c>
      <c r="D106" s="10">
        <v>147.87</v>
      </c>
      <c r="E106" s="14">
        <v>1661.91</v>
      </c>
      <c r="F106" s="14">
        <v>1448.03</v>
      </c>
      <c r="G106" s="14">
        <v>2062.5700000000002</v>
      </c>
      <c r="H106" s="14">
        <v>1267.78</v>
      </c>
      <c r="I106" s="14">
        <v>1592.09</v>
      </c>
      <c r="J106" s="14">
        <v>1637.26</v>
      </c>
      <c r="K106" s="14">
        <v>1741.54</v>
      </c>
      <c r="L106" s="14">
        <v>4910.53</v>
      </c>
      <c r="M106" s="14">
        <v>2063.3000000000002</v>
      </c>
      <c r="N106" s="14">
        <v>1501.21</v>
      </c>
      <c r="P106" s="14">
        <f>+P105*(1+'SImple Return'!B105)</f>
        <v>143.66944748190832</v>
      </c>
      <c r="Q106" s="14">
        <f>+Q105*(1+'SImple Return'!C105)</f>
        <v>114.89133476354817</v>
      </c>
      <c r="R106" s="14">
        <f>+R105*(1+'SImple Return'!D105)</f>
        <v>170.59298569450846</v>
      </c>
      <c r="S106" s="14">
        <f>+S105*(1+'SImple Return'!E105)</f>
        <v>165.83445591977238</v>
      </c>
      <c r="T106" s="14">
        <f>+T105*(1+'SImple Return'!F105)</f>
        <v>142.15884547418023</v>
      </c>
      <c r="U106" s="14">
        <f>+U105*(1+'SImple Return'!G105)</f>
        <v>202.10574793736643</v>
      </c>
      <c r="V106" s="14">
        <f>+V105*(1+'SImple Return'!H105)</f>
        <v>126.31946035889726</v>
      </c>
      <c r="W106" s="14">
        <f>+W105*(1+'SImple Return'!I105)</f>
        <v>158.74704609586115</v>
      </c>
      <c r="X106" s="14">
        <f>+X105*(1+'SImple Return'!J105)</f>
        <v>164.92832750752987</v>
      </c>
      <c r="Y106" s="14">
        <f>+Y105*(1+'SImple Return'!K105)</f>
        <v>169.1636716852841</v>
      </c>
      <c r="Z106" s="14">
        <f>+Z105*(1+'SImple Return'!L105)</f>
        <v>478.25955685415096</v>
      </c>
      <c r="AA106" s="14">
        <f>+AA105*(1+'SImple Return'!M105)</f>
        <v>204.12544519192741</v>
      </c>
      <c r="AB106" s="14">
        <f>+AB105*(1+'SImple Return'!N105)</f>
        <v>146.78171596186741</v>
      </c>
    </row>
    <row r="107" spans="1:28">
      <c r="A107" s="8">
        <v>38359</v>
      </c>
      <c r="B107" s="10">
        <v>1139.9100000000001</v>
      </c>
      <c r="C107" s="10">
        <v>245.8</v>
      </c>
      <c r="D107" s="10">
        <v>141.31</v>
      </c>
      <c r="E107" s="14">
        <v>1614.07</v>
      </c>
      <c r="F107" s="14">
        <v>1403.95</v>
      </c>
      <c r="G107" s="14">
        <v>2047.04</v>
      </c>
      <c r="H107" s="14">
        <v>1234.6500000000001</v>
      </c>
      <c r="I107" s="14">
        <v>1552.37</v>
      </c>
      <c r="J107" s="14">
        <v>1591.11</v>
      </c>
      <c r="K107" s="14">
        <v>1680.69</v>
      </c>
      <c r="L107" s="14">
        <v>4919.03</v>
      </c>
      <c r="M107" s="14">
        <v>2022.19</v>
      </c>
      <c r="N107" s="14">
        <v>1442.07</v>
      </c>
      <c r="P107" s="14">
        <f>+P106*(1+'SImple Return'!B106)</f>
        <v>140.05356857637824</v>
      </c>
      <c r="Q107" s="14">
        <f>+Q106*(1+'SImple Return'!C106)</f>
        <v>114.63482884059323</v>
      </c>
      <c r="R107" s="14">
        <f>+R106*(1+'SImple Return'!D106)</f>
        <v>163.02491924319327</v>
      </c>
      <c r="S107" s="14">
        <f>+S106*(1+'SImple Return'!E106)</f>
        <v>161.06071945317555</v>
      </c>
      <c r="T107" s="14">
        <f>+T106*(1+'SImple Return'!F106)</f>
        <v>137.83133712939326</v>
      </c>
      <c r="U107" s="14">
        <f>+U106*(1+'SImple Return'!G106)</f>
        <v>200.58400454661248</v>
      </c>
      <c r="V107" s="14">
        <f>+V106*(1+'SImple Return'!H106)</f>
        <v>123.01844305172231</v>
      </c>
      <c r="W107" s="14">
        <f>+W106*(1+'SImple Return'!I106)</f>
        <v>154.78657107816264</v>
      </c>
      <c r="X107" s="14">
        <f>+X106*(1+'SImple Return'!J106)</f>
        <v>160.27943709643296</v>
      </c>
      <c r="Y107" s="14">
        <f>+Y106*(1+'SImple Return'!K106)</f>
        <v>163.25303545410392</v>
      </c>
      <c r="Z107" s="14">
        <f>+Z106*(1+'SImple Return'!L106)</f>
        <v>479.08741173605989</v>
      </c>
      <c r="AA107" s="14">
        <f>+AA106*(1+'SImple Return'!M106)</f>
        <v>200.05836960823132</v>
      </c>
      <c r="AB107" s="14">
        <f>+AB106*(1+'SImple Return'!N106)</f>
        <v>140.99926668296249</v>
      </c>
    </row>
    <row r="108" spans="1:28">
      <c r="A108" s="8">
        <v>38366</v>
      </c>
      <c r="B108" s="10">
        <v>1141.07</v>
      </c>
      <c r="C108" s="10">
        <v>247.66</v>
      </c>
      <c r="D108" s="10">
        <v>142.05000000000001</v>
      </c>
      <c r="E108" s="14">
        <v>1639</v>
      </c>
      <c r="F108" s="14">
        <v>1426.49</v>
      </c>
      <c r="G108" s="14">
        <v>2083.5100000000002</v>
      </c>
      <c r="H108" s="14">
        <v>1243.9100000000001</v>
      </c>
      <c r="I108" s="14">
        <v>1583.16</v>
      </c>
      <c r="J108" s="14">
        <v>1595.32</v>
      </c>
      <c r="K108" s="14">
        <v>1706.03</v>
      </c>
      <c r="L108" s="14">
        <v>5011.08</v>
      </c>
      <c r="M108" s="14">
        <v>2080.4899999999998</v>
      </c>
      <c r="N108" s="14">
        <v>1468.8</v>
      </c>
      <c r="P108" s="14">
        <f>+P107*(1+'SImple Return'!B107)</f>
        <v>140.19609047683403</v>
      </c>
      <c r="Q108" s="14">
        <f>+Q107*(1+'SImple Return'!C107)</f>
        <v>115.50228523458632</v>
      </c>
      <c r="R108" s="14">
        <f>+R107*(1+'SImple Return'!D107)</f>
        <v>163.87863405629895</v>
      </c>
      <c r="S108" s="14">
        <f>+S107*(1+'SImple Return'!E107)</f>
        <v>163.54837100234485</v>
      </c>
      <c r="T108" s="14">
        <f>+T107*(1+'SImple Return'!F107)</f>
        <v>140.04417828391908</v>
      </c>
      <c r="U108" s="14">
        <f>+U107*(1+'SImple Return'!G107)</f>
        <v>204.15760283771328</v>
      </c>
      <c r="V108" s="14">
        <f>+V107*(1+'SImple Return'!H107)</f>
        <v>123.94109382939935</v>
      </c>
      <c r="W108" s="14">
        <f>+W107*(1+'SImple Return'!I107)</f>
        <v>157.85663718578945</v>
      </c>
      <c r="X108" s="14">
        <f>+X107*(1+'SImple Return'!J107)</f>
        <v>160.70352872440083</v>
      </c>
      <c r="Y108" s="14">
        <f>+Y107*(1+'SImple Return'!K107)</f>
        <v>165.71442447790187</v>
      </c>
      <c r="Z108" s="14">
        <f>+Z107*(1+'SImple Return'!L107)</f>
        <v>488.05259313367367</v>
      </c>
      <c r="AA108" s="14">
        <f>+AA107*(1+'SImple Return'!M107)</f>
        <v>205.82607835377939</v>
      </c>
      <c r="AB108" s="14">
        <f>+AB107*(1+'SImple Return'!N107)</f>
        <v>143.61280860425313</v>
      </c>
    </row>
    <row r="109" spans="1:28">
      <c r="A109" s="8">
        <v>38373</v>
      </c>
      <c r="B109" s="10">
        <v>1128.22</v>
      </c>
      <c r="C109" s="10">
        <v>247.1</v>
      </c>
      <c r="D109" s="10">
        <v>142.15</v>
      </c>
      <c r="E109" s="14">
        <v>1644.95</v>
      </c>
      <c r="F109" s="14">
        <v>1433.46</v>
      </c>
      <c r="G109" s="14">
        <v>2125.04</v>
      </c>
      <c r="H109" s="14">
        <v>1251.6600000000001</v>
      </c>
      <c r="I109" s="14">
        <v>1591.59</v>
      </c>
      <c r="J109" s="14">
        <v>1601.58</v>
      </c>
      <c r="K109" s="14">
        <v>1740.56</v>
      </c>
      <c r="L109" s="14">
        <v>5000.8100000000004</v>
      </c>
      <c r="M109" s="14">
        <v>2101.04</v>
      </c>
      <c r="N109" s="14">
        <v>1473.22</v>
      </c>
      <c r="P109" s="14">
        <f>+P108*(1+'SImple Return'!B108)</f>
        <v>138.61729183816391</v>
      </c>
      <c r="Q109" s="14">
        <f>+Q108*(1+'SImple Return'!C108)</f>
        <v>115.24111556757765</v>
      </c>
      <c r="R109" s="14">
        <f>+R108*(1+'SImple Return'!D108)</f>
        <v>163.99400092293484</v>
      </c>
      <c r="S109" s="14">
        <f>+S108*(1+'SImple Return'!E108)</f>
        <v>164.1420944968317</v>
      </c>
      <c r="T109" s="14">
        <f>+T108*(1+'SImple Return'!F108)</f>
        <v>140.72845081484388</v>
      </c>
      <c r="U109" s="14">
        <f>+U108*(1+'SImple Return'!G108)</f>
        <v>208.22701706939452</v>
      </c>
      <c r="V109" s="14">
        <f>+V108*(1+'SImple Return'!H108)</f>
        <v>124.71329075456102</v>
      </c>
      <c r="W109" s="14">
        <f>+W108*(1+'SImple Return'!I108)</f>
        <v>158.69719117368467</v>
      </c>
      <c r="X109" s="14">
        <f>+X108*(1+'SImple Return'!J108)</f>
        <v>161.33412577691365</v>
      </c>
      <c r="Y109" s="14">
        <f>+Y108*(1+'SImple Return'!K108)</f>
        <v>169.06847984458472</v>
      </c>
      <c r="Z109" s="14">
        <f>+Z108*(1+'SImple Return'!L108)</f>
        <v>487.05234964694375</v>
      </c>
      <c r="AA109" s="14">
        <f>+AA108*(1+'SImple Return'!M108)</f>
        <v>207.85912148793057</v>
      </c>
      <c r="AB109" s="14">
        <f>+AB108*(1+'SImple Return'!N108)</f>
        <v>144.04497677829372</v>
      </c>
    </row>
    <row r="110" spans="1:28">
      <c r="A110" s="8">
        <v>38380</v>
      </c>
      <c r="B110" s="10">
        <v>1133.3900000000001</v>
      </c>
      <c r="C110" s="10">
        <v>247.19</v>
      </c>
      <c r="D110" s="10">
        <v>141.34</v>
      </c>
      <c r="E110" s="14">
        <v>1671.95</v>
      </c>
      <c r="F110" s="14">
        <v>1437.13</v>
      </c>
      <c r="G110" s="14">
        <v>2163.19</v>
      </c>
      <c r="H110" s="14">
        <v>1269.31</v>
      </c>
      <c r="I110" s="14">
        <v>1639.67</v>
      </c>
      <c r="J110" s="14">
        <v>1578.37</v>
      </c>
      <c r="K110" s="14">
        <v>1714.63</v>
      </c>
      <c r="L110" s="14">
        <v>4901.1400000000003</v>
      </c>
      <c r="M110" s="14">
        <v>2160.31</v>
      </c>
      <c r="N110" s="14">
        <v>1487.97</v>
      </c>
      <c r="P110" s="14">
        <f>+P109*(1+'SImple Return'!B109)</f>
        <v>139.25249720485064</v>
      </c>
      <c r="Q110" s="14">
        <f>+Q109*(1+'SImple Return'!C109)</f>
        <v>115.2830892640612</v>
      </c>
      <c r="R110" s="14">
        <f>+R109*(1+'SImple Return'!D109)</f>
        <v>163.05952930318404</v>
      </c>
      <c r="S110" s="14">
        <f>+S109*(1+'SImple Return'!E109)</f>
        <v>166.83630195080565</v>
      </c>
      <c r="T110" s="14">
        <f>+T109*(1+'SImple Return'!F109)</f>
        <v>141.08874926369526</v>
      </c>
      <c r="U110" s="14">
        <f>+U109*(1+'SImple Return'!G109)</f>
        <v>211.96523409175524</v>
      </c>
      <c r="V110" s="14">
        <f>+V109*(1+'SImple Return'!H109)</f>
        <v>126.47190697767111</v>
      </c>
      <c r="W110" s="14">
        <f>+W109*(1+'SImple Return'!I109)</f>
        <v>163.49124049017371</v>
      </c>
      <c r="X110" s="14">
        <f>+X109*(1+'SImple Return'!J109)</f>
        <v>158.99608143365126</v>
      </c>
      <c r="Y110" s="14">
        <f>+Y109*(1+'SImple Return'!K109)</f>
        <v>166.5497814473045</v>
      </c>
      <c r="Z110" s="14">
        <f>+Z109*(1+'SImple Return'!L109)</f>
        <v>477.34502069637159</v>
      </c>
      <c r="AA110" s="14">
        <f>+AA109*(1+'SImple Return'!M109)</f>
        <v>213.72279382667216</v>
      </c>
      <c r="AB110" s="14">
        <f>+AB109*(1+'SImple Return'!N109)</f>
        <v>145.48716695184541</v>
      </c>
    </row>
    <row r="111" spans="1:28">
      <c r="A111" s="8">
        <v>38387</v>
      </c>
      <c r="B111" s="10">
        <v>1157.97</v>
      </c>
      <c r="C111" s="10">
        <v>247.19</v>
      </c>
      <c r="D111" s="10">
        <v>142.77000000000001</v>
      </c>
      <c r="E111" s="14">
        <v>1720.09</v>
      </c>
      <c r="F111" s="14">
        <v>1477.32</v>
      </c>
      <c r="G111" s="14">
        <v>2255.56</v>
      </c>
      <c r="H111" s="14">
        <v>1315.87</v>
      </c>
      <c r="I111" s="14">
        <v>1658.01</v>
      </c>
      <c r="J111" s="14">
        <v>1632.75</v>
      </c>
      <c r="K111" s="14">
        <v>1800.97</v>
      </c>
      <c r="L111" s="14">
        <v>4884.55</v>
      </c>
      <c r="M111" s="14">
        <v>2234.6799999999998</v>
      </c>
      <c r="N111" s="14">
        <v>1533.08</v>
      </c>
      <c r="P111" s="14">
        <f>+P110*(1+'SImple Return'!B110)</f>
        <v>142.27248713002663</v>
      </c>
      <c r="Q111" s="14">
        <f>+Q110*(1+'SImple Return'!C110)</f>
        <v>115.2830892640612</v>
      </c>
      <c r="R111" s="14">
        <f>+R110*(1+'SImple Return'!D110)</f>
        <v>164.70927549607742</v>
      </c>
      <c r="S111" s="14">
        <f>+S110*(1+'SImple Return'!E110)</f>
        <v>171.63997405577993</v>
      </c>
      <c r="T111" s="14">
        <f>+T110*(1+'SImple Return'!F110)</f>
        <v>145.0343608874926</v>
      </c>
      <c r="U111" s="14">
        <f>+U110*(1+'SImple Return'!G110)</f>
        <v>221.01632469084984</v>
      </c>
      <c r="V111" s="14">
        <f>+V110*(1+'SImple Return'!H110)</f>
        <v>131.11106682741655</v>
      </c>
      <c r="W111" s="14">
        <f>+W110*(1+'SImple Return'!I110)</f>
        <v>165.31991903560649</v>
      </c>
      <c r="X111" s="14">
        <f>+X110*(1+'SImple Return'!J110)</f>
        <v>164.47401557353098</v>
      </c>
      <c r="Y111" s="14">
        <f>+Y110*(1+'SImple Return'!K110)</f>
        <v>174.93637688198152</v>
      </c>
      <c r="Z111" s="14">
        <f>+Z110*(1+'SImple Return'!L110)</f>
        <v>475.72924275626934</v>
      </c>
      <c r="AA111" s="14">
        <f>+AA110*(1+'SImple Return'!M110)</f>
        <v>221.08033240997253</v>
      </c>
      <c r="AB111" s="14">
        <f>+AB110*(1+'SImple Return'!N110)</f>
        <v>149.89782449278894</v>
      </c>
    </row>
    <row r="112" spans="1:28">
      <c r="A112" s="8">
        <v>38394</v>
      </c>
      <c r="B112" s="10">
        <v>1163.3</v>
      </c>
      <c r="C112" s="10">
        <v>247.86</v>
      </c>
      <c r="D112" s="10">
        <v>144.72999999999999</v>
      </c>
      <c r="E112" s="14">
        <v>1717.4</v>
      </c>
      <c r="F112" s="14">
        <v>1475.09</v>
      </c>
      <c r="G112" s="14">
        <v>2265.2399999999998</v>
      </c>
      <c r="H112" s="14">
        <v>1318.19</v>
      </c>
      <c r="I112" s="14">
        <v>1669.56</v>
      </c>
      <c r="J112" s="14">
        <v>1620.7</v>
      </c>
      <c r="K112" s="14">
        <v>1780.69</v>
      </c>
      <c r="L112" s="14">
        <v>4829.04</v>
      </c>
      <c r="M112" s="14">
        <v>2235.48</v>
      </c>
      <c r="N112" s="14">
        <v>1530.28</v>
      </c>
      <c r="P112" s="14">
        <f>+P111*(1+'SImple Return'!B111)</f>
        <v>142.92735068987966</v>
      </c>
      <c r="Q112" s="14">
        <f>+Q111*(1+'SImple Return'!C111)</f>
        <v>115.59556011566087</v>
      </c>
      <c r="R112" s="14">
        <f>+R111*(1+'SImple Return'!D111)</f>
        <v>166.97046608214106</v>
      </c>
      <c r="S112" s="14">
        <f>+S111*(1+'SImple Return'!E111)</f>
        <v>171.37155116499514</v>
      </c>
      <c r="T112" s="14">
        <f>+T111*(1+'SImple Return'!F111)</f>
        <v>144.81543294718236</v>
      </c>
      <c r="U112" s="14">
        <f>+U111*(1+'SImple Return'!G111)</f>
        <v>221.9648421423951</v>
      </c>
      <c r="V112" s="14">
        <f>+V111*(1+'SImple Return'!H111)</f>
        <v>131.34222771340043</v>
      </c>
      <c r="W112" s="14">
        <f>+W111*(1+'SImple Return'!I111)</f>
        <v>166.47156773788288</v>
      </c>
      <c r="X112" s="14">
        <f>+X111*(1+'SImple Return'!J111)</f>
        <v>163.26016661462052</v>
      </c>
      <c r="Y112" s="14">
        <f>+Y111*(1+'SImple Return'!K111)</f>
        <v>172.96648858669255</v>
      </c>
      <c r="Z112" s="14">
        <f>+Z111*(1+'SImple Return'!L111)</f>
        <v>470.32286340394404</v>
      </c>
      <c r="AA112" s="14">
        <f>+AA111*(1+'SImple Return'!M111)</f>
        <v>221.15947764147234</v>
      </c>
      <c r="AB112" s="14">
        <f>+AB111*(1+'SImple Return'!N111)</f>
        <v>149.6240527988266</v>
      </c>
    </row>
    <row r="113" spans="1:28">
      <c r="A113" s="8">
        <v>38401</v>
      </c>
      <c r="B113" s="10">
        <v>1169.1600000000001</v>
      </c>
      <c r="C113" s="10">
        <v>247.46</v>
      </c>
      <c r="D113" s="10">
        <v>145.55000000000001</v>
      </c>
      <c r="E113" s="14">
        <v>1729.09</v>
      </c>
      <c r="F113" s="14">
        <v>1475.01</v>
      </c>
      <c r="G113" s="14">
        <v>2233.13</v>
      </c>
      <c r="H113" s="14">
        <v>1327.92</v>
      </c>
      <c r="I113" s="14">
        <v>1680.01</v>
      </c>
      <c r="J113" s="14">
        <v>1627.91</v>
      </c>
      <c r="K113" s="14">
        <v>1788.03</v>
      </c>
      <c r="L113" s="14">
        <v>5014.18</v>
      </c>
      <c r="M113" s="14">
        <v>2203.39</v>
      </c>
      <c r="N113" s="14">
        <v>1528.84</v>
      </c>
      <c r="P113" s="14">
        <f>+P112*(1+'SImple Return'!B112)</f>
        <v>143.64733201459617</v>
      </c>
      <c r="Q113" s="14">
        <f>+Q112*(1+'SImple Return'!C112)</f>
        <v>115.40901035351182</v>
      </c>
      <c r="R113" s="14">
        <f>+R112*(1+'SImple Return'!D112)</f>
        <v>167.91647438855549</v>
      </c>
      <c r="S113" s="14">
        <f>+S112*(1+'SImple Return'!E112)</f>
        <v>172.53804320710458</v>
      </c>
      <c r="T113" s="14">
        <f>+T112*(1+'SImple Return'!F112)</f>
        <v>144.80757903004118</v>
      </c>
      <c r="U113" s="14">
        <f>+U112*(1+'SImple Return'!G112)</f>
        <v>218.81846865384983</v>
      </c>
      <c r="V113" s="14">
        <f>+V112*(1+'SImple Return'!H112)</f>
        <v>132.31170849815177</v>
      </c>
      <c r="W113" s="14">
        <f>+W112*(1+'SImple Return'!I112)</f>
        <v>167.51353561137103</v>
      </c>
      <c r="X113" s="14">
        <f>+X112*(1+'SImple Return'!J112)</f>
        <v>163.98646130289808</v>
      </c>
      <c r="Y113" s="14">
        <f>+Y112*(1+'SImple Return'!K112)</f>
        <v>173.67945604662455</v>
      </c>
      <c r="Z113" s="14">
        <f>+Z112*(1+'SImple Return'!L112)</f>
        <v>488.35451667884058</v>
      </c>
      <c r="AA113" s="14">
        <f>+AA112*(1+'SImple Return'!M112)</f>
        <v>217.98476454293649</v>
      </c>
      <c r="AB113" s="14">
        <f>+AB112*(1+'SImple Return'!N112)</f>
        <v>149.48325592764596</v>
      </c>
    </row>
    <row r="114" spans="1:28">
      <c r="A114" s="8">
        <v>38408</v>
      </c>
      <c r="B114" s="10">
        <v>1177.1400000000001</v>
      </c>
      <c r="C114" s="10">
        <v>246.87</v>
      </c>
      <c r="D114" s="10">
        <v>143.26</v>
      </c>
      <c r="E114" s="14">
        <v>1681.85</v>
      </c>
      <c r="F114" s="14">
        <v>1464.62</v>
      </c>
      <c r="G114" s="14">
        <v>2225.88</v>
      </c>
      <c r="H114" s="14">
        <v>1288.1099999999999</v>
      </c>
      <c r="I114" s="14">
        <v>1663.62</v>
      </c>
      <c r="J114" s="14">
        <v>1593.82</v>
      </c>
      <c r="K114" s="14">
        <v>1772.86</v>
      </c>
      <c r="L114" s="14">
        <v>4947.3500000000004</v>
      </c>
      <c r="M114" s="14">
        <v>2162.85</v>
      </c>
      <c r="N114" s="14">
        <v>1516.02</v>
      </c>
      <c r="P114" s="14">
        <f>+P113*(1+'SImple Return'!B113)</f>
        <v>144.62778439876641</v>
      </c>
      <c r="Q114" s="14">
        <f>+Q113*(1+'SImple Return'!C113)</f>
        <v>115.13384945434196</v>
      </c>
      <c r="R114" s="14">
        <f>+R113*(1+'SImple Return'!D113)</f>
        <v>165.27457314259328</v>
      </c>
      <c r="S114" s="14">
        <f>+S113*(1+'SImple Return'!E113)</f>
        <v>167.82417801726274</v>
      </c>
      <c r="T114" s="14">
        <f>+T113*(1+'SImple Return'!F113)</f>
        <v>143.78755154133117</v>
      </c>
      <c r="U114" s="14">
        <f>+U113*(1+'SImple Return'!G113)</f>
        <v>218.10806043859125</v>
      </c>
      <c r="V114" s="14">
        <f>+V113*(1+'SImple Return'!H113)</f>
        <v>128.34510726064391</v>
      </c>
      <c r="W114" s="14">
        <f>+W113*(1+'SImple Return'!I113)</f>
        <v>165.87929126242645</v>
      </c>
      <c r="X114" s="14">
        <f>+X113*(1+'SImple Return'!J113)</f>
        <v>160.55242719424601</v>
      </c>
      <c r="Y114" s="14">
        <f>+Y113*(1+'SImple Return'!K113)</f>
        <v>172.20592520641085</v>
      </c>
      <c r="Z114" s="14">
        <f>+Z113*(1+'SImple Return'!L113)</f>
        <v>481.8456294131966</v>
      </c>
      <c r="AA114" s="14">
        <f>+AA113*(1+'SImple Return'!M113)</f>
        <v>213.97407993668401</v>
      </c>
      <c r="AB114" s="14">
        <f>+AB113*(1+'SImple Return'!N113)</f>
        <v>148.22977267171831</v>
      </c>
    </row>
    <row r="115" spans="1:28">
      <c r="A115" s="8">
        <v>38415</v>
      </c>
      <c r="B115" s="10">
        <v>1192.43</v>
      </c>
      <c r="C115" s="10">
        <v>247.25</v>
      </c>
      <c r="D115" s="10">
        <v>144.77000000000001</v>
      </c>
      <c r="E115" s="14">
        <v>1676</v>
      </c>
      <c r="F115" s="14">
        <v>1485.51</v>
      </c>
      <c r="G115" s="14">
        <v>2234.33</v>
      </c>
      <c r="H115" s="14">
        <v>1289.55</v>
      </c>
      <c r="I115" s="14">
        <v>1655.19</v>
      </c>
      <c r="J115" s="14">
        <v>1597.27</v>
      </c>
      <c r="K115" s="14">
        <v>1801.59</v>
      </c>
      <c r="L115" s="14">
        <v>4928.28</v>
      </c>
      <c r="M115" s="14">
        <v>2149.71</v>
      </c>
      <c r="N115" s="14">
        <v>1545.12</v>
      </c>
      <c r="P115" s="14">
        <f>+P114*(1+'SImple Return'!B114)</f>
        <v>146.50637048322292</v>
      </c>
      <c r="Q115" s="14">
        <f>+Q114*(1+'SImple Return'!C114)</f>
        <v>115.31107172838355</v>
      </c>
      <c r="R115" s="14">
        <f>+R114*(1+'SImple Return'!D114)</f>
        <v>167.01661282879542</v>
      </c>
      <c r="S115" s="14">
        <f>+S114*(1+'SImple Return'!E114)</f>
        <v>167.24043306890172</v>
      </c>
      <c r="T115" s="14">
        <f>+T114*(1+'SImple Return'!F114)</f>
        <v>145.83840565482029</v>
      </c>
      <c r="U115" s="14">
        <f>+U114*(1+'SImple Return'!G114)</f>
        <v>218.93605346189264</v>
      </c>
      <c r="V115" s="14">
        <f>+V114*(1+'SImple Return'!H114)</f>
        <v>128.48858643125462</v>
      </c>
      <c r="W115" s="14">
        <f>+W114*(1+'SImple Return'!I114)</f>
        <v>165.03873727453126</v>
      </c>
      <c r="X115" s="14">
        <f>+X114*(1+'SImple Return'!J114)</f>
        <v>160.89996071360213</v>
      </c>
      <c r="Y115" s="14">
        <f>+Y114*(1+'SImple Return'!K114)</f>
        <v>174.99660029140355</v>
      </c>
      <c r="Z115" s="14">
        <f>+Z114*(1+'SImple Return'!L114)</f>
        <v>479.98831263696081</v>
      </c>
      <c r="AA115" s="14">
        <f>+AA114*(1+'SImple Return'!M114)</f>
        <v>212.67411950929977</v>
      </c>
      <c r="AB115" s="14">
        <f>+AB114*(1+'SImple Return'!N114)</f>
        <v>151.07504277682708</v>
      </c>
    </row>
    <row r="116" spans="1:28">
      <c r="A116" s="8">
        <v>38422</v>
      </c>
      <c r="B116" s="10">
        <v>1181.57</v>
      </c>
      <c r="C116" s="10">
        <v>246.43</v>
      </c>
      <c r="D116" s="10">
        <v>143.69999999999999</v>
      </c>
      <c r="E116" s="14">
        <v>1639.72</v>
      </c>
      <c r="F116" s="14">
        <v>1473.71</v>
      </c>
      <c r="G116" s="14">
        <v>2228.64</v>
      </c>
      <c r="H116" s="14">
        <v>1264.43</v>
      </c>
      <c r="I116" s="14">
        <v>1635.52</v>
      </c>
      <c r="J116" s="14">
        <v>1565.43</v>
      </c>
      <c r="K116" s="14">
        <v>1783.85</v>
      </c>
      <c r="L116" s="14">
        <v>5029.25</v>
      </c>
      <c r="M116" s="14">
        <v>2112.25</v>
      </c>
      <c r="N116" s="14">
        <v>1521.72</v>
      </c>
      <c r="P116" s="14">
        <f>+P115*(1+'SImple Return'!B115)</f>
        <v>145.1720706220589</v>
      </c>
      <c r="Q116" s="14">
        <f>+Q115*(1+'SImple Return'!C115)</f>
        <v>114.928644715978</v>
      </c>
      <c r="R116" s="14">
        <f>+R115*(1+'SImple Return'!D115)</f>
        <v>165.78218735579125</v>
      </c>
      <c r="S116" s="14">
        <f>+S115*(1+'SImple Return'!E115)</f>
        <v>163.6202165344508</v>
      </c>
      <c r="T116" s="14">
        <f>+T115*(1+'SImple Return'!F115)</f>
        <v>144.67995287649711</v>
      </c>
      <c r="U116" s="14">
        <f>+U115*(1+'SImple Return'!G115)</f>
        <v>218.37850549708969</v>
      </c>
      <c r="V116" s="14">
        <f>+V115*(1+'SImple Return'!H115)</f>
        <v>125.98567201060159</v>
      </c>
      <c r="W116" s="14">
        <f>+W115*(1+'SImple Return'!I115)</f>
        <v>163.07744463610905</v>
      </c>
      <c r="X116" s="14">
        <f>+X115*(1+'SImple Return'!J115)</f>
        <v>157.6925789001823</v>
      </c>
      <c r="Y116" s="14">
        <f>+Y115*(1+'SImple Return'!K115)</f>
        <v>173.27343370568232</v>
      </c>
      <c r="Z116" s="14">
        <f>+Z115*(1+'SImple Return'!L115)</f>
        <v>489.82225468711914</v>
      </c>
      <c r="AA116" s="14">
        <f>+AA115*(1+'SImple Return'!M115)</f>
        <v>208.96814404432152</v>
      </c>
      <c r="AB116" s="14">
        <f>+AB115*(1+'SImple Return'!N115)</f>
        <v>148.78709362014169</v>
      </c>
    </row>
    <row r="117" spans="1:28">
      <c r="A117" s="8">
        <v>38429</v>
      </c>
      <c r="B117" s="10">
        <v>1169.19</v>
      </c>
      <c r="C117" s="10">
        <v>245.79</v>
      </c>
      <c r="D117" s="10">
        <v>143.61000000000001</v>
      </c>
      <c r="E117" s="14">
        <v>1641.73</v>
      </c>
      <c r="F117" s="14">
        <v>1470.55</v>
      </c>
      <c r="G117" s="14">
        <v>2247.6799999999998</v>
      </c>
      <c r="H117" s="14">
        <v>1260.3699999999999</v>
      </c>
      <c r="I117" s="14">
        <v>1632.84</v>
      </c>
      <c r="J117" s="14">
        <v>1563.41</v>
      </c>
      <c r="K117" s="14">
        <v>1801.74</v>
      </c>
      <c r="L117" s="14">
        <v>4950.6499999999996</v>
      </c>
      <c r="M117" s="14">
        <v>2138.27</v>
      </c>
      <c r="N117" s="14">
        <v>1522.59</v>
      </c>
      <c r="P117" s="14">
        <f>+P116*(1+'SImple Return'!B116)</f>
        <v>143.65101792581484</v>
      </c>
      <c r="Q117" s="14">
        <f>+Q116*(1+'SImple Return'!C116)</f>
        <v>114.6301650965395</v>
      </c>
      <c r="R117" s="14">
        <f>+R116*(1+'SImple Return'!D116)</f>
        <v>165.67835717581897</v>
      </c>
      <c r="S117" s="14">
        <f>+S116*(1+'SImple Return'!E116)</f>
        <v>163.82078531157998</v>
      </c>
      <c r="T117" s="14">
        <f>+T116*(1+'SImple Return'!F116)</f>
        <v>144.36972314942074</v>
      </c>
      <c r="U117" s="14">
        <f>+U116*(1+'SImple Return'!G116)</f>
        <v>220.2441844513688</v>
      </c>
      <c r="V117" s="14">
        <f>+V116*(1+'SImple Return'!H116)</f>
        <v>125.58114046012979</v>
      </c>
      <c r="W117" s="14">
        <f>+W116*(1+'SImple Return'!I116)</f>
        <v>162.81022225324318</v>
      </c>
      <c r="X117" s="14">
        <f>+X116*(1+'SImple Return'!J116)</f>
        <v>157.48909550624046</v>
      </c>
      <c r="Y117" s="14">
        <f>+Y116*(1+'SImple Return'!K116)</f>
        <v>175.01117047110245</v>
      </c>
      <c r="Z117" s="14">
        <f>+Z116*(1+'SImple Return'!L116)</f>
        <v>482.16703189676122</v>
      </c>
      <c r="AA117" s="14">
        <f>+AA116*(1+'SImple Return'!M116)</f>
        <v>211.54234269885259</v>
      </c>
      <c r="AB117" s="14">
        <f>+AB116*(1+'SImple Return'!N116)</f>
        <v>148.87215839647999</v>
      </c>
    </row>
    <row r="118" spans="1:28">
      <c r="A118" s="8">
        <v>38436</v>
      </c>
      <c r="B118" s="10">
        <v>1147.04</v>
      </c>
      <c r="C118" s="10">
        <v>243.8</v>
      </c>
      <c r="D118" s="10">
        <v>139.30000000000001</v>
      </c>
      <c r="E118" s="14">
        <v>1610.81</v>
      </c>
      <c r="F118" s="14">
        <v>1437.43</v>
      </c>
      <c r="G118" s="14">
        <v>2136.6999999999998</v>
      </c>
      <c r="H118" s="14">
        <v>1241.6400000000001</v>
      </c>
      <c r="I118" s="14">
        <v>1580.82</v>
      </c>
      <c r="J118" s="14">
        <v>1560.5</v>
      </c>
      <c r="K118" s="14">
        <v>1741.27</v>
      </c>
      <c r="L118" s="14">
        <v>4808.8100000000004</v>
      </c>
      <c r="M118" s="14">
        <v>2054.86</v>
      </c>
      <c r="N118" s="14">
        <v>1487.45</v>
      </c>
      <c r="P118" s="14">
        <f>+P117*(1+'SImple Return'!B117)</f>
        <v>140.92958680935234</v>
      </c>
      <c r="Q118" s="14">
        <f>+Q117*(1+'SImple Return'!C117)</f>
        <v>113.70208002984796</v>
      </c>
      <c r="R118" s="14">
        <f>+R117*(1+'SImple Return'!D117)</f>
        <v>160.70604522381157</v>
      </c>
      <c r="S118" s="14">
        <f>+S117*(1+'SImple Return'!E117)</f>
        <v>160.73541884947349</v>
      </c>
      <c r="T118" s="14">
        <f>+T117*(1+'SImple Return'!F117)</f>
        <v>141.11820145297463</v>
      </c>
      <c r="U118" s="14">
        <f>+U117*(1+'SImple Return'!G117)</f>
        <v>209.36954945421044</v>
      </c>
      <c r="V118" s="14">
        <f>+V117*(1+'SImple Return'!H117)</f>
        <v>123.71491485906168</v>
      </c>
      <c r="W118" s="14">
        <f>+W117*(1+'SImple Return'!I117)</f>
        <v>157.6233161500036</v>
      </c>
      <c r="X118" s="14">
        <f>+X117*(1+'SImple Return'!J117)</f>
        <v>157.19595853774007</v>
      </c>
      <c r="Y118" s="14">
        <f>+Y117*(1+'SImple Return'!K117)</f>
        <v>169.13744536182608</v>
      </c>
      <c r="Z118" s="14">
        <f>+Z117*(1+'SImple Return'!L117)</f>
        <v>468.35256878500087</v>
      </c>
      <c r="AA118" s="14">
        <f>+AA117*(1+'SImple Return'!M117)</f>
        <v>203.2904629996045</v>
      </c>
      <c r="AB118" s="14">
        <f>+AB117*(1+'SImple Return'!N117)</f>
        <v>145.43632363725243</v>
      </c>
    </row>
    <row r="119" spans="1:28">
      <c r="A119" s="8">
        <v>38443</v>
      </c>
      <c r="B119" s="10">
        <v>1148.1600000000001</v>
      </c>
      <c r="C119" s="10">
        <v>244.99</v>
      </c>
      <c r="D119" s="10">
        <v>139.13</v>
      </c>
      <c r="E119" s="14">
        <v>1625</v>
      </c>
      <c r="F119" s="14">
        <v>1452.59</v>
      </c>
      <c r="G119" s="14">
        <v>2159.5300000000002</v>
      </c>
      <c r="H119" s="14">
        <v>1248.79</v>
      </c>
      <c r="I119" s="14">
        <v>1586.95</v>
      </c>
      <c r="J119" s="14">
        <v>1592.86</v>
      </c>
      <c r="K119" s="14">
        <v>1742.74</v>
      </c>
      <c r="L119" s="14">
        <v>4855.1000000000004</v>
      </c>
      <c r="M119" s="14">
        <v>2077.75</v>
      </c>
      <c r="N119" s="14">
        <v>1505.12</v>
      </c>
      <c r="P119" s="14">
        <f>+P118*(1+'SImple Return'!B118)</f>
        <v>141.0671941615166</v>
      </c>
      <c r="Q119" s="14">
        <f>+Q118*(1+'SImple Return'!C118)</f>
        <v>114.2570655722414</v>
      </c>
      <c r="R119" s="14">
        <f>+R118*(1+'SImple Return'!D118)</f>
        <v>160.50992155053052</v>
      </c>
      <c r="S119" s="14">
        <f>+S118*(1+'SImple Return'!E118)</f>
        <v>162.1513745447287</v>
      </c>
      <c r="T119" s="14">
        <f>+T118*(1+'SImple Return'!F118)</f>
        <v>142.60651875122713</v>
      </c>
      <c r="U119" s="14">
        <f>+U118*(1+'SImple Return'!G118)</f>
        <v>211.60660042722478</v>
      </c>
      <c r="V119" s="14">
        <f>+V118*(1+'SImple Return'!H118)</f>
        <v>124.42732879646888</v>
      </c>
      <c r="W119" s="14">
        <f>+W118*(1+'SImple Return'!I118)</f>
        <v>158.23453749588711</v>
      </c>
      <c r="X119" s="14">
        <f>+X118*(1+'SImple Return'!J118)</f>
        <v>160.45572221494689</v>
      </c>
      <c r="Y119" s="14">
        <f>+Y118*(1+'SImple Return'!K118)</f>
        <v>169.28023312287513</v>
      </c>
      <c r="Z119" s="14">
        <f>+Z118*(1+'SImple Return'!L118)</f>
        <v>472.86096907718496</v>
      </c>
      <c r="AA119" s="14">
        <f>+AA118*(1+'SImple Return'!M118)</f>
        <v>205.55500593589255</v>
      </c>
      <c r="AB119" s="14">
        <f>+AB118*(1+'SImple Return'!N118)</f>
        <v>147.16401857736486</v>
      </c>
    </row>
    <row r="120" spans="1:28">
      <c r="A120" s="8">
        <v>38450</v>
      </c>
      <c r="B120" s="10">
        <v>1153.6500000000001</v>
      </c>
      <c r="C120" s="10">
        <v>244.58</v>
      </c>
      <c r="D120" s="10">
        <v>139.49</v>
      </c>
      <c r="E120" s="14">
        <v>1646.48</v>
      </c>
      <c r="F120" s="14">
        <v>1461.9</v>
      </c>
      <c r="G120" s="14">
        <v>2190.0500000000002</v>
      </c>
      <c r="H120" s="14">
        <v>1258.71</v>
      </c>
      <c r="I120" s="14">
        <v>1591.06</v>
      </c>
      <c r="J120" s="14">
        <v>1640.72</v>
      </c>
      <c r="K120" s="14">
        <v>1759.8</v>
      </c>
      <c r="L120" s="14">
        <v>4897.5</v>
      </c>
      <c r="M120" s="14">
        <v>2107.2800000000002</v>
      </c>
      <c r="N120" s="14">
        <v>1514.15</v>
      </c>
      <c r="P120" s="14">
        <f>+P119*(1+'SImple Return'!B119)</f>
        <v>141.74171591453597</v>
      </c>
      <c r="Q120" s="14">
        <f>+Q119*(1+'SImple Return'!C119)</f>
        <v>114.06585206603863</v>
      </c>
      <c r="R120" s="14">
        <f>+R119*(1+'SImple Return'!D119)</f>
        <v>160.9252422704198</v>
      </c>
      <c r="S120" s="14">
        <f>+S119*(1+'SImple Return'!E119)</f>
        <v>164.29476625255688</v>
      </c>
      <c r="T120" s="14">
        <f>+T119*(1+'SImple Return'!F119)</f>
        <v>143.52051835853129</v>
      </c>
      <c r="U120" s="14">
        <f>+U119*(1+'SImple Return'!G119)</f>
        <v>214.59717404511332</v>
      </c>
      <c r="V120" s="14">
        <f>+V119*(1+'SImple Return'!H119)</f>
        <v>125.41574086067583</v>
      </c>
      <c r="W120" s="14">
        <f>+W119*(1+'SImple Return'!I119)</f>
        <v>158.64434495617763</v>
      </c>
      <c r="X120" s="14">
        <f>+X119*(1+'SImple Return'!J119)</f>
        <v>165.27686837042029</v>
      </c>
      <c r="Y120" s="14">
        <f>+Y119*(1+'SImple Return'!K119)</f>
        <v>170.93734822729473</v>
      </c>
      <c r="Z120" s="14">
        <f>+Z119*(1+'SImple Return'!L119)</f>
        <v>476.99050401753067</v>
      </c>
      <c r="AA120" s="14">
        <f>+AA119*(1+'SImple Return'!M119)</f>
        <v>208.47645429362905</v>
      </c>
      <c r="AB120" s="14">
        <f>+AB119*(1+'SImple Return'!N119)</f>
        <v>148.04693229039347</v>
      </c>
    </row>
    <row r="121" spans="1:28">
      <c r="A121" s="8">
        <v>38457</v>
      </c>
      <c r="B121" s="10">
        <v>1123.82</v>
      </c>
      <c r="C121" s="10">
        <v>246.32</v>
      </c>
      <c r="D121" s="10">
        <v>139.6</v>
      </c>
      <c r="E121" s="14">
        <v>1656.24</v>
      </c>
      <c r="F121" s="14">
        <v>1434.91</v>
      </c>
      <c r="G121" s="14">
        <v>2113.2199999999998</v>
      </c>
      <c r="H121" s="14">
        <v>1260.29</v>
      </c>
      <c r="I121" s="14">
        <v>1582.3</v>
      </c>
      <c r="J121" s="14">
        <v>1659.92</v>
      </c>
      <c r="K121" s="14">
        <v>1730.09</v>
      </c>
      <c r="L121" s="14">
        <v>4735.5</v>
      </c>
      <c r="M121" s="14">
        <v>2083</v>
      </c>
      <c r="N121" s="14">
        <v>1489.43</v>
      </c>
      <c r="P121" s="14">
        <f>+P120*(1+'SImple Return'!B120)</f>
        <v>138.07669152609006</v>
      </c>
      <c r="Q121" s="14">
        <f>+Q120*(1+'SImple Return'!C120)</f>
        <v>114.877343531387</v>
      </c>
      <c r="R121" s="14">
        <f>+R120*(1+'SImple Return'!D120)</f>
        <v>161.05214582371926</v>
      </c>
      <c r="S121" s="14">
        <f>+S120*(1+'SImple Return'!E120)</f>
        <v>165.26867235443785</v>
      </c>
      <c r="T121" s="14">
        <f>+T120*(1+'SImple Return'!F120)</f>
        <v>140.87080306302767</v>
      </c>
      <c r="U121" s="14">
        <f>+U120*(1+'SImple Return'!G120)</f>
        <v>207.06880671017296</v>
      </c>
      <c r="V121" s="14">
        <f>+V120*(1+'SImple Return'!H120)</f>
        <v>125.57316939509587</v>
      </c>
      <c r="W121" s="14">
        <f>+W120*(1+'SImple Return'!I120)</f>
        <v>157.77088671964594</v>
      </c>
      <c r="X121" s="14">
        <f>+X120*(1+'SImple Return'!J120)</f>
        <v>167.21096795640213</v>
      </c>
      <c r="Y121" s="14">
        <f>+Y120*(1+'SImple Return'!K120)</f>
        <v>168.05148130160265</v>
      </c>
      <c r="Z121" s="14">
        <f>+Z120*(1+'SImple Return'!L120)</f>
        <v>461.21256391526623</v>
      </c>
      <c r="AA121" s="14">
        <f>+AA120*(1+'SImple Return'!M120)</f>
        <v>206.07439651761004</v>
      </c>
      <c r="AB121" s="14">
        <f>+AB120*(1+'SImple Return'!N120)</f>
        <v>145.62991933512581</v>
      </c>
    </row>
    <row r="122" spans="1:28">
      <c r="A122" s="8">
        <v>38464</v>
      </c>
      <c r="B122" s="10">
        <v>1129.8599999999999</v>
      </c>
      <c r="C122" s="10">
        <v>247.75</v>
      </c>
      <c r="D122" s="10">
        <v>141.16</v>
      </c>
      <c r="E122" s="14">
        <v>1656.96</v>
      </c>
      <c r="F122" s="14">
        <v>1454.92</v>
      </c>
      <c r="G122" s="14">
        <v>2172.66</v>
      </c>
      <c r="H122" s="14">
        <v>1270.52</v>
      </c>
      <c r="I122" s="14">
        <v>1591.42</v>
      </c>
      <c r="J122" s="14">
        <v>1664.45</v>
      </c>
      <c r="K122" s="14">
        <v>1714</v>
      </c>
      <c r="L122" s="14">
        <v>4757.6400000000003</v>
      </c>
      <c r="M122" s="14">
        <v>2108.88</v>
      </c>
      <c r="N122" s="14">
        <v>1506.77</v>
      </c>
      <c r="P122" s="14">
        <f>+P121*(1+'SImple Return'!B121)</f>
        <v>138.81878831811864</v>
      </c>
      <c r="Q122" s="14">
        <f>+Q121*(1+'SImple Return'!C121)</f>
        <v>115.54425893106986</v>
      </c>
      <c r="R122" s="14">
        <f>+R121*(1+'SImple Return'!D121)</f>
        <v>162.85186894323934</v>
      </c>
      <c r="S122" s="14">
        <f>+S121*(1+'SImple Return'!E121)</f>
        <v>165.34051788654384</v>
      </c>
      <c r="T122" s="14">
        <f>+T121*(1+'SImple Return'!F121)</f>
        <v>142.83526408796385</v>
      </c>
      <c r="U122" s="14">
        <f>+U121*(1+'SImple Return'!G121)</f>
        <v>212.89317420189303</v>
      </c>
      <c r="V122" s="14">
        <f>+V121*(1+'SImple Return'!H121)</f>
        <v>126.59246933630928</v>
      </c>
      <c r="W122" s="14">
        <f>+W121*(1+'SImple Return'!I121)</f>
        <v>158.68024050014469</v>
      </c>
      <c r="X122" s="14">
        <f>+X121*(1+'SImple Return'!J121)</f>
        <v>167.66729457746973</v>
      </c>
      <c r="Y122" s="14">
        <f>+Y121*(1+'SImple Return'!K121)</f>
        <v>166.48858669256916</v>
      </c>
      <c r="Z122" s="14">
        <f>+Z121*(1+'SImple Return'!L121)</f>
        <v>463.36888239590911</v>
      </c>
      <c r="AA122" s="14">
        <f>+AA121*(1+'SImple Return'!M121)</f>
        <v>208.63474475662866</v>
      </c>
      <c r="AB122" s="14">
        <f>+AB121*(1+'SImple Return'!N121)</f>
        <v>147.32534832559267</v>
      </c>
    </row>
    <row r="123" spans="1:28">
      <c r="A123" s="8">
        <v>38471</v>
      </c>
      <c r="B123" s="10">
        <v>1123.6400000000001</v>
      </c>
      <c r="C123" s="10">
        <v>248.1</v>
      </c>
      <c r="D123" s="10">
        <v>143.29</v>
      </c>
      <c r="E123" s="14">
        <v>1646.73</v>
      </c>
      <c r="F123" s="14">
        <v>1446.98</v>
      </c>
      <c r="G123" s="14">
        <v>2198.33</v>
      </c>
      <c r="H123" s="14">
        <v>1285.22</v>
      </c>
      <c r="I123" s="14">
        <v>1584.13</v>
      </c>
      <c r="J123" s="14">
        <v>1677.48</v>
      </c>
      <c r="K123" s="14">
        <v>1670.33</v>
      </c>
      <c r="L123" s="14">
        <v>4771.21</v>
      </c>
      <c r="M123" s="14">
        <v>2062.42</v>
      </c>
      <c r="N123" s="14">
        <v>1493.22</v>
      </c>
      <c r="P123" s="14">
        <f>+P122*(1+'SImple Return'!B122)</f>
        <v>138.05457605877794</v>
      </c>
      <c r="Q123" s="14">
        <f>+Q122*(1+'SImple Return'!C122)</f>
        <v>115.70748997295028</v>
      </c>
      <c r="R123" s="14">
        <f>+R122*(1+'SImple Return'!D122)</f>
        <v>165.30918320258405</v>
      </c>
      <c r="S123" s="14">
        <f>+S122*(1+'SImple Return'!E122)</f>
        <v>164.31971261787146</v>
      </c>
      <c r="T123" s="14">
        <f>+T122*(1+'SImple Return'!F122)</f>
        <v>142.05576281170232</v>
      </c>
      <c r="U123" s="14">
        <f>+U122*(1+'SImple Return'!G122)</f>
        <v>215.40850922060861</v>
      </c>
      <c r="V123" s="14">
        <f>+V122*(1+'SImple Return'!H122)</f>
        <v>128.05715253629336</v>
      </c>
      <c r="W123" s="14">
        <f>+W122*(1+'SImple Return'!I122)</f>
        <v>157.95335573481182</v>
      </c>
      <c r="X123" s="14">
        <f>+X122*(1+'SImple Return'!J122)</f>
        <v>168.97986320274802</v>
      </c>
      <c r="Y123" s="14">
        <f>+Y122*(1+'SImple Return'!K122)</f>
        <v>162.24672170956771</v>
      </c>
      <c r="Z123" s="14">
        <f>+Z122*(1+'SImple Return'!L122)</f>
        <v>464.69052836620369</v>
      </c>
      <c r="AA123" s="14">
        <f>+AA122*(1+'SImple Return'!M122)</f>
        <v>204.03838543727767</v>
      </c>
      <c r="AB123" s="14">
        <f>+AB122*(1+'SImple Return'!N122)</f>
        <v>146.00048887802484</v>
      </c>
    </row>
    <row r="124" spans="1:28">
      <c r="A124" s="8">
        <v>38478</v>
      </c>
      <c r="B124" s="10">
        <v>1140.6099999999999</v>
      </c>
      <c r="C124" s="10">
        <v>248.8</v>
      </c>
      <c r="D124" s="10">
        <v>143.63</v>
      </c>
      <c r="E124" s="14">
        <v>1649.74</v>
      </c>
      <c r="F124" s="14">
        <v>1478.15</v>
      </c>
      <c r="G124" s="14">
        <v>2184.8200000000002</v>
      </c>
      <c r="H124" s="14">
        <v>1285.29</v>
      </c>
      <c r="I124" s="14">
        <v>1605.64</v>
      </c>
      <c r="J124" s="14">
        <v>1688.23</v>
      </c>
      <c r="K124" s="14">
        <v>1665.79</v>
      </c>
      <c r="L124" s="14">
        <v>4906.49</v>
      </c>
      <c r="M124" s="14">
        <v>2066.35</v>
      </c>
      <c r="N124" s="14">
        <v>1516.22</v>
      </c>
      <c r="P124" s="14">
        <f>+P123*(1+'SImple Return'!B123)</f>
        <v>140.13957317148078</v>
      </c>
      <c r="Q124" s="14">
        <f>+Q123*(1+'SImple Return'!C123)</f>
        <v>116.03395205671114</v>
      </c>
      <c r="R124" s="14">
        <f>+R123*(1+'SImple Return'!D123)</f>
        <v>165.70143054914612</v>
      </c>
      <c r="S124" s="14">
        <f>+S123*(1+'SImple Return'!E123)</f>
        <v>164.62006685625892</v>
      </c>
      <c r="T124" s="14">
        <f>+T123*(1+'SImple Return'!F123)</f>
        <v>145.11584527783231</v>
      </c>
      <c r="U124" s="14">
        <f>+U123*(1+'SImple Return'!G123)</f>
        <v>214.08470025672676</v>
      </c>
      <c r="V124" s="14">
        <f>+V123*(1+'SImple Return'!H123)</f>
        <v>128.06412721819805</v>
      </c>
      <c r="W124" s="14">
        <f>+W123*(1+'SImple Return'!I123)</f>
        <v>160.09811448684343</v>
      </c>
      <c r="X124" s="14">
        <f>+X123*(1+'SImple Return'!J123)</f>
        <v>170.06275750219095</v>
      </c>
      <c r="Y124" s="14">
        <f>+Y123*(1+'SImple Return'!K123)</f>
        <v>161.80573093734819</v>
      </c>
      <c r="Z124" s="14">
        <f>+Z123*(1+'SImple Return'!L123)</f>
        <v>477.86608229851436</v>
      </c>
      <c r="AA124" s="14">
        <f>+AA123*(1+'SImple Return'!M123)</f>
        <v>204.42718638702041</v>
      </c>
      <c r="AB124" s="14">
        <f>+AB123*(1+'SImple Return'!N123)</f>
        <v>148.24932779271563</v>
      </c>
    </row>
    <row r="125" spans="1:28">
      <c r="A125" s="8">
        <v>38485</v>
      </c>
      <c r="B125" s="10">
        <v>1118.4000000000001</v>
      </c>
      <c r="C125" s="10">
        <v>247.48</v>
      </c>
      <c r="D125" s="10">
        <v>142.41</v>
      </c>
      <c r="E125" s="14">
        <v>1636.93</v>
      </c>
      <c r="F125" s="14">
        <v>1468.57</v>
      </c>
      <c r="G125" s="14">
        <v>2148.38</v>
      </c>
      <c r="H125" s="14">
        <v>1290.3800000000001</v>
      </c>
      <c r="I125" s="14">
        <v>1587.12</v>
      </c>
      <c r="J125" s="14">
        <v>1658.29</v>
      </c>
      <c r="K125" s="14">
        <v>1620.22</v>
      </c>
      <c r="L125" s="14">
        <v>4869.25</v>
      </c>
      <c r="M125" s="14">
        <v>2043.88</v>
      </c>
      <c r="N125" s="14">
        <v>1500.12</v>
      </c>
      <c r="P125" s="14">
        <f>+P124*(1+'SImple Return'!B124)</f>
        <v>137.41077023258092</v>
      </c>
      <c r="Q125" s="14">
        <f>+Q124*(1+'SImple Return'!C124)</f>
        <v>115.41833784161925</v>
      </c>
      <c r="R125" s="14">
        <f>+R124*(1+'SImple Return'!D124)</f>
        <v>164.29395477618812</v>
      </c>
      <c r="S125" s="14">
        <f>+S124*(1+'SImple Return'!E124)</f>
        <v>163.34181509754018</v>
      </c>
      <c r="T125" s="14">
        <f>+T124*(1+'SImple Return'!F124)</f>
        <v>144.1753387001767</v>
      </c>
      <c r="U125" s="14">
        <f>+U124*(1+'SImple Return'!G124)</f>
        <v>210.51404158582704</v>
      </c>
      <c r="V125" s="14">
        <f>+V124*(1+'SImple Return'!H124)</f>
        <v>128.57128623098166</v>
      </c>
      <c r="W125" s="14">
        <f>+W124*(1+'SImple Return'!I124)</f>
        <v>158.25148816942709</v>
      </c>
      <c r="X125" s="14">
        <f>+X124*(1+'SImple Return'!J124)</f>
        <v>167.04677096030056</v>
      </c>
      <c r="Y125" s="14">
        <f>+Y124*(1+'SImple Return'!K124)</f>
        <v>157.37931034482756</v>
      </c>
      <c r="Z125" s="14">
        <f>+Z124*(1+'SImple Return'!L124)</f>
        <v>474.23910396883338</v>
      </c>
      <c r="AA125" s="14">
        <f>+AA124*(1+'SImple Return'!M124)</f>
        <v>202.20419469726974</v>
      </c>
      <c r="AB125" s="14">
        <f>+AB124*(1+'SImple Return'!N124)</f>
        <v>146.67514055243205</v>
      </c>
    </row>
    <row r="126" spans="1:28">
      <c r="A126" s="8">
        <v>38492</v>
      </c>
      <c r="B126" s="10">
        <v>1137.93</v>
      </c>
      <c r="C126" s="10">
        <v>247.08</v>
      </c>
      <c r="D126" s="10">
        <v>144.13999999999999</v>
      </c>
      <c r="E126" s="14">
        <v>1632.62</v>
      </c>
      <c r="F126" s="14">
        <v>1499.13</v>
      </c>
      <c r="G126" s="14">
        <v>2168.17</v>
      </c>
      <c r="H126" s="14">
        <v>1292.3599999999999</v>
      </c>
      <c r="I126" s="14">
        <v>1599.85</v>
      </c>
      <c r="J126" s="14">
        <v>1651.88</v>
      </c>
      <c r="K126" s="14">
        <v>1634.53</v>
      </c>
      <c r="L126" s="14">
        <v>4992.03</v>
      </c>
      <c r="M126" s="14">
        <v>2058.02</v>
      </c>
      <c r="N126" s="14">
        <v>1522.56</v>
      </c>
      <c r="P126" s="14">
        <f>+P125*(1+'SImple Return'!B125)</f>
        <v>139.81029843594493</v>
      </c>
      <c r="Q126" s="14">
        <f>+Q125*(1+'SImple Return'!C125)</f>
        <v>115.23178807947021</v>
      </c>
      <c r="R126" s="14">
        <f>+R125*(1+'SImple Return'!D125)</f>
        <v>166.28980156898922</v>
      </c>
      <c r="S126" s="14">
        <f>+S125*(1+'SImple Return'!E125)</f>
        <v>162.91173975951691</v>
      </c>
      <c r="T126" s="14">
        <f>+T125*(1+'SImple Return'!F125)</f>
        <v>147.17553504810525</v>
      </c>
      <c r="U126" s="14">
        <f>+U125*(1+'SImple Return'!G125)</f>
        <v>212.45321104513289</v>
      </c>
      <c r="V126" s="14">
        <f>+V125*(1+'SImple Return'!H125)</f>
        <v>128.7685700905713</v>
      </c>
      <c r="W126" s="14">
        <f>+W125*(1+'SImple Return'!I125)</f>
        <v>159.52079448803991</v>
      </c>
      <c r="X126" s="14">
        <f>+X125*(1+'SImple Return'!J125)</f>
        <v>166.40106375477228</v>
      </c>
      <c r="Y126" s="14">
        <f>+Y125*(1+'SImple Return'!K125)</f>
        <v>158.76930548810097</v>
      </c>
      <c r="Z126" s="14">
        <f>+Z125*(1+'SImple Return'!L125)</f>
        <v>486.19722425127799</v>
      </c>
      <c r="AA126" s="14">
        <f>+AA125*(1+'SImple Return'!M125)</f>
        <v>203.60308666402872</v>
      </c>
      <c r="AB126" s="14">
        <f>+AB125*(1+'SImple Return'!N125)</f>
        <v>148.86922512833038</v>
      </c>
    </row>
    <row r="127" spans="1:28">
      <c r="A127" s="8">
        <v>38499</v>
      </c>
      <c r="B127" s="10">
        <v>1147.67</v>
      </c>
      <c r="C127" s="10">
        <v>248.01</v>
      </c>
      <c r="D127" s="10">
        <v>143.51</v>
      </c>
      <c r="E127" s="14">
        <v>1657.3</v>
      </c>
      <c r="F127" s="14">
        <v>1518.43</v>
      </c>
      <c r="G127" s="14">
        <v>2230.5700000000002</v>
      </c>
      <c r="H127" s="14">
        <v>1314.38</v>
      </c>
      <c r="I127" s="14">
        <v>1638.38</v>
      </c>
      <c r="J127" s="14">
        <v>1689.31</v>
      </c>
      <c r="K127" s="14">
        <v>1644.22</v>
      </c>
      <c r="L127" s="14">
        <v>5151.47</v>
      </c>
      <c r="M127" s="14">
        <v>2083.1</v>
      </c>
      <c r="N127" s="14">
        <v>1533.2</v>
      </c>
      <c r="P127" s="14">
        <f>+P126*(1+'SImple Return'!B126)</f>
        <v>141.0069909449447</v>
      </c>
      <c r="Q127" s="14">
        <f>+Q126*(1+'SImple Return'!C126)</f>
        <v>115.66551627646673</v>
      </c>
      <c r="R127" s="14">
        <f>+R126*(1+'SImple Return'!D126)</f>
        <v>165.56299030918305</v>
      </c>
      <c r="S127" s="14">
        <f>+S126*(1+'SImple Return'!E126)</f>
        <v>165.37444494337163</v>
      </c>
      <c r="T127" s="14">
        <f>+T126*(1+'SImple Return'!F126)</f>
        <v>149.07029255841348</v>
      </c>
      <c r="U127" s="14">
        <f>+U126*(1+'SImple Return'!G126)</f>
        <v>218.56762106335853</v>
      </c>
      <c r="V127" s="14">
        <f>+V126*(1+'SImple Return'!H126)</f>
        <v>130.96260574115968</v>
      </c>
      <c r="W127" s="14">
        <f>+W126*(1+'SImple Return'!I126)</f>
        <v>163.36261479095845</v>
      </c>
      <c r="X127" s="14">
        <f>+X126*(1+'SImple Return'!J126)</f>
        <v>170.1715506039024</v>
      </c>
      <c r="Y127" s="14">
        <f>+Y126*(1+'SImple Return'!K126)</f>
        <v>159.7105390966488</v>
      </c>
      <c r="Z127" s="14">
        <f>+Z126*(1+'SImple Return'!L126)</f>
        <v>501.72583394204986</v>
      </c>
      <c r="AA127" s="14">
        <f>+AA126*(1+'SImple Return'!M126)</f>
        <v>206.08428967154748</v>
      </c>
      <c r="AB127" s="14">
        <f>+AB126*(1+'SImple Return'!N126)</f>
        <v>149.90955756538736</v>
      </c>
    </row>
    <row r="128" spans="1:28">
      <c r="A128" s="8">
        <v>38506</v>
      </c>
      <c r="B128" s="10">
        <v>1146.6500000000001</v>
      </c>
      <c r="C128" s="10">
        <v>248.78</v>
      </c>
      <c r="D128" s="10">
        <v>145.49</v>
      </c>
      <c r="E128" s="14">
        <v>1658.67</v>
      </c>
      <c r="F128" s="14">
        <v>1537.76</v>
      </c>
      <c r="G128" s="14">
        <v>2276.37</v>
      </c>
      <c r="H128" s="14">
        <v>1328.86</v>
      </c>
      <c r="I128" s="14">
        <v>1625.5</v>
      </c>
      <c r="J128" s="14">
        <v>1683.35</v>
      </c>
      <c r="K128" s="14">
        <v>1650.92</v>
      </c>
      <c r="L128" s="14">
        <v>5295.73</v>
      </c>
      <c r="M128" s="14">
        <v>2120.75</v>
      </c>
      <c r="N128" s="14">
        <v>1538.49</v>
      </c>
      <c r="P128" s="14">
        <f>+P127*(1+'SImple Return'!B127)</f>
        <v>140.88166996350941</v>
      </c>
      <c r="Q128" s="14">
        <f>+Q127*(1+'SImple Return'!C127)</f>
        <v>116.02462456860367</v>
      </c>
      <c r="R128" s="14">
        <f>+R127*(1+'SImple Return'!D127)</f>
        <v>167.84725426857392</v>
      </c>
      <c r="S128" s="14">
        <f>+S127*(1+'SImple Return'!E127)</f>
        <v>165.51115102529553</v>
      </c>
      <c r="T128" s="14">
        <f>+T127*(1+'SImple Return'!F127)</f>
        <v>150.96799528764967</v>
      </c>
      <c r="U128" s="14">
        <f>+U127*(1+'SImple Return'!G127)</f>
        <v>223.0554412369921</v>
      </c>
      <c r="V128" s="14">
        <f>+V127*(1+'SImple Return'!H127)</f>
        <v>132.40536851230041</v>
      </c>
      <c r="W128" s="14">
        <f>+W127*(1+'SImple Return'!I127)</f>
        <v>162.07835199569266</v>
      </c>
      <c r="X128" s="14">
        <f>+X127*(1+'SImple Return'!J127)</f>
        <v>169.57117385742055</v>
      </c>
      <c r="Y128" s="14">
        <f>+Y127*(1+'SImple Return'!K127)</f>
        <v>160.36134045653225</v>
      </c>
      <c r="Z128" s="14">
        <f>+Z127*(1+'SImple Return'!L127)</f>
        <v>515.77599220842421</v>
      </c>
      <c r="AA128" s="14">
        <f>+AA127*(1+'SImple Return'!M127)</f>
        <v>209.80906212900695</v>
      </c>
      <c r="AB128" s="14">
        <f>+AB127*(1+'SImple Return'!N127)</f>
        <v>150.42679051576624</v>
      </c>
    </row>
    <row r="129" spans="1:28">
      <c r="A129" s="8">
        <v>38513</v>
      </c>
      <c r="B129" s="10">
        <v>1147.4000000000001</v>
      </c>
      <c r="C129" s="10">
        <v>247.85</v>
      </c>
      <c r="D129" s="10">
        <v>146.84</v>
      </c>
      <c r="E129" s="14">
        <v>1649.1</v>
      </c>
      <c r="F129" s="14">
        <v>1538.8</v>
      </c>
      <c r="G129" s="14">
        <v>2303.64</v>
      </c>
      <c r="H129" s="14">
        <v>1316.39</v>
      </c>
      <c r="I129" s="14">
        <v>1601.12</v>
      </c>
      <c r="J129" s="14">
        <v>1696.24</v>
      </c>
      <c r="K129" s="14">
        <v>1705.88</v>
      </c>
      <c r="L129" s="14">
        <v>5265.73</v>
      </c>
      <c r="M129" s="14">
        <v>2136.52</v>
      </c>
      <c r="N129" s="14">
        <v>1534.84</v>
      </c>
      <c r="P129" s="14">
        <f>+P128*(1+'SImple Return'!B128)</f>
        <v>140.97381774397655</v>
      </c>
      <c r="Q129" s="14">
        <f>+Q128*(1+'SImple Return'!C128)</f>
        <v>115.59089637160713</v>
      </c>
      <c r="R129" s="14">
        <f>+R128*(1+'SImple Return'!D128)</f>
        <v>169.40470696815859</v>
      </c>
      <c r="S129" s="14">
        <f>+S128*(1+'SImple Return'!E128)</f>
        <v>164.55620416105364</v>
      </c>
      <c r="T129" s="14">
        <f>+T128*(1+'SImple Return'!F128)</f>
        <v>151.07009621048493</v>
      </c>
      <c r="U129" s="14">
        <f>+U128*(1+'SImple Return'!G128)</f>
        <v>225.72755599976472</v>
      </c>
      <c r="V129" s="14">
        <f>+V128*(1+'SImple Return'!H128)</f>
        <v>131.16287875013708</v>
      </c>
      <c r="W129" s="14">
        <f>+W128*(1+'SImple Return'!I128)</f>
        <v>159.64742599036813</v>
      </c>
      <c r="X129" s="14">
        <f>+X128*(1+'SImple Return'!J128)</f>
        <v>170.86963967321773</v>
      </c>
      <c r="Y129" s="14">
        <f>+Y128*(1+'SImple Return'!K128)</f>
        <v>165.69985429820298</v>
      </c>
      <c r="Z129" s="14">
        <f>+Z128*(1+'SImple Return'!L128)</f>
        <v>512.8541514487456</v>
      </c>
      <c r="AA129" s="14">
        <f>+AA128*(1+'SImple Return'!M128)</f>
        <v>211.36921250494677</v>
      </c>
      <c r="AB129" s="14">
        <f>+AB128*(1+'SImple Return'!N128)</f>
        <v>150.0699095575653</v>
      </c>
    </row>
    <row r="130" spans="1:28">
      <c r="A130" s="8">
        <v>38520</v>
      </c>
      <c r="B130" s="10">
        <v>1166.8399999999999</v>
      </c>
      <c r="C130" s="10">
        <v>247.2</v>
      </c>
      <c r="D130" s="10">
        <v>149.97999999999999</v>
      </c>
      <c r="E130" s="14">
        <v>1644.93</v>
      </c>
      <c r="F130" s="14">
        <v>1573.99</v>
      </c>
      <c r="G130" s="14">
        <v>2393.4499999999998</v>
      </c>
      <c r="H130" s="14">
        <v>1317.45</v>
      </c>
      <c r="I130" s="14">
        <v>1624.73</v>
      </c>
      <c r="J130" s="14">
        <v>1698.6</v>
      </c>
      <c r="K130" s="14">
        <v>1705.6</v>
      </c>
      <c r="L130" s="14">
        <v>5443.06</v>
      </c>
      <c r="M130" s="14">
        <v>2162.86</v>
      </c>
      <c r="N130" s="14">
        <v>1568.42</v>
      </c>
      <c r="P130" s="14">
        <f>+P129*(1+'SImple Return'!B129)</f>
        <v>143.36228821368448</v>
      </c>
      <c r="Q130" s="14">
        <f>+Q129*(1+'SImple Return'!C129)</f>
        <v>115.28775300811492</v>
      </c>
      <c r="R130" s="14">
        <f>+R129*(1+'SImple Return'!D129)</f>
        <v>173.02722658052591</v>
      </c>
      <c r="S130" s="14">
        <f>+S129*(1+'SImple Return'!E129)</f>
        <v>164.14009878760655</v>
      </c>
      <c r="T130" s="14">
        <f>+T129*(1+'SImple Return'!F129)</f>
        <v>154.52483801295892</v>
      </c>
      <c r="U130" s="14">
        <f>+U129*(1+'SImple Return'!G129)</f>
        <v>234.52779900836799</v>
      </c>
      <c r="V130" s="14">
        <f>+V129*(1+'SImple Return'!H129)</f>
        <v>131.26849536183659</v>
      </c>
      <c r="W130" s="14">
        <f>+W129*(1+'SImple Return'!I129)</f>
        <v>162.00157541554088</v>
      </c>
      <c r="X130" s="14">
        <f>+X129*(1+'SImple Return'!J129)</f>
        <v>171.10737274732799</v>
      </c>
      <c r="Y130" s="14">
        <f>+Y129*(1+'SImple Return'!K129)</f>
        <v>165.67265662943171</v>
      </c>
      <c r="Z130" s="14">
        <f>+Z129*(1+'SImple Return'!L129)</f>
        <v>530.12515217920588</v>
      </c>
      <c r="AA130" s="14">
        <f>+AA129*(1+'SImple Return'!M129)</f>
        <v>213.97506925207776</v>
      </c>
      <c r="AB130" s="14">
        <f>+AB129*(1+'SImple Return'!N129)</f>
        <v>153.35321437301386</v>
      </c>
    </row>
    <row r="131" spans="1:28">
      <c r="A131" s="8">
        <v>38527</v>
      </c>
      <c r="B131" s="10">
        <v>1149.81</v>
      </c>
      <c r="C131" s="10">
        <v>249.06</v>
      </c>
      <c r="D131" s="10">
        <v>148.68</v>
      </c>
      <c r="E131" s="14">
        <v>1648.35</v>
      </c>
      <c r="F131" s="14">
        <v>1586.03</v>
      </c>
      <c r="G131" s="14">
        <v>2292.3200000000002</v>
      </c>
      <c r="H131" s="14">
        <v>1322.6</v>
      </c>
      <c r="I131" s="14">
        <v>1596.91</v>
      </c>
      <c r="J131" s="14">
        <v>1686.5</v>
      </c>
      <c r="K131" s="14">
        <v>1684.11</v>
      </c>
      <c r="L131" s="14">
        <v>5759.88</v>
      </c>
      <c r="M131" s="14">
        <v>2148.7800000000002</v>
      </c>
      <c r="N131" s="14">
        <v>1564.85</v>
      </c>
      <c r="P131" s="14">
        <f>+P130*(1+'SImple Return'!B130)</f>
        <v>141.26991927854425</v>
      </c>
      <c r="Q131" s="14">
        <f>+Q130*(1+'SImple Return'!C130)</f>
        <v>116.15520940210801</v>
      </c>
      <c r="R131" s="14">
        <f>+R130*(1+'SImple Return'!D130)</f>
        <v>171.52745731425921</v>
      </c>
      <c r="S131" s="14">
        <f>+S130*(1+'SImple Return'!E130)</f>
        <v>164.48136506510991</v>
      </c>
      <c r="T131" s="14">
        <f>+T130*(1+'SImple Return'!F130)</f>
        <v>155.70685254270563</v>
      </c>
      <c r="U131" s="14">
        <f>+U130*(1+'SImple Return'!G130)</f>
        <v>224.61833931056097</v>
      </c>
      <c r="V131" s="14">
        <f>+V130*(1+'SImple Return'!H130)</f>
        <v>131.78163267339562</v>
      </c>
      <c r="W131" s="14">
        <f>+W130*(1+'SImple Return'!I130)</f>
        <v>159.2276475456423</v>
      </c>
      <c r="X131" s="14">
        <f>+X130*(1+'SImple Return'!J130)</f>
        <v>169.88848707074573</v>
      </c>
      <c r="Y131" s="14">
        <f>+Y130*(1+'SImple Return'!K130)</f>
        <v>163.58523555123841</v>
      </c>
      <c r="Z131" s="14">
        <f>+Z130*(1+'SImple Return'!L130)</f>
        <v>560.98173849525165</v>
      </c>
      <c r="AA131" s="14">
        <f>+AA130*(1+'SImple Return'!M130)</f>
        <v>212.58211317768126</v>
      </c>
      <c r="AB131" s="14">
        <f>+AB130*(1+'SImple Return'!N130)</f>
        <v>153.00415546321184</v>
      </c>
    </row>
    <row r="132" spans="1:28">
      <c r="A132" s="8">
        <v>38534</v>
      </c>
      <c r="B132" s="10">
        <v>1147.83</v>
      </c>
      <c r="C132" s="10">
        <v>247.33</v>
      </c>
      <c r="D132" s="10">
        <v>148.69999999999999</v>
      </c>
      <c r="E132" s="14">
        <v>1667.14</v>
      </c>
      <c r="F132" s="14">
        <v>1621.78</v>
      </c>
      <c r="G132" s="14">
        <v>2288.9299999999998</v>
      </c>
      <c r="H132" s="14">
        <v>1337.63</v>
      </c>
      <c r="I132" s="14">
        <v>1604.75</v>
      </c>
      <c r="J132" s="14">
        <v>1687.34</v>
      </c>
      <c r="K132" s="14">
        <v>1652.06</v>
      </c>
      <c r="L132" s="14">
        <v>5828.68</v>
      </c>
      <c r="M132" s="14">
        <v>2201.4699999999998</v>
      </c>
      <c r="N132" s="14">
        <v>1601.81</v>
      </c>
      <c r="P132" s="14">
        <f>+P131*(1+'SImple Return'!B131)</f>
        <v>141.02664913811103</v>
      </c>
      <c r="Q132" s="14">
        <f>+Q131*(1+'SImple Return'!C131)</f>
        <v>115.34838168081336</v>
      </c>
      <c r="R132" s="14">
        <f>+R131*(1+'SImple Return'!D131)</f>
        <v>171.55053068758636</v>
      </c>
      <c r="S132" s="14">
        <f>+S131*(1+'SImple Return'!E131)</f>
        <v>166.35633388215328</v>
      </c>
      <c r="T132" s="14">
        <f>+T131*(1+'SImple Return'!F131)</f>
        <v>159.21657176516786</v>
      </c>
      <c r="U132" s="14">
        <f>+U131*(1+'SImple Return'!G131)</f>
        <v>224.28616222784004</v>
      </c>
      <c r="V132" s="14">
        <f>+V131*(1+'SImple Return'!H131)</f>
        <v>133.27919651664465</v>
      </c>
      <c r="W132" s="14">
        <f>+W131*(1+'SImple Return'!I131)</f>
        <v>160.0093727253693</v>
      </c>
      <c r="X132" s="14">
        <f>+X131*(1+'SImple Return'!J131)</f>
        <v>169.97310392763242</v>
      </c>
      <c r="Y132" s="14">
        <f>+Y131*(1+'SImple Return'!K131)</f>
        <v>160.47207382224377</v>
      </c>
      <c r="Z132" s="14">
        <f>+Z131*(1+'SImple Return'!L131)</f>
        <v>567.68249330411459</v>
      </c>
      <c r="AA132" s="14">
        <f>+AA131*(1+'SImple Return'!M131)</f>
        <v>217.79481598733693</v>
      </c>
      <c r="AB132" s="14">
        <f>+AB131*(1+'SImple Return'!N131)</f>
        <v>156.61794182351497</v>
      </c>
    </row>
    <row r="133" spans="1:28">
      <c r="A133" s="8">
        <v>38541</v>
      </c>
      <c r="B133" s="10">
        <v>1156.7</v>
      </c>
      <c r="C133" s="10">
        <v>246.61</v>
      </c>
      <c r="D133" s="10">
        <v>149.53</v>
      </c>
      <c r="E133" s="14">
        <v>1622.03</v>
      </c>
      <c r="F133" s="14">
        <v>1650.52</v>
      </c>
      <c r="G133" s="14">
        <v>2198.81</v>
      </c>
      <c r="H133" s="14">
        <v>1311.09</v>
      </c>
      <c r="I133" s="14">
        <v>1551.51</v>
      </c>
      <c r="J133" s="14">
        <v>1629.16</v>
      </c>
      <c r="K133" s="14">
        <v>1613.01</v>
      </c>
      <c r="L133" s="14">
        <v>6042.01</v>
      </c>
      <c r="M133" s="14">
        <v>2165.7800000000002</v>
      </c>
      <c r="N133" s="14">
        <v>1615.73</v>
      </c>
      <c r="P133" s="14">
        <f>+P132*(1+'SImple Return'!B132)</f>
        <v>142.11645022176893</v>
      </c>
      <c r="Q133" s="14">
        <f>+Q132*(1+'SImple Return'!C132)</f>
        <v>115.01259210894507</v>
      </c>
      <c r="R133" s="14">
        <f>+R132*(1+'SImple Return'!D132)</f>
        <v>172.50807568066435</v>
      </c>
      <c r="S133" s="14">
        <f>+S132*(1+'SImple Return'!E132)</f>
        <v>161.85501172479161</v>
      </c>
      <c r="T133" s="14">
        <f>+T132*(1+'SImple Return'!F132)</f>
        <v>162.03809149813469</v>
      </c>
      <c r="U133" s="14">
        <f>+U132*(1+'SImple Return'!G132)</f>
        <v>215.45554314382571</v>
      </c>
      <c r="V133" s="14">
        <f>+V132*(1+'SImple Return'!H132)</f>
        <v>130.6347956916394</v>
      </c>
      <c r="W133" s="14">
        <f>+W132*(1+'SImple Return'!I132)</f>
        <v>154.70082061201916</v>
      </c>
      <c r="X133" s="14">
        <f>+X132*(1+'SImple Return'!J132)</f>
        <v>164.11237924469381</v>
      </c>
      <c r="Y133" s="14">
        <f>+Y132*(1+'SImple Return'!K132)</f>
        <v>156.6789703739679</v>
      </c>
      <c r="Z133" s="14">
        <f>+Z132*(1+'SImple Return'!L132)</f>
        <v>588.45970294618905</v>
      </c>
      <c r="AA133" s="14">
        <f>+AA132*(1+'SImple Return'!M132)</f>
        <v>214.26394934705203</v>
      </c>
      <c r="AB133" s="14">
        <f>+AB132*(1+'SImple Return'!N132)</f>
        <v>157.97897824492782</v>
      </c>
    </row>
    <row r="134" spans="1:28">
      <c r="A134" s="8">
        <v>38548</v>
      </c>
      <c r="B134" s="10">
        <v>1173.75</v>
      </c>
      <c r="C134" s="10">
        <v>246.45</v>
      </c>
      <c r="D134" s="10">
        <v>151.29</v>
      </c>
      <c r="E134" s="14">
        <v>1626.08</v>
      </c>
      <c r="F134" s="14">
        <v>1640.83</v>
      </c>
      <c r="G134" s="14">
        <v>2248.54</v>
      </c>
      <c r="H134" s="14">
        <v>1313.51</v>
      </c>
      <c r="I134" s="14">
        <v>1572.28</v>
      </c>
      <c r="J134" s="14">
        <v>1612.86</v>
      </c>
      <c r="K134" s="14">
        <v>1590.98</v>
      </c>
      <c r="L134" s="14">
        <v>5943.09</v>
      </c>
      <c r="M134" s="14">
        <v>2202.19</v>
      </c>
      <c r="N134" s="14">
        <v>1606.14</v>
      </c>
      <c r="P134" s="14">
        <f>+P133*(1+'SImple Return'!B133)</f>
        <v>144.21127643105496</v>
      </c>
      <c r="Q134" s="14">
        <f>+Q133*(1+'SImple Return'!C133)</f>
        <v>114.93797220408544</v>
      </c>
      <c r="R134" s="14">
        <f>+R133*(1+'SImple Return'!D133)</f>
        <v>174.53853253345622</v>
      </c>
      <c r="S134" s="14">
        <f>+S133*(1+'SImple Return'!E133)</f>
        <v>162.25914284288771</v>
      </c>
      <c r="T134" s="14">
        <f>+T133*(1+'SImple Return'!F133)</f>
        <v>161.08678578440995</v>
      </c>
      <c r="U134" s="14">
        <f>+U133*(1+'SImple Return'!G133)</f>
        <v>220.32845356379946</v>
      </c>
      <c r="V134" s="14">
        <f>+V133*(1+'SImple Return'!H133)</f>
        <v>130.87592040891568</v>
      </c>
      <c r="W134" s="14">
        <f>+W133*(1+'SImple Return'!I133)</f>
        <v>156.77179407922958</v>
      </c>
      <c r="X134" s="14">
        <f>+X133*(1+'SImple Return'!J133)</f>
        <v>162.47040928367798</v>
      </c>
      <c r="Y134" s="14">
        <f>+Y133*(1+'SImple Return'!K133)</f>
        <v>154.53909664885862</v>
      </c>
      <c r="Z134" s="14">
        <f>+Z133*(1+'SImple Return'!L133)</f>
        <v>578.82542001460888</v>
      </c>
      <c r="AA134" s="14">
        <f>+AA133*(1+'SImple Return'!M133)</f>
        <v>217.86604669568678</v>
      </c>
      <c r="AB134" s="14">
        <f>+AB133*(1+'SImple Return'!N133)</f>
        <v>157.04131019310677</v>
      </c>
    </row>
    <row r="135" spans="1:28">
      <c r="A135" s="8">
        <v>38555</v>
      </c>
      <c r="B135" s="10">
        <v>1182.1400000000001</v>
      </c>
      <c r="C135" s="10">
        <v>246.89</v>
      </c>
      <c r="D135" s="10">
        <v>153.76</v>
      </c>
      <c r="E135" s="14">
        <v>1631.93</v>
      </c>
      <c r="F135" s="14">
        <v>1637.05</v>
      </c>
      <c r="G135" s="14">
        <v>2314.0100000000002</v>
      </c>
      <c r="H135" s="14">
        <v>1315.04</v>
      </c>
      <c r="I135" s="14">
        <v>1569.46</v>
      </c>
      <c r="J135" s="14">
        <v>1607.5</v>
      </c>
      <c r="K135" s="14">
        <v>1581.61</v>
      </c>
      <c r="L135" s="14">
        <v>5997.44</v>
      </c>
      <c r="M135" s="14">
        <v>2235.9</v>
      </c>
      <c r="N135" s="14">
        <v>1612.18</v>
      </c>
      <c r="P135" s="14">
        <f>+P134*(1+'SImple Return'!B134)</f>
        <v>145.24210293521389</v>
      </c>
      <c r="Q135" s="14">
        <f>+Q134*(1+'SImple Return'!C134)</f>
        <v>115.14317694244941</v>
      </c>
      <c r="R135" s="14">
        <f>+R134*(1+'SImple Return'!D134)</f>
        <v>177.38809413936301</v>
      </c>
      <c r="S135" s="14">
        <f>+S134*(1+'SImple Return'!E134)</f>
        <v>162.84288779124876</v>
      </c>
      <c r="T135" s="14">
        <f>+T134*(1+'SImple Return'!F134)</f>
        <v>160.71568819948948</v>
      </c>
      <c r="U135" s="14">
        <f>+U134*(1+'SImple Return'!G134)</f>
        <v>226.74368471593465</v>
      </c>
      <c r="V135" s="14">
        <f>+V134*(1+'SImple Return'!H134)</f>
        <v>131.02836702768954</v>
      </c>
      <c r="W135" s="14">
        <f>+W134*(1+'SImple Return'!I134)</f>
        <v>156.49061231815432</v>
      </c>
      <c r="X135" s="14">
        <f>+X134*(1+'SImple Return'!J134)</f>
        <v>161.93047314925809</v>
      </c>
      <c r="Y135" s="14">
        <f>+Y134*(1+'SImple Return'!K134)</f>
        <v>153.62894609033506</v>
      </c>
      <c r="Z135" s="14">
        <f>+Z134*(1+'SImple Return'!L134)</f>
        <v>584.11882152422663</v>
      </c>
      <c r="AA135" s="14">
        <f>+AA134*(1+'SImple Return'!M134)</f>
        <v>221.20102888800969</v>
      </c>
      <c r="AB135" s="14">
        <f>+AB134*(1+'SImple Return'!N134)</f>
        <v>157.63187484722556</v>
      </c>
    </row>
    <row r="136" spans="1:28">
      <c r="A136" s="8">
        <v>38562</v>
      </c>
      <c r="B136" s="10">
        <v>1188.1600000000001</v>
      </c>
      <c r="C136" s="10">
        <v>246.44</v>
      </c>
      <c r="D136" s="10">
        <v>155.71</v>
      </c>
      <c r="E136" s="14">
        <v>1641.93</v>
      </c>
      <c r="F136" s="14">
        <v>1666.96</v>
      </c>
      <c r="G136" s="14">
        <v>2257.4699999999998</v>
      </c>
      <c r="H136" s="14">
        <v>1326.03</v>
      </c>
      <c r="I136" s="14">
        <v>1568.23</v>
      </c>
      <c r="J136" s="14">
        <v>1654.51</v>
      </c>
      <c r="K136" s="14">
        <v>1602.27</v>
      </c>
      <c r="L136" s="14">
        <v>6321.05</v>
      </c>
      <c r="M136" s="14">
        <v>2193.35</v>
      </c>
      <c r="N136" s="14">
        <v>1625.73</v>
      </c>
      <c r="P136" s="14">
        <f>+P135*(1+'SImple Return'!B135)</f>
        <v>145.9817424530967</v>
      </c>
      <c r="Q136" s="14">
        <f>+Q135*(1+'SImple Return'!C135)</f>
        <v>114.93330846003174</v>
      </c>
      <c r="R136" s="14">
        <f>+R135*(1+'SImple Return'!D135)</f>
        <v>179.63774803876311</v>
      </c>
      <c r="S136" s="14">
        <f>+S135*(1+'SImple Return'!E135)</f>
        <v>163.84074240383168</v>
      </c>
      <c r="T136" s="14">
        <f>+T135*(1+'SImple Return'!F135)</f>
        <v>163.65207147064598</v>
      </c>
      <c r="U136" s="14">
        <f>+U135*(1+'SImple Return'!G135)</f>
        <v>221.20348051031797</v>
      </c>
      <c r="V136" s="14">
        <f>+V135*(1+'SImple Return'!H135)</f>
        <v>132.12339208672523</v>
      </c>
      <c r="W136" s="14">
        <f>+W135*(1+'SImple Return'!I135)</f>
        <v>156.3679692096002</v>
      </c>
      <c r="X136" s="14">
        <f>+X135*(1+'SImple Return'!J135)</f>
        <v>166.66599510431041</v>
      </c>
      <c r="Y136" s="14">
        <f>+Y135*(1+'SImple Return'!K135)</f>
        <v>155.63574550752787</v>
      </c>
      <c r="Z136" s="14">
        <f>+Z135*(1+'SImple Return'!L135)</f>
        <v>615.63671779887966</v>
      </c>
      <c r="AA136" s="14">
        <f>+AA135*(1+'SImple Return'!M135)</f>
        <v>216.99149188761393</v>
      </c>
      <c r="AB136" s="14">
        <f>+AB135*(1+'SImple Return'!N135)</f>
        <v>158.95673429479336</v>
      </c>
    </row>
    <row r="137" spans="1:28">
      <c r="A137" s="8">
        <v>38569</v>
      </c>
      <c r="B137" s="10">
        <v>1187.8800000000001</v>
      </c>
      <c r="C137" s="10">
        <v>245.76</v>
      </c>
      <c r="D137" s="10">
        <v>154.35</v>
      </c>
      <c r="E137" s="14">
        <v>1662.74</v>
      </c>
      <c r="F137" s="14">
        <v>1657.29</v>
      </c>
      <c r="G137" s="14">
        <v>2245.77</v>
      </c>
      <c r="H137" s="14">
        <v>1328.99</v>
      </c>
      <c r="I137" s="14">
        <v>1573.73</v>
      </c>
      <c r="J137" s="14">
        <v>1654.62</v>
      </c>
      <c r="K137" s="14">
        <v>1629.42</v>
      </c>
      <c r="L137" s="14">
        <v>6187.72</v>
      </c>
      <c r="M137" s="14">
        <v>2231.63</v>
      </c>
      <c r="N137" s="14">
        <v>1625.43</v>
      </c>
      <c r="P137" s="14">
        <f>+P136*(1+'SImple Return'!B136)</f>
        <v>145.94734061505565</v>
      </c>
      <c r="Q137" s="14">
        <f>+Q136*(1+'SImple Return'!C136)</f>
        <v>114.61617386437834</v>
      </c>
      <c r="R137" s="14">
        <f>+R136*(1+'SImple Return'!D136)</f>
        <v>178.06875865251482</v>
      </c>
      <c r="S137" s="14">
        <f>+S136*(1+'SImple Return'!E136)</f>
        <v>165.91727785261679</v>
      </c>
      <c r="T137" s="14">
        <f>+T136*(1+'SImple Return'!F136)</f>
        <v>162.70272923620655</v>
      </c>
      <c r="U137" s="14">
        <f>+U136*(1+'SImple Return'!G136)</f>
        <v>220.05702863190066</v>
      </c>
      <c r="V137" s="14">
        <f>+V136*(1+'SImple Return'!H136)</f>
        <v>132.41832149298051</v>
      </c>
      <c r="W137" s="14">
        <f>+W136*(1+'SImple Return'!I136)</f>
        <v>156.91637335354133</v>
      </c>
      <c r="X137" s="14">
        <f>+X136*(1+'SImple Return'!J136)</f>
        <v>166.67707588318842</v>
      </c>
      <c r="Y137" s="14">
        <f>+Y136*(1+'SImple Return'!K136)</f>
        <v>158.2729480330257</v>
      </c>
      <c r="Z137" s="14">
        <f>+Z136*(1+'SImple Return'!L136)</f>
        <v>602.65108351594802</v>
      </c>
      <c r="AA137" s="14">
        <f>+AA136*(1+'SImple Return'!M136)</f>
        <v>220.77859121487947</v>
      </c>
      <c r="AB137" s="14">
        <f>+AB136*(1+'SImple Return'!N136)</f>
        <v>158.92740161329741</v>
      </c>
    </row>
    <row r="138" spans="1:28">
      <c r="A138" s="8">
        <v>38576</v>
      </c>
      <c r="B138" s="10">
        <v>1208.2</v>
      </c>
      <c r="C138" s="10">
        <v>248.16</v>
      </c>
      <c r="D138" s="10">
        <v>155.44</v>
      </c>
      <c r="E138" s="14">
        <v>1683.2</v>
      </c>
      <c r="F138" s="14">
        <v>1652.34</v>
      </c>
      <c r="G138" s="14">
        <v>2268.69</v>
      </c>
      <c r="H138" s="14">
        <v>1317.4</v>
      </c>
      <c r="I138" s="14">
        <v>1608.3</v>
      </c>
      <c r="J138" s="14">
        <v>1688.06</v>
      </c>
      <c r="K138" s="14">
        <v>1645.78</v>
      </c>
      <c r="L138" s="14">
        <v>6176.51</v>
      </c>
      <c r="M138" s="14">
        <v>2271.77</v>
      </c>
      <c r="N138" s="14">
        <v>1625.48</v>
      </c>
      <c r="P138" s="14">
        <f>+P137*(1+'SImple Return'!B137)</f>
        <v>148.44393114717838</v>
      </c>
      <c r="Q138" s="14">
        <f>+Q137*(1+'SImple Return'!C137)</f>
        <v>115.73547243727266</v>
      </c>
      <c r="R138" s="14">
        <f>+R137*(1+'SImple Return'!D137)</f>
        <v>179.32625749884616</v>
      </c>
      <c r="S138" s="14">
        <f>+S137*(1+'SImple Return'!E137)</f>
        <v>167.95888838996152</v>
      </c>
      <c r="T138" s="14">
        <f>+T137*(1+'SImple Return'!F137)</f>
        <v>162.21676811309638</v>
      </c>
      <c r="U138" s="14">
        <f>+U137*(1+'SImple Return'!G137)</f>
        <v>222.30289846551815</v>
      </c>
      <c r="V138" s="14">
        <f>+V137*(1+'SImple Return'!H137)</f>
        <v>131.26351344619036</v>
      </c>
      <c r="W138" s="14">
        <f>+W137*(1+'SImple Return'!I137)</f>
        <v>160.3633426728222</v>
      </c>
      <c r="X138" s="14">
        <f>+X137*(1+'SImple Return'!J137)</f>
        <v>170.04563266210675</v>
      </c>
      <c r="Y138" s="14">
        <f>+Y137*(1+'SImple Return'!K137)</f>
        <v>159.86206896551718</v>
      </c>
      <c r="Z138" s="14">
        <f>+Z137*(1+'SImple Return'!L137)</f>
        <v>601.55928901874813</v>
      </c>
      <c r="AA138" s="14">
        <f>+AA137*(1+'SImple Return'!M137)</f>
        <v>224.74970320538205</v>
      </c>
      <c r="AB138" s="14">
        <f>+AB137*(1+'SImple Return'!N137)</f>
        <v>158.93229039354674</v>
      </c>
    </row>
    <row r="139" spans="1:28">
      <c r="A139" s="8">
        <v>38583</v>
      </c>
      <c r="B139" s="10">
        <v>1190.99</v>
      </c>
      <c r="C139" s="10">
        <v>247.59</v>
      </c>
      <c r="D139" s="10">
        <v>152.88</v>
      </c>
      <c r="E139" s="14">
        <v>1655.68</v>
      </c>
      <c r="F139" s="14">
        <v>1637.91</v>
      </c>
      <c r="G139" s="14">
        <v>2230.6</v>
      </c>
      <c r="H139" s="14">
        <v>1301.45</v>
      </c>
      <c r="I139" s="14">
        <v>1589.84</v>
      </c>
      <c r="J139" s="14">
        <v>1649.46</v>
      </c>
      <c r="K139" s="14">
        <v>1635.28</v>
      </c>
      <c r="L139" s="14">
        <v>6345.84</v>
      </c>
      <c r="M139" s="14">
        <v>2228.6999999999998</v>
      </c>
      <c r="N139" s="14">
        <v>1592.56</v>
      </c>
      <c r="P139" s="14">
        <f>+P138*(1+'SImple Return'!B138)</f>
        <v>146.329446744726</v>
      </c>
      <c r="Q139" s="14">
        <f>+Q138*(1+'SImple Return'!C138)</f>
        <v>115.46963902621027</v>
      </c>
      <c r="R139" s="14">
        <f>+R138*(1+'SImple Return'!D138)</f>
        <v>176.37286571296707</v>
      </c>
      <c r="S139" s="14">
        <f>+S138*(1+'SImple Return'!E138)</f>
        <v>165.21279249613323</v>
      </c>
      <c r="T139" s="14">
        <f>+T138*(1+'SImple Return'!F138)</f>
        <v>160.80011780875711</v>
      </c>
      <c r="U139" s="14">
        <f>+U138*(1+'SImple Return'!G138)</f>
        <v>218.57056068355956</v>
      </c>
      <c r="V139" s="14">
        <f>+V138*(1+'SImple Return'!H138)</f>
        <v>129.67428235505119</v>
      </c>
      <c r="W139" s="14">
        <f>+W138*(1+'SImple Return'!I138)</f>
        <v>158.52269894606707</v>
      </c>
      <c r="X139" s="14">
        <f>+X138*(1+'SImple Return'!J138)</f>
        <v>166.15728661945585</v>
      </c>
      <c r="Y139" s="14">
        <f>+Y138*(1+'SImple Return'!K138)</f>
        <v>158.84215638659538</v>
      </c>
      <c r="Z139" s="14">
        <f>+Z138*(1+'SImple Return'!L138)</f>
        <v>618.05113221329407</v>
      </c>
      <c r="AA139" s="14">
        <f>+AA138*(1+'SImple Return'!M138)</f>
        <v>220.48872180451141</v>
      </c>
      <c r="AB139" s="14">
        <f>+AB138*(1+'SImple Return'!N138)</f>
        <v>155.7135174773893</v>
      </c>
    </row>
    <row r="140" spans="1:28">
      <c r="A140" s="8">
        <v>38590</v>
      </c>
      <c r="B140" s="10">
        <v>1184.73</v>
      </c>
      <c r="C140" s="10">
        <v>248.78</v>
      </c>
      <c r="D140" s="10">
        <v>152.99</v>
      </c>
      <c r="E140" s="14">
        <v>1685.18</v>
      </c>
      <c r="F140" s="14">
        <v>1652.49</v>
      </c>
      <c r="G140" s="14">
        <v>2237.7800000000002</v>
      </c>
      <c r="H140" s="14">
        <v>1322.92</v>
      </c>
      <c r="I140" s="14">
        <v>1600.86</v>
      </c>
      <c r="J140" s="14">
        <v>1672.14</v>
      </c>
      <c r="K140" s="14">
        <v>1637.4</v>
      </c>
      <c r="L140" s="14">
        <v>6488.19</v>
      </c>
      <c r="M140" s="14">
        <v>2269.5</v>
      </c>
      <c r="N140" s="14">
        <v>1600.16</v>
      </c>
      <c r="P140" s="14">
        <f>+P139*(1+'SImple Return'!B139)</f>
        <v>145.56031993709371</v>
      </c>
      <c r="Q140" s="14">
        <f>+Q139*(1+'SImple Return'!C139)</f>
        <v>116.02462456860371</v>
      </c>
      <c r="R140" s="14">
        <f>+R139*(1+'SImple Return'!D139)</f>
        <v>176.49976926626658</v>
      </c>
      <c r="S140" s="14">
        <f>+S139*(1+'SImple Return'!E139)</f>
        <v>168.15646360325294</v>
      </c>
      <c r="T140" s="14">
        <f>+T139*(1+'SImple Return'!F139)</f>
        <v>162.23149420773609</v>
      </c>
      <c r="U140" s="14">
        <f>+U139*(1+'SImple Return'!G139)</f>
        <v>219.27410978501567</v>
      </c>
      <c r="V140" s="14">
        <f>+V139*(1+'SImple Return'!H139)</f>
        <v>131.81351693353133</v>
      </c>
      <c r="W140" s="14">
        <f>+W139*(1+'SImple Return'!I139)</f>
        <v>159.62150143083639</v>
      </c>
      <c r="X140" s="14">
        <f>+X139*(1+'SImple Return'!J139)</f>
        <v>168.44194175539687</v>
      </c>
      <c r="Y140" s="14">
        <f>+Y139*(1+'SImple Return'!K139)</f>
        <v>159.04808159300626</v>
      </c>
      <c r="Z140" s="14">
        <f>+Z139*(1+'SImple Return'!L139)</f>
        <v>631.915266617969</v>
      </c>
      <c r="AA140" s="14">
        <f>+AA139*(1+'SImple Return'!M139)</f>
        <v>224.52512861100135</v>
      </c>
      <c r="AB140" s="14">
        <f>+AB139*(1+'SImple Return'!N139)</f>
        <v>156.45661207528713</v>
      </c>
    </row>
    <row r="141" spans="1:28">
      <c r="A141" s="8">
        <v>38597</v>
      </c>
      <c r="B141" s="10">
        <v>1207.3499999999999</v>
      </c>
      <c r="C141" s="10">
        <v>251.2</v>
      </c>
      <c r="D141" s="10">
        <v>157.57</v>
      </c>
      <c r="E141" s="14">
        <v>1749.85</v>
      </c>
      <c r="F141" s="14">
        <v>1705.49</v>
      </c>
      <c r="G141" s="14">
        <v>2267.4499999999998</v>
      </c>
      <c r="H141" s="14">
        <v>1368.72</v>
      </c>
      <c r="I141" s="14">
        <v>1635.79</v>
      </c>
      <c r="J141" s="14">
        <v>1739.53</v>
      </c>
      <c r="K141" s="14">
        <v>1670.58</v>
      </c>
      <c r="L141" s="14">
        <v>6676.77</v>
      </c>
      <c r="M141" s="14">
        <v>2343.9299999999998</v>
      </c>
      <c r="N141" s="14">
        <v>1660.23</v>
      </c>
      <c r="P141" s="14">
        <f>+P140*(1+'SImple Return'!B140)</f>
        <v>148.33949699598227</v>
      </c>
      <c r="Q141" s="14">
        <f>+Q140*(1+'SImple Return'!C140)</f>
        <v>117.15325062960548</v>
      </c>
      <c r="R141" s="14">
        <f>+R140*(1+'SImple Return'!D140)</f>
        <v>181.7835717581909</v>
      </c>
      <c r="S141" s="14">
        <f>+S140*(1+'SImple Return'!E140)</f>
        <v>174.60958938282684</v>
      </c>
      <c r="T141" s="14">
        <f>+T140*(1+'SImple Return'!F140)</f>
        <v>167.43471431376398</v>
      </c>
      <c r="U141" s="14">
        <f>+U140*(1+'SImple Return'!G140)</f>
        <v>222.18139416387388</v>
      </c>
      <c r="V141" s="14">
        <f>+V140*(1+'SImple Return'!H140)</f>
        <v>136.37695166545444</v>
      </c>
      <c r="W141" s="14">
        <f>+W140*(1+'SImple Return'!I140)</f>
        <v>163.10436629408434</v>
      </c>
      <c r="X141" s="14">
        <f>+X140*(1+'SImple Return'!J140)</f>
        <v>175.23042983348611</v>
      </c>
      <c r="Y141" s="14">
        <f>+Y140*(1+'SImple Return'!K140)</f>
        <v>162.27100534239915</v>
      </c>
      <c r="Z141" s="14">
        <f>+Z140*(1+'SImple Return'!L140)</f>
        <v>650.28195763330882</v>
      </c>
      <c r="AA141" s="14">
        <f>+AA140*(1+'SImple Return'!M140)</f>
        <v>231.88860308666418</v>
      </c>
      <c r="AB141" s="14">
        <f>+AB140*(1+'SImple Return'!N140)</f>
        <v>162.32999266682953</v>
      </c>
    </row>
    <row r="142" spans="1:28">
      <c r="A142" s="8">
        <v>38604</v>
      </c>
      <c r="B142" s="10">
        <v>1225.5899999999999</v>
      </c>
      <c r="C142" s="10">
        <v>250.25</v>
      </c>
      <c r="D142" s="10">
        <v>159.4</v>
      </c>
      <c r="E142" s="14">
        <v>1760.37</v>
      </c>
      <c r="F142" s="14">
        <v>1738.23</v>
      </c>
      <c r="G142" s="14">
        <v>2307.4499999999998</v>
      </c>
      <c r="H142" s="14">
        <v>1384.62</v>
      </c>
      <c r="I142" s="14">
        <v>1649.99</v>
      </c>
      <c r="J142" s="14">
        <v>1790.34</v>
      </c>
      <c r="K142" s="14">
        <v>1701.58</v>
      </c>
      <c r="L142" s="14">
        <v>6879.97</v>
      </c>
      <c r="M142" s="14">
        <v>2351.0300000000002</v>
      </c>
      <c r="N142" s="14">
        <v>1672.73</v>
      </c>
      <c r="P142" s="14">
        <f>+P141*(1+'SImple Return'!B141)</f>
        <v>150.58053101694284</v>
      </c>
      <c r="Q142" s="14">
        <f>+Q141*(1+'SImple Return'!C141)</f>
        <v>116.71019494450148</v>
      </c>
      <c r="R142" s="14">
        <f>+R141*(1+'SImple Return'!D141)</f>
        <v>183.8947854176279</v>
      </c>
      <c r="S142" s="14">
        <f>+S141*(1+'SImple Return'!E141)</f>
        <v>175.6593324352641</v>
      </c>
      <c r="T142" s="14">
        <f>+T141*(1+'SImple Return'!F141)</f>
        <v>170.64892990378948</v>
      </c>
      <c r="U142" s="14">
        <f>+U141*(1+'SImple Return'!G141)</f>
        <v>226.10088776530054</v>
      </c>
      <c r="V142" s="14">
        <f>+V141*(1+'SImple Return'!H141)</f>
        <v>137.96120084094741</v>
      </c>
      <c r="W142" s="14">
        <f>+W141*(1+'SImple Return'!I141)</f>
        <v>164.52024608389601</v>
      </c>
      <c r="X142" s="14">
        <f>+X141*(1+'SImple Return'!J141)</f>
        <v>180.34874233159735</v>
      </c>
      <c r="Y142" s="14">
        <f>+Y141*(1+'SImple Return'!K141)</f>
        <v>165.28217581350162</v>
      </c>
      <c r="Z142" s="14">
        <f>+Z141*(1+'SImple Return'!L141)</f>
        <v>670.07255904553188</v>
      </c>
      <c r="AA142" s="14">
        <f>+AA141*(1+'SImple Return'!M141)</f>
        <v>232.59101701622495</v>
      </c>
      <c r="AB142" s="14">
        <f>+AB141*(1+'SImple Return'!N141)</f>
        <v>163.55218772916146</v>
      </c>
    </row>
    <row r="143" spans="1:28">
      <c r="A143" s="8">
        <v>38611</v>
      </c>
      <c r="B143" s="10">
        <v>1220.98</v>
      </c>
      <c r="C143" s="10">
        <v>248.02</v>
      </c>
      <c r="D143" s="10">
        <v>157.97</v>
      </c>
      <c r="E143" s="14">
        <v>1746.34</v>
      </c>
      <c r="F143" s="14">
        <v>1744.62</v>
      </c>
      <c r="G143" s="14">
        <v>2328.33</v>
      </c>
      <c r="H143" s="14">
        <v>1386.17</v>
      </c>
      <c r="I143" s="14">
        <v>1647.45</v>
      </c>
      <c r="J143" s="14">
        <v>1750.01</v>
      </c>
      <c r="K143" s="14">
        <v>1713.6</v>
      </c>
      <c r="L143" s="14">
        <v>6824.88</v>
      </c>
      <c r="M143" s="14">
        <v>2371.02</v>
      </c>
      <c r="N143" s="14">
        <v>1671.2</v>
      </c>
      <c r="P143" s="14">
        <f>+P142*(1+'SImple Return'!B142)</f>
        <v>150.01412932633824</v>
      </c>
      <c r="Q143" s="14">
        <f>+Q142*(1+'SImple Return'!C142)</f>
        <v>115.67018002052052</v>
      </c>
      <c r="R143" s="14">
        <f>+R142*(1+'SImple Return'!D142)</f>
        <v>182.24503922473448</v>
      </c>
      <c r="S143" s="14">
        <f>+S142*(1+'SImple Return'!E142)</f>
        <v>174.25934241381023</v>
      </c>
      <c r="T143" s="14">
        <f>+T142*(1+'SImple Return'!F142)</f>
        <v>171.27626153544077</v>
      </c>
      <c r="U143" s="14">
        <f>+U142*(1+'SImple Return'!G142)</f>
        <v>228.1468634252453</v>
      </c>
      <c r="V143" s="14">
        <f>+V142*(1+'SImple Return'!H142)</f>
        <v>138.11564022597977</v>
      </c>
      <c r="W143" s="14">
        <f>+W142*(1+'SImple Return'!I142)</f>
        <v>164.26698307923957</v>
      </c>
      <c r="X143" s="14">
        <f>+X142*(1+'SImple Return'!J142)</f>
        <v>176.28612585750119</v>
      </c>
      <c r="Y143" s="14">
        <f>+Y142*(1+'SImple Return'!K142)</f>
        <v>166.44973288003877</v>
      </c>
      <c r="Z143" s="14">
        <f>+Z142*(1+'SImple Return'!L142)</f>
        <v>664.70708546384208</v>
      </c>
      <c r="AA143" s="14">
        <f>+AA142*(1+'SImple Return'!M142)</f>
        <v>234.56865848832624</v>
      </c>
      <c r="AB143" s="14">
        <f>+AB142*(1+'SImple Return'!N142)</f>
        <v>163.40259105353203</v>
      </c>
    </row>
    <row r="144" spans="1:28">
      <c r="A144" s="8">
        <v>38618</v>
      </c>
      <c r="B144" s="10">
        <v>1204.53</v>
      </c>
      <c r="C144" s="10">
        <v>247.73</v>
      </c>
      <c r="D144" s="10">
        <v>155.33000000000001</v>
      </c>
      <c r="E144" s="14">
        <v>1732.54</v>
      </c>
      <c r="F144" s="14">
        <v>1705.32</v>
      </c>
      <c r="G144" s="14">
        <v>2245.86</v>
      </c>
      <c r="H144" s="14">
        <v>1363.38</v>
      </c>
      <c r="I144" s="14">
        <v>1606.09</v>
      </c>
      <c r="J144" s="14">
        <v>1728.65</v>
      </c>
      <c r="K144" s="14">
        <v>1697.67</v>
      </c>
      <c r="L144" s="14">
        <v>6535.84</v>
      </c>
      <c r="M144" s="14">
        <v>2327.37</v>
      </c>
      <c r="N144" s="14">
        <v>1660.36</v>
      </c>
      <c r="P144" s="14">
        <f>+P143*(1+'SImple Return'!B143)</f>
        <v>147.9930213414259</v>
      </c>
      <c r="Q144" s="14">
        <f>+Q143*(1+'SImple Return'!C143)</f>
        <v>115.53493144296245</v>
      </c>
      <c r="R144" s="14">
        <f>+R143*(1+'SImple Return'!D143)</f>
        <v>179.19935394554668</v>
      </c>
      <c r="S144" s="14">
        <f>+S143*(1+'SImple Return'!E143)</f>
        <v>172.88230304844575</v>
      </c>
      <c r="T144" s="14">
        <f>+T143*(1+'SImple Return'!F143)</f>
        <v>167.41802473983896</v>
      </c>
      <c r="U144" s="14">
        <f>+U143*(1+'SImple Return'!G143)</f>
        <v>220.06584749250385</v>
      </c>
      <c r="V144" s="14">
        <f>+V143*(1+'SImple Return'!H143)</f>
        <v>135.84488307443985</v>
      </c>
      <c r="W144" s="14">
        <f>+W143*(1+'SImple Return'!I143)</f>
        <v>160.14298391680225</v>
      </c>
      <c r="X144" s="14">
        <f>+X143*(1+'SImple Return'!J143)</f>
        <v>174.13444006809644</v>
      </c>
      <c r="Y144" s="14">
        <f>+Y143*(1+'SImple Return'!K143)</f>
        <v>164.90237979601741</v>
      </c>
      <c r="Z144" s="14">
        <f>+Z143*(1+'SImple Return'!L143)</f>
        <v>636.55612369125868</v>
      </c>
      <c r="AA144" s="14">
        <f>+AA143*(1+'SImple Return'!M143)</f>
        <v>230.25029679461827</v>
      </c>
      <c r="AB144" s="14">
        <f>+AB143*(1+'SImple Return'!N143)</f>
        <v>162.34270349547776</v>
      </c>
    </row>
    <row r="145" spans="1:28">
      <c r="A145" s="8">
        <v>38625</v>
      </c>
      <c r="B145" s="10">
        <v>1224.31</v>
      </c>
      <c r="C145" s="10">
        <v>246.53</v>
      </c>
      <c r="D145" s="10">
        <v>157.9</v>
      </c>
      <c r="E145" s="14">
        <v>1722.56</v>
      </c>
      <c r="F145" s="14">
        <v>1745.51</v>
      </c>
      <c r="G145" s="14">
        <v>2268.34</v>
      </c>
      <c r="H145" s="14">
        <v>1351.71</v>
      </c>
      <c r="I145" s="14">
        <v>1625.27</v>
      </c>
      <c r="J145" s="14">
        <v>1726.97</v>
      </c>
      <c r="K145" s="14">
        <v>1739.64</v>
      </c>
      <c r="L145" s="14">
        <v>6832.97</v>
      </c>
      <c r="M145" s="14">
        <v>2348.34</v>
      </c>
      <c r="N145" s="14">
        <v>1677.66</v>
      </c>
      <c r="P145" s="14">
        <f>+P144*(1+'SImple Return'!B144)</f>
        <v>150.4232654716123</v>
      </c>
      <c r="Q145" s="14">
        <f>+Q144*(1+'SImple Return'!C144)</f>
        <v>114.97528215651529</v>
      </c>
      <c r="R145" s="14">
        <f>+R144*(1+'SImple Return'!D144)</f>
        <v>182.16428241808936</v>
      </c>
      <c r="S145" s="14">
        <f>+S144*(1+'SImple Return'!E144)</f>
        <v>171.88644414508798</v>
      </c>
      <c r="T145" s="14">
        <f>+T144*(1+'SImple Return'!F144)</f>
        <v>171.36363636363632</v>
      </c>
      <c r="U145" s="14">
        <f>+U144*(1+'SImple Return'!G144)</f>
        <v>222.26860289650566</v>
      </c>
      <c r="V145" s="14">
        <f>+V144*(1+'SImple Return'!H144)</f>
        <v>134.68210396261577</v>
      </c>
      <c r="W145" s="14">
        <f>+W144*(1+'SImple Return'!I144)</f>
        <v>162.0554187314915</v>
      </c>
      <c r="X145" s="14">
        <f>+X144*(1+'SImple Return'!J144)</f>
        <v>173.96520635432302</v>
      </c>
      <c r="Y145" s="14">
        <f>+Y144*(1+'SImple Return'!K144)</f>
        <v>168.97911607576486</v>
      </c>
      <c r="Z145" s="14">
        <f>+Z144*(1+'SImple Return'!L144)</f>
        <v>665.49500852203539</v>
      </c>
      <c r="AA145" s="14">
        <f>+AA144*(1+'SImple Return'!M144)</f>
        <v>232.32489117530685</v>
      </c>
      <c r="AB145" s="14">
        <f>+AB144*(1+'SImple Return'!N144)</f>
        <v>164.0342214617452</v>
      </c>
    </row>
    <row r="146" spans="1:28">
      <c r="A146" s="8">
        <v>38632</v>
      </c>
      <c r="B146" s="10">
        <v>1193.97</v>
      </c>
      <c r="C146" s="10">
        <v>246.49</v>
      </c>
      <c r="D146" s="10">
        <v>152.36000000000001</v>
      </c>
      <c r="E146" s="14">
        <v>1696.56</v>
      </c>
      <c r="F146" s="14">
        <v>1678.51</v>
      </c>
      <c r="G146" s="14">
        <v>2128.6999999999998</v>
      </c>
      <c r="H146" s="14">
        <v>1319.09</v>
      </c>
      <c r="I146" s="14">
        <v>1596.53</v>
      </c>
      <c r="J146" s="14">
        <v>1694.09</v>
      </c>
      <c r="K146" s="14">
        <v>1714.77</v>
      </c>
      <c r="L146" s="14">
        <v>6690.81</v>
      </c>
      <c r="M146" s="14">
        <v>2252.17</v>
      </c>
      <c r="N146" s="14">
        <v>1613.18</v>
      </c>
      <c r="P146" s="14">
        <f>+P145*(1+'SImple Return'!B145)</f>
        <v>146.69558059244878</v>
      </c>
      <c r="Q146" s="14">
        <f>+Q145*(1+'SImple Return'!C145)</f>
        <v>114.95662718030039</v>
      </c>
      <c r="R146" s="14">
        <f>+R145*(1+'SImple Return'!D145)</f>
        <v>175.77295800646041</v>
      </c>
      <c r="S146" s="14">
        <f>+S145*(1+'SImple Return'!E145)</f>
        <v>169.29202215237231</v>
      </c>
      <c r="T146" s="14">
        <f>+T145*(1+'SImple Return'!F145)</f>
        <v>164.78598075790296</v>
      </c>
      <c r="U146" s="14">
        <f>+U145*(1+'SImple Return'!G145)</f>
        <v>208.58565073392504</v>
      </c>
      <c r="V146" s="14">
        <f>+V145*(1+'SImple Return'!H145)</f>
        <v>131.43190219503208</v>
      </c>
      <c r="W146" s="14">
        <f>+W145*(1+'SImple Return'!I145)</f>
        <v>159.1897578047882</v>
      </c>
      <c r="X146" s="14">
        <f>+X145*(1+'SImple Return'!J145)</f>
        <v>170.65306081332915</v>
      </c>
      <c r="Y146" s="14">
        <f>+Y145*(1+'SImple Return'!K145)</f>
        <v>166.56338028169006</v>
      </c>
      <c r="Z146" s="14">
        <f>+Z145*(1+'SImple Return'!L145)</f>
        <v>651.6493791088385</v>
      </c>
      <c r="AA146" s="14">
        <f>+AA145*(1+'SImple Return'!M145)</f>
        <v>222.81064503363686</v>
      </c>
      <c r="AB146" s="14">
        <f>+AB145*(1+'SImple Return'!N145)</f>
        <v>157.7296504522121</v>
      </c>
    </row>
    <row r="147" spans="1:28">
      <c r="A147" s="8">
        <v>38639</v>
      </c>
      <c r="B147" s="10">
        <v>1183.8599999999999</v>
      </c>
      <c r="C147" s="10">
        <v>244.84</v>
      </c>
      <c r="D147" s="10">
        <v>151.24</v>
      </c>
      <c r="E147" s="14">
        <v>1660.63</v>
      </c>
      <c r="F147" s="14">
        <v>1620.58</v>
      </c>
      <c r="G147" s="14">
        <v>2061.25</v>
      </c>
      <c r="H147" s="14">
        <v>1275.48</v>
      </c>
      <c r="I147" s="14">
        <v>1547.16</v>
      </c>
      <c r="J147" s="14">
        <v>1631.72</v>
      </c>
      <c r="K147" s="14">
        <v>1657.44</v>
      </c>
      <c r="L147" s="14">
        <v>6547.69</v>
      </c>
      <c r="M147" s="14">
        <v>2211.8000000000002</v>
      </c>
      <c r="N147" s="14">
        <v>1569.15</v>
      </c>
      <c r="P147" s="14">
        <f>+P146*(1+'SImple Return'!B146)</f>
        <v>145.45342851175189</v>
      </c>
      <c r="Q147" s="14">
        <f>+Q146*(1+'SImple Return'!C146)</f>
        <v>114.18710941143553</v>
      </c>
      <c r="R147" s="14">
        <f>+R146*(1+'SImple Return'!D146)</f>
        <v>174.4808491001383</v>
      </c>
      <c r="S147" s="14">
        <f>+S146*(1+'SImple Return'!E146)</f>
        <v>165.70673052936181</v>
      </c>
      <c r="T147" s="14">
        <f>+T146*(1+'SImple Return'!F146)</f>
        <v>159.09876300805021</v>
      </c>
      <c r="U147" s="14">
        <f>+U146*(1+'SImple Return'!G146)</f>
        <v>201.97640464851929</v>
      </c>
      <c r="V147" s="14">
        <f>+V146*(1+'SImple Return'!H146)</f>
        <v>127.08667536841271</v>
      </c>
      <c r="W147" s="14">
        <f>+W146*(1+'SImple Return'!I146)</f>
        <v>154.2670827890839</v>
      </c>
      <c r="X147" s="14">
        <f>+X146*(1+'SImple Return'!J146)</f>
        <v>164.37025918949138</v>
      </c>
      <c r="Y147" s="14">
        <f>+Y146*(1+'SImple Return'!K146)</f>
        <v>160.994657600777</v>
      </c>
      <c r="Z147" s="14">
        <f>+Z146*(1+'SImple Return'!L146)</f>
        <v>637.71025079133176</v>
      </c>
      <c r="AA147" s="14">
        <f>+AA146*(1+'SImple Return'!M146)</f>
        <v>218.81677878907811</v>
      </c>
      <c r="AB147" s="14">
        <f>+AB146*(1+'SImple Return'!N146)</f>
        <v>153.42459056465404</v>
      </c>
    </row>
    <row r="148" spans="1:28">
      <c r="A148" s="8">
        <v>38646</v>
      </c>
      <c r="B148" s="10">
        <v>1168.08</v>
      </c>
      <c r="C148" s="10">
        <v>245.57</v>
      </c>
      <c r="D148" s="10">
        <v>149.91999999999999</v>
      </c>
      <c r="E148" s="14">
        <v>1623.9</v>
      </c>
      <c r="F148" s="14">
        <v>1603.73</v>
      </c>
      <c r="G148" s="14">
        <v>1999.46</v>
      </c>
      <c r="H148" s="14">
        <v>1258.51</v>
      </c>
      <c r="I148" s="14">
        <v>1515.94</v>
      </c>
      <c r="J148" s="14">
        <v>1612.45</v>
      </c>
      <c r="K148" s="14">
        <v>1685.2</v>
      </c>
      <c r="L148" s="14">
        <v>6546.29</v>
      </c>
      <c r="M148" s="14">
        <v>2117.92</v>
      </c>
      <c r="N148" s="14">
        <v>1545.46</v>
      </c>
      <c r="P148" s="14">
        <f>+P147*(1+'SImple Return'!B147)</f>
        <v>143.51463921072354</v>
      </c>
      <c r="Q148" s="14">
        <f>+Q147*(1+'SImple Return'!C147)</f>
        <v>114.52756272735756</v>
      </c>
      <c r="R148" s="14">
        <f>+R147*(1+'SImple Return'!D147)</f>
        <v>172.95800646054437</v>
      </c>
      <c r="S148" s="14">
        <f>+S147*(1+'SImple Return'!E147)</f>
        <v>162.04161053734464</v>
      </c>
      <c r="T148" s="14">
        <f>+T147*(1+'SImple Return'!F147)</f>
        <v>157.44453171019043</v>
      </c>
      <c r="U148" s="14">
        <f>+U147*(1+'SImple Return'!G147)</f>
        <v>195.92176690771541</v>
      </c>
      <c r="V148" s="14">
        <f>+V147*(1+'SImple Return'!H147)</f>
        <v>125.39581319809098</v>
      </c>
      <c r="W148" s="14">
        <f>+W147*(1+'SImple Return'!I147)</f>
        <v>151.15414144838533</v>
      </c>
      <c r="X148" s="14">
        <f>+X147*(1+'SImple Return'!J147)</f>
        <v>162.429108198769</v>
      </c>
      <c r="Y148" s="14">
        <f>+Y147*(1+'SImple Return'!K147)</f>
        <v>163.69111219038359</v>
      </c>
      <c r="Z148" s="14">
        <f>+Z147*(1+'SImple Return'!L147)</f>
        <v>637.57389822254675</v>
      </c>
      <c r="AA148" s="14">
        <f>+AA147*(1+'SImple Return'!M147)</f>
        <v>209.52908587257633</v>
      </c>
      <c r="AB148" s="14">
        <f>+AB147*(1+'SImple Return'!N147)</f>
        <v>151.10828648252252</v>
      </c>
    </row>
    <row r="149" spans="1:28">
      <c r="A149" s="8">
        <v>38653</v>
      </c>
      <c r="B149" s="10">
        <v>1182.67</v>
      </c>
      <c r="C149" s="10">
        <v>244.05</v>
      </c>
      <c r="D149" s="10">
        <v>151.72</v>
      </c>
      <c r="E149" s="14">
        <v>1635.68</v>
      </c>
      <c r="F149" s="14">
        <v>1626.89</v>
      </c>
      <c r="G149" s="14">
        <v>2024.22</v>
      </c>
      <c r="H149" s="14">
        <v>1275.05</v>
      </c>
      <c r="I149" s="14">
        <v>1532.7</v>
      </c>
      <c r="J149" s="14">
        <v>1634.24</v>
      </c>
      <c r="K149" s="14">
        <v>1696.99</v>
      </c>
      <c r="L149" s="14">
        <v>6517.7</v>
      </c>
      <c r="M149" s="14">
        <v>2121.6799999999998</v>
      </c>
      <c r="N149" s="14">
        <v>1571.64</v>
      </c>
      <c r="P149" s="14">
        <f>+P148*(1+'SImple Return'!B148)</f>
        <v>145.30722070007741</v>
      </c>
      <c r="Q149" s="14">
        <f>+Q148*(1+'SImple Return'!C148)</f>
        <v>113.81867363119117</v>
      </c>
      <c r="R149" s="14">
        <f>+R148*(1+'SImple Return'!D148)</f>
        <v>175.03461005999063</v>
      </c>
      <c r="S149" s="14">
        <f>+S148*(1+'SImple Return'!E148)</f>
        <v>163.21708327096732</v>
      </c>
      <c r="T149" s="14">
        <f>+T148*(1+'SImple Return'!F148)</f>
        <v>159.71824072256038</v>
      </c>
      <c r="U149" s="14">
        <f>+U148*(1+'SImple Return'!G148)</f>
        <v>198.34793344699855</v>
      </c>
      <c r="V149" s="14">
        <f>+V148*(1+'SImple Return'!H148)</f>
        <v>127.04383089385536</v>
      </c>
      <c r="W149" s="14">
        <f>+W148*(1+'SImple Return'!I148)</f>
        <v>152.82527843974049</v>
      </c>
      <c r="X149" s="14">
        <f>+X148*(1+'SImple Return'!J148)</f>
        <v>164.62410976015147</v>
      </c>
      <c r="Y149" s="14">
        <f>+Y148*(1+'SImple Return'!K148)</f>
        <v>164.83632831471579</v>
      </c>
      <c r="Z149" s="14">
        <f>+Z148*(1+'SImple Return'!L148)</f>
        <v>634.78938397857303</v>
      </c>
      <c r="AA149" s="14">
        <f>+AA148*(1+'SImple Return'!M148)</f>
        <v>209.90106846062537</v>
      </c>
      <c r="AB149" s="14">
        <f>+AB148*(1+'SImple Return'!N148)</f>
        <v>153.66805182107058</v>
      </c>
    </row>
    <row r="150" spans="1:28">
      <c r="A150" s="8">
        <v>38660</v>
      </c>
      <c r="B150" s="10">
        <v>1207.1500000000001</v>
      </c>
      <c r="C150" s="10">
        <v>241.6</v>
      </c>
      <c r="D150" s="10">
        <v>152.87</v>
      </c>
      <c r="E150" s="14">
        <v>1637.84</v>
      </c>
      <c r="F150" s="14">
        <v>1656.91</v>
      </c>
      <c r="G150" s="14">
        <v>1982.7</v>
      </c>
      <c r="H150" s="14">
        <v>1274.8</v>
      </c>
      <c r="I150" s="14">
        <v>1555.95</v>
      </c>
      <c r="J150" s="14">
        <v>1640.3</v>
      </c>
      <c r="K150" s="14">
        <v>1788.33</v>
      </c>
      <c r="L150" s="14">
        <v>6917.1</v>
      </c>
      <c r="M150" s="14">
        <v>2097.75</v>
      </c>
      <c r="N150" s="14">
        <v>1574.42</v>
      </c>
      <c r="P150" s="14">
        <f>+P149*(1+'SImple Return'!B149)</f>
        <v>148.31492425452444</v>
      </c>
      <c r="Q150" s="14">
        <f>+Q149*(1+'SImple Return'!C149)</f>
        <v>112.67605633802822</v>
      </c>
      <c r="R150" s="14">
        <f>+R149*(1+'SImple Return'!D149)</f>
        <v>176.36132902630351</v>
      </c>
      <c r="S150" s="14">
        <f>+S149*(1+'SImple Return'!E149)</f>
        <v>163.43261986728521</v>
      </c>
      <c r="T150" s="14">
        <f>+T149*(1+'SImple Return'!F149)</f>
        <v>162.66542312978601</v>
      </c>
      <c r="U150" s="14">
        <f>+U149*(1+'SImple Return'!G149)</f>
        <v>194.27949908871764</v>
      </c>
      <c r="V150" s="14">
        <f>+V149*(1+'SImple Return'!H149)</f>
        <v>127.01892131562433</v>
      </c>
      <c r="W150" s="14">
        <f>+W149*(1+'SImple Return'!I149)</f>
        <v>155.14353232094618</v>
      </c>
      <c r="X150" s="14">
        <f>+X149*(1+'SImple Return'!J149)</f>
        <v>165.23455994197695</v>
      </c>
      <c r="Y150" s="14">
        <f>+Y149*(1+'SImple Return'!K149)</f>
        <v>173.70859640602222</v>
      </c>
      <c r="Z150" s="14">
        <f>+Z149*(1+'SImple Return'!L149)</f>
        <v>673.68882395909418</v>
      </c>
      <c r="AA150" s="14">
        <f>+AA149*(1+'SImple Return'!M149)</f>
        <v>207.53363672338756</v>
      </c>
      <c r="AB150" s="14">
        <f>+AB149*(1+'SImple Return'!N149)</f>
        <v>153.9398680029332</v>
      </c>
    </row>
    <row r="151" spans="1:28">
      <c r="A151" s="8">
        <v>38667</v>
      </c>
      <c r="B151" s="10">
        <v>1216.3900000000001</v>
      </c>
      <c r="C151" s="10">
        <v>242.46</v>
      </c>
      <c r="D151" s="10">
        <v>156.13</v>
      </c>
      <c r="E151" s="14">
        <v>1652.89</v>
      </c>
      <c r="F151" s="14">
        <v>1663.05</v>
      </c>
      <c r="G151" s="14">
        <v>2051.29</v>
      </c>
      <c r="H151" s="14">
        <v>1282.56</v>
      </c>
      <c r="I151" s="14">
        <v>1552.51</v>
      </c>
      <c r="J151" s="14">
        <v>1678.05</v>
      </c>
      <c r="K151" s="14">
        <v>1784.25</v>
      </c>
      <c r="L151" s="14">
        <v>7260.53</v>
      </c>
      <c r="M151" s="14">
        <v>2154.09</v>
      </c>
      <c r="N151" s="14">
        <v>1550.11</v>
      </c>
      <c r="P151" s="14">
        <f>+P150*(1+'SImple Return'!B150)</f>
        <v>149.45018490987945</v>
      </c>
      <c r="Q151" s="14">
        <f>+Q150*(1+'SImple Return'!C150)</f>
        <v>113.07713832664871</v>
      </c>
      <c r="R151" s="14">
        <f>+R150*(1+'SImple Return'!D150)</f>
        <v>180.12228887863392</v>
      </c>
      <c r="S151" s="14">
        <f>+S150*(1+'SImple Return'!E150)</f>
        <v>164.93439105922255</v>
      </c>
      <c r="T151" s="14">
        <f>+T150*(1+'SImple Return'!F150)</f>
        <v>163.26821127037113</v>
      </c>
      <c r="U151" s="14">
        <f>+U150*(1+'SImple Return'!G150)</f>
        <v>201.00045074176407</v>
      </c>
      <c r="V151" s="14">
        <f>+V150*(1+'SImple Return'!H150)</f>
        <v>127.79211462391523</v>
      </c>
      <c r="W151" s="14">
        <f>+W150*(1+'SImple Return'!I150)</f>
        <v>154.80053045637209</v>
      </c>
      <c r="X151" s="14">
        <f>+X150*(1+'SImple Return'!J150)</f>
        <v>169.03728178420681</v>
      </c>
      <c r="Y151" s="14">
        <f>+Y150*(1+'SImple Return'!K150)</f>
        <v>173.31228751821263</v>
      </c>
      <c r="Z151" s="14">
        <f>+Z150*(1+'SImple Return'!L150)</f>
        <v>707.13708302897476</v>
      </c>
      <c r="AA151" s="14">
        <f>+AA150*(1+'SImple Return'!M150)</f>
        <v>213.10743965176113</v>
      </c>
      <c r="AB151" s="14">
        <f>+AB150*(1+'SImple Return'!N150)</f>
        <v>151.56294304571</v>
      </c>
    </row>
    <row r="152" spans="1:28">
      <c r="A152" s="8">
        <v>38674</v>
      </c>
      <c r="B152" s="10">
        <v>1227.1400000000001</v>
      </c>
      <c r="C152" s="10">
        <v>242.69</v>
      </c>
      <c r="D152" s="10">
        <v>157.56</v>
      </c>
      <c r="E152" s="14">
        <v>1656.24</v>
      </c>
      <c r="F152" s="14">
        <v>1664.81</v>
      </c>
      <c r="G152" s="14">
        <v>2036.37</v>
      </c>
      <c r="H152" s="14">
        <v>1299.8699999999999</v>
      </c>
      <c r="I152" s="14">
        <v>1544.02</v>
      </c>
      <c r="J152" s="14">
        <v>1672.09</v>
      </c>
      <c r="K152" s="14">
        <v>1753.92</v>
      </c>
      <c r="L152" s="14">
        <v>7129.25</v>
      </c>
      <c r="M152" s="14">
        <v>2158.23</v>
      </c>
      <c r="N152" s="14">
        <v>1552.81</v>
      </c>
      <c r="P152" s="14">
        <f>+P151*(1+'SImple Return'!B151)</f>
        <v>150.77096976324162</v>
      </c>
      <c r="Q152" s="14">
        <f>+Q151*(1+'SImple Return'!C151)</f>
        <v>113.1844044398844</v>
      </c>
      <c r="R152" s="14">
        <f>+R151*(1+'SImple Return'!D151)</f>
        <v>181.77203507152734</v>
      </c>
      <c r="S152" s="14">
        <f>+S151*(1+'SImple Return'!E151)</f>
        <v>165.26867235443783</v>
      </c>
      <c r="T152" s="14">
        <f>+T151*(1+'SImple Return'!F151)</f>
        <v>163.44099744747697</v>
      </c>
      <c r="U152" s="14">
        <f>+U151*(1+'SImple Return'!G151)</f>
        <v>199.5384796284319</v>
      </c>
      <c r="V152" s="14">
        <f>+V151*(1+'SImple Return'!H151)</f>
        <v>129.51685382063113</v>
      </c>
      <c r="W152" s="14">
        <f>+W151*(1+'SImple Return'!I151)</f>
        <v>153.95399387781566</v>
      </c>
      <c r="X152" s="14">
        <f>+X151*(1+'SImple Return'!J151)</f>
        <v>168.43690503772496</v>
      </c>
      <c r="Y152" s="14">
        <f>+Y151*(1+'SImple Return'!K151)</f>
        <v>170.36619718309851</v>
      </c>
      <c r="Z152" s="14">
        <f>+Z151*(1+'SImple Return'!L151)</f>
        <v>694.35110786462121</v>
      </c>
      <c r="AA152" s="14">
        <f>+AA151*(1+'SImple Return'!M151)</f>
        <v>213.51701622477262</v>
      </c>
      <c r="AB152" s="14">
        <f>+AB151*(1+'SImple Return'!N151)</f>
        <v>151.82693717917371</v>
      </c>
    </row>
    <row r="153" spans="1:28">
      <c r="A153" s="8">
        <v>38681</v>
      </c>
      <c r="B153" s="10">
        <v>1243.4000000000001</v>
      </c>
      <c r="C153" s="10">
        <v>243.88</v>
      </c>
      <c r="D153" s="10">
        <v>159.16999999999999</v>
      </c>
      <c r="E153" s="14">
        <v>1674.96</v>
      </c>
      <c r="F153" s="14">
        <v>1700.48</v>
      </c>
      <c r="G153" s="14">
        <v>2048.0300000000002</v>
      </c>
      <c r="H153" s="14">
        <v>1322.39</v>
      </c>
      <c r="I153" s="14">
        <v>1548.6</v>
      </c>
      <c r="J153" s="14">
        <v>1708.56</v>
      </c>
      <c r="K153" s="14">
        <v>1766.32</v>
      </c>
      <c r="L153" s="14">
        <v>7172.33</v>
      </c>
      <c r="M153" s="14">
        <v>2171.94</v>
      </c>
      <c r="N153" s="14">
        <v>1590.9</v>
      </c>
      <c r="P153" s="14">
        <f>+P152*(1+'SImple Return'!B152)</f>
        <v>152.76873364376897</v>
      </c>
      <c r="Q153" s="14">
        <f>+Q152*(1+'SImple Return'!C152)</f>
        <v>113.73938998227784</v>
      </c>
      <c r="R153" s="14">
        <f>+R152*(1+'SImple Return'!D152)</f>
        <v>183.62944162436534</v>
      </c>
      <c r="S153" s="14">
        <f>+S152*(1+'SImple Return'!E152)</f>
        <v>167.1366561891931</v>
      </c>
      <c r="T153" s="14">
        <f>+T152*(1+'SImple Return'!F152)</f>
        <v>166.94286275279802</v>
      </c>
      <c r="U153" s="14">
        <f>+U152*(1+'SImple Return'!G152)</f>
        <v>200.68101201324782</v>
      </c>
      <c r="V153" s="14">
        <f>+V152*(1+'SImple Return'!H152)</f>
        <v>131.76070862768157</v>
      </c>
      <c r="W153" s="14">
        <f>+W152*(1+'SImple Return'!I152)</f>
        <v>154.41066496495208</v>
      </c>
      <c r="X153" s="14">
        <f>+X152*(1+'SImple Return'!J152)</f>
        <v>172.11068690755602</v>
      </c>
      <c r="Y153" s="14">
        <f>+Y152*(1+'SImple Return'!K152)</f>
        <v>171.57066537153949</v>
      </c>
      <c r="Z153" s="14">
        <f>+Z152*(1+'SImple Return'!L152)</f>
        <v>698.54687119551977</v>
      </c>
      <c r="AA153" s="14">
        <f>+AA152*(1+'SImple Return'!M152)</f>
        <v>214.87336762960049</v>
      </c>
      <c r="AB153" s="14">
        <f>+AB152*(1+'SImple Return'!N152)</f>
        <v>155.55120997311164</v>
      </c>
    </row>
    <row r="154" spans="1:28">
      <c r="A154" s="8">
        <v>38688</v>
      </c>
      <c r="B154" s="10">
        <v>1249.71</v>
      </c>
      <c r="C154" s="10">
        <v>242.89</v>
      </c>
      <c r="D154" s="10">
        <v>159.31</v>
      </c>
      <c r="E154" s="14">
        <v>1683.22</v>
      </c>
      <c r="F154" s="14">
        <v>1719.43</v>
      </c>
      <c r="G154" s="14">
        <v>2038.35</v>
      </c>
      <c r="H154" s="14">
        <v>1312.91</v>
      </c>
      <c r="I154" s="14">
        <v>1573.9</v>
      </c>
      <c r="J154" s="14">
        <v>1728.49</v>
      </c>
      <c r="K154" s="14">
        <v>1899.81</v>
      </c>
      <c r="L154" s="14">
        <v>7555.6</v>
      </c>
      <c r="M154" s="14">
        <v>2172.44</v>
      </c>
      <c r="N154" s="14">
        <v>1579.24</v>
      </c>
      <c r="P154" s="14">
        <f>+P153*(1+'SImple Return'!B153)</f>
        <v>153.54400363676572</v>
      </c>
      <c r="Q154" s="14">
        <f>+Q153*(1+'SImple Return'!C153)</f>
        <v>113.27767932095892</v>
      </c>
      <c r="R154" s="14">
        <f>+R153*(1+'SImple Return'!D153)</f>
        <v>183.79095523765562</v>
      </c>
      <c r="S154" s="14">
        <f>+S153*(1+'SImple Return'!E153)</f>
        <v>167.96088409918661</v>
      </c>
      <c r="T154" s="14">
        <f>+T153*(1+'SImple Return'!F153)</f>
        <v>168.80325937561366</v>
      </c>
      <c r="U154" s="14">
        <f>+U153*(1+'SImple Return'!G153)</f>
        <v>199.73249456170254</v>
      </c>
      <c r="V154" s="14">
        <f>+V153*(1+'SImple Return'!H153)</f>
        <v>130.81613742116124</v>
      </c>
      <c r="W154" s="14">
        <f>+W153*(1+'SImple Return'!I153)</f>
        <v>156.93332402708128</v>
      </c>
      <c r="X154" s="14">
        <f>+X153*(1+'SImple Return'!J153)</f>
        <v>174.11832257154651</v>
      </c>
      <c r="Y154" s="14">
        <f>+Y153*(1+'SImple Return'!K153)</f>
        <v>184.53715395823204</v>
      </c>
      <c r="Z154" s="14">
        <f>+Z153*(1+'SImple Return'!L153)</f>
        <v>735.8753347942536</v>
      </c>
      <c r="AA154" s="14">
        <f>+AA153*(1+'SImple Return'!M153)</f>
        <v>214.92283339928787</v>
      </c>
      <c r="AB154" s="14">
        <f>+AB153*(1+'SImple Return'!N153)</f>
        <v>154.4111464189684</v>
      </c>
    </row>
    <row r="155" spans="1:28">
      <c r="A155" s="8">
        <v>38695</v>
      </c>
      <c r="B155" s="10">
        <v>1252.5899999999999</v>
      </c>
      <c r="C155" s="10">
        <v>243.36</v>
      </c>
      <c r="D155" s="10">
        <v>159.56</v>
      </c>
      <c r="E155" s="14">
        <v>1708.32</v>
      </c>
      <c r="F155" s="14">
        <v>1705.33</v>
      </c>
      <c r="G155" s="14">
        <v>2054.87</v>
      </c>
      <c r="H155" s="14">
        <v>1325</v>
      </c>
      <c r="I155" s="14">
        <v>1575.46</v>
      </c>
      <c r="J155" s="14">
        <v>1767.69</v>
      </c>
      <c r="K155" s="14">
        <v>1897.14</v>
      </c>
      <c r="L155" s="14">
        <v>7460.98</v>
      </c>
      <c r="M155" s="14">
        <v>2204.48</v>
      </c>
      <c r="N155" s="14">
        <v>1568.96</v>
      </c>
      <c r="P155" s="14">
        <f>+P154*(1+'SImple Return'!B154)</f>
        <v>153.89785111375949</v>
      </c>
      <c r="Q155" s="14">
        <f>+Q154*(1+'SImple Return'!C154)</f>
        <v>113.49687529148407</v>
      </c>
      <c r="R155" s="14">
        <f>+R154*(1+'SImple Return'!D154)</f>
        <v>184.07937240424536</v>
      </c>
      <c r="S155" s="14">
        <f>+S154*(1+'SImple Return'!E154)</f>
        <v>170.46549917676981</v>
      </c>
      <c r="T155" s="14">
        <f>+T154*(1+'SImple Return'!F154)</f>
        <v>167.41900647948171</v>
      </c>
      <c r="U155" s="14">
        <f>+U154*(1+'SImple Return'!G154)</f>
        <v>201.35124541909175</v>
      </c>
      <c r="V155" s="14">
        <f>+V154*(1+'SImple Return'!H154)</f>
        <v>132.02076462441343</v>
      </c>
      <c r="W155" s="14">
        <f>+W154*(1+'SImple Return'!I154)</f>
        <v>157.08887138427184</v>
      </c>
      <c r="X155" s="14">
        <f>+X154*(1+'SImple Return'!J154)</f>
        <v>178.06710922625939</v>
      </c>
      <c r="Y155" s="14">
        <f>+Y154*(1+'SImple Return'!K154)</f>
        <v>184.27780475959193</v>
      </c>
      <c r="Z155" s="14">
        <f>+Z154*(1+'SImple Return'!L154)</f>
        <v>726.65984903822721</v>
      </c>
      <c r="AA155" s="14">
        <f>+AA154*(1+'SImple Return'!M154)</f>
        <v>218.09259992085495</v>
      </c>
      <c r="AB155" s="14">
        <f>+AB154*(1+'SImple Return'!N154)</f>
        <v>153.40601319970659</v>
      </c>
    </row>
    <row r="156" spans="1:28">
      <c r="A156" s="8">
        <v>38702</v>
      </c>
      <c r="B156" s="10">
        <v>1267.83</v>
      </c>
      <c r="C156" s="10">
        <v>246.11</v>
      </c>
      <c r="D156" s="10">
        <v>162.49</v>
      </c>
      <c r="E156" s="14">
        <v>1748.41</v>
      </c>
      <c r="F156" s="14">
        <v>1719.82</v>
      </c>
      <c r="G156" s="14">
        <v>2029.07</v>
      </c>
      <c r="H156" s="14">
        <v>1357.62</v>
      </c>
      <c r="I156" s="14">
        <v>1600.25</v>
      </c>
      <c r="J156" s="14">
        <v>1805.3</v>
      </c>
      <c r="K156" s="14">
        <v>1916.82</v>
      </c>
      <c r="L156" s="14">
        <v>7344.67</v>
      </c>
      <c r="M156" s="14">
        <v>2212.5700000000002</v>
      </c>
      <c r="N156" s="14">
        <v>1602.86</v>
      </c>
      <c r="P156" s="14">
        <f>+P155*(1+'SImple Return'!B155)</f>
        <v>155.77029401285154</v>
      </c>
      <c r="Q156" s="14">
        <f>+Q155*(1+'SImple Return'!C155)</f>
        <v>114.77940490625882</v>
      </c>
      <c r="R156" s="14">
        <f>+R155*(1+'SImple Return'!D155)</f>
        <v>187.45962159667729</v>
      </c>
      <c r="S156" s="14">
        <f>+S155*(1+'SImple Return'!E155)</f>
        <v>174.46589831861485</v>
      </c>
      <c r="T156" s="14">
        <f>+T155*(1+'SImple Return'!F155)</f>
        <v>168.84154722167688</v>
      </c>
      <c r="U156" s="14">
        <f>+U155*(1+'SImple Return'!G155)</f>
        <v>198.82317204617155</v>
      </c>
      <c r="V156" s="14">
        <f>+V155*(1+'SImple Return'!H155)</f>
        <v>135.27096639199709</v>
      </c>
      <c r="W156" s="14">
        <f>+W155*(1+'SImple Return'!I155)</f>
        <v>159.56067842578105</v>
      </c>
      <c r="X156" s="14">
        <f>+X155*(1+'SImple Return'!J155)</f>
        <v>181.85572825900809</v>
      </c>
      <c r="Y156" s="14">
        <f>+Y155*(1+'SImple Return'!K155)</f>
        <v>186.18941233608538</v>
      </c>
      <c r="Z156" s="14">
        <f>+Z155*(1+'SImple Return'!L155)</f>
        <v>715.33187241295332</v>
      </c>
      <c r="AA156" s="14">
        <f>+AA155*(1+'SImple Return'!M155)</f>
        <v>218.89295607439669</v>
      </c>
      <c r="AB156" s="14">
        <f>+AB155*(1+'SImple Return'!N155)</f>
        <v>156.72060620875084</v>
      </c>
    </row>
    <row r="157" spans="1:28">
      <c r="A157" s="8">
        <v>38709</v>
      </c>
      <c r="B157" s="10">
        <v>1270.98</v>
      </c>
      <c r="C157" s="10">
        <v>246.24</v>
      </c>
      <c r="D157" s="10">
        <v>164.95</v>
      </c>
      <c r="E157" s="14">
        <v>1728.68</v>
      </c>
      <c r="F157" s="14">
        <v>1704.2</v>
      </c>
      <c r="G157" s="14">
        <v>2005.83</v>
      </c>
      <c r="H157" s="14">
        <v>1351.06</v>
      </c>
      <c r="I157" s="14">
        <v>1567.41</v>
      </c>
      <c r="J157" s="14">
        <v>1772.13</v>
      </c>
      <c r="K157" s="14">
        <v>1882.39</v>
      </c>
      <c r="L157" s="14">
        <v>7358.2</v>
      </c>
      <c r="M157" s="14">
        <v>2196.12</v>
      </c>
      <c r="N157" s="14">
        <v>1579.42</v>
      </c>
      <c r="P157" s="14">
        <f>+P156*(1+'SImple Return'!B156)</f>
        <v>156.15731469081351</v>
      </c>
      <c r="Q157" s="14">
        <f>+Q156*(1+'SImple Return'!C156)</f>
        <v>114.84003357895726</v>
      </c>
      <c r="R157" s="14">
        <f>+R156*(1+'SImple Return'!D156)</f>
        <v>190.29764651592046</v>
      </c>
      <c r="S157" s="14">
        <f>+S156*(1+'SImple Return'!E156)</f>
        <v>172.4971311679887</v>
      </c>
      <c r="T157" s="14">
        <f>+T156*(1+'SImple Return'!F156)</f>
        <v>167.30806989986263</v>
      </c>
      <c r="U157" s="14">
        <f>+U156*(1+'SImple Return'!G156)</f>
        <v>196.54594626374262</v>
      </c>
      <c r="V157" s="14">
        <f>+V156*(1+'SImple Return'!H156)</f>
        <v>134.61733905921511</v>
      </c>
      <c r="W157" s="14">
        <f>+W156*(1+'SImple Return'!I156)</f>
        <v>156.28620713723072</v>
      </c>
      <c r="X157" s="14">
        <f>+X156*(1+'SImple Return'!J156)</f>
        <v>178.51436975551766</v>
      </c>
      <c r="Y157" s="14">
        <f>+Y156*(1+'SImple Return'!K156)</f>
        <v>182.84507042253514</v>
      </c>
      <c r="Z157" s="14">
        <f>+Z156*(1+'SImple Return'!L156)</f>
        <v>716.6496225955683</v>
      </c>
      <c r="AA157" s="14">
        <f>+AA156*(1+'SImple Return'!M156)</f>
        <v>217.26553225168198</v>
      </c>
      <c r="AB157" s="14">
        <f>+AB156*(1+'SImple Return'!N156)</f>
        <v>154.428746027866</v>
      </c>
    </row>
    <row r="158" spans="1:28">
      <c r="A158" s="8">
        <v>38716</v>
      </c>
      <c r="B158" s="10">
        <v>1257.78</v>
      </c>
      <c r="C158" s="10">
        <v>245.94</v>
      </c>
      <c r="D158" s="10">
        <v>164.75</v>
      </c>
      <c r="E158" s="11">
        <v>1716.13</v>
      </c>
      <c r="F158" s="11">
        <v>1689.83</v>
      </c>
      <c r="G158" s="11">
        <v>2021.84</v>
      </c>
      <c r="H158" s="14">
        <v>1344.18</v>
      </c>
      <c r="I158" s="14">
        <v>1557.13</v>
      </c>
      <c r="J158" s="14">
        <v>1764.64</v>
      </c>
      <c r="K158" s="14">
        <v>1888.29</v>
      </c>
      <c r="L158" s="14">
        <v>7332.04</v>
      </c>
      <c r="M158" s="14">
        <v>2181.09</v>
      </c>
      <c r="N158" s="14">
        <v>1563.48</v>
      </c>
      <c r="P158" s="14">
        <f>+P157*(1+'SImple Return'!B157)</f>
        <v>154.53551375459205</v>
      </c>
      <c r="Q158" s="14">
        <f>+Q157*(1+'SImple Return'!C157)</f>
        <v>114.70012125734547</v>
      </c>
      <c r="R158" s="14">
        <f>+R157*(1+'SImple Return'!D157)</f>
        <v>190.06691278264867</v>
      </c>
      <c r="S158" s="14">
        <f>+S157*(1+'SImple Return'!E157)</f>
        <v>171.2448236291971</v>
      </c>
      <c r="T158" s="14">
        <f>+T157*(1+'SImple Return'!F157)</f>
        <v>165.8973100333792</v>
      </c>
      <c r="U158" s="14">
        <f>+U157*(1+'SImple Return'!G157)</f>
        <v>198.11472357771368</v>
      </c>
      <c r="V158" s="14">
        <f>+V157*(1+'SImple Return'!H157)</f>
        <v>133.93182746629742</v>
      </c>
      <c r="W158" s="14">
        <f>+W157*(1+'SImple Return'!I157)</f>
        <v>155.26118993728258</v>
      </c>
      <c r="X158" s="14">
        <f>+X157*(1+'SImple Return'!J157)</f>
        <v>177.7598694482779</v>
      </c>
      <c r="Y158" s="14">
        <f>+Y157*(1+'SImple Return'!K157)</f>
        <v>183.41816415735784</v>
      </c>
      <c r="Z158" s="14">
        <f>+Z157*(1+'SImple Return'!L157)</f>
        <v>714.10177745312853</v>
      </c>
      <c r="AA158" s="14">
        <f>+AA157*(1+'SImple Return'!M157)</f>
        <v>215.77859121487947</v>
      </c>
      <c r="AB158" s="14">
        <f>+AB157*(1+'SImple Return'!N157)</f>
        <v>152.87020288438029</v>
      </c>
    </row>
    <row r="159" spans="1:28">
      <c r="A159" s="8">
        <v>38723</v>
      </c>
      <c r="B159" s="10">
        <v>1308.1500000000001</v>
      </c>
      <c r="C159" s="10">
        <v>248.36</v>
      </c>
      <c r="D159" s="10">
        <v>170.23</v>
      </c>
      <c r="E159" s="11">
        <v>1770.16</v>
      </c>
      <c r="F159" s="11">
        <v>1726.34</v>
      </c>
      <c r="G159" s="11">
        <v>2098.7399999999998</v>
      </c>
      <c r="H159" s="14">
        <v>1366.85</v>
      </c>
      <c r="I159" s="14">
        <v>1644.76</v>
      </c>
      <c r="J159" s="14">
        <v>1782.41</v>
      </c>
      <c r="K159" s="14">
        <v>1917.6</v>
      </c>
      <c r="L159" s="14">
        <v>7683.02</v>
      </c>
      <c r="M159" s="14">
        <v>2274.0100000000002</v>
      </c>
      <c r="N159" s="14">
        <v>1596.53</v>
      </c>
      <c r="P159" s="14">
        <f>+P158*(1+'SImple Return'!B158)</f>
        <v>160.72415869076437</v>
      </c>
      <c r="Q159" s="14">
        <f>+Q158*(1+'SImple Return'!C158)</f>
        <v>115.82874731834724</v>
      </c>
      <c r="R159" s="14">
        <f>+R158*(1+'SImple Return'!D158)</f>
        <v>196.38901707429611</v>
      </c>
      <c r="S159" s="14">
        <f>+S158*(1+'SImple Return'!E158)</f>
        <v>176.63623210098274</v>
      </c>
      <c r="T159" s="14">
        <f>+T158*(1+'SImple Return'!F158)</f>
        <v>169.48164146868257</v>
      </c>
      <c r="U159" s="14">
        <f>+U158*(1+'SImple Return'!G158)</f>
        <v>205.64995002645648</v>
      </c>
      <c r="V159" s="14">
        <f>+V158*(1+'SImple Return'!H158)</f>
        <v>136.19062802028643</v>
      </c>
      <c r="W159" s="14">
        <f>+W158*(1+'SImple Return'!I158)</f>
        <v>163.99876359793006</v>
      </c>
      <c r="X159" s="14">
        <f>+X158*(1+'SImple Return'!J158)</f>
        <v>179.54991890884543</v>
      </c>
      <c r="Y159" s="14">
        <f>+Y158*(1+'SImple Return'!K158)</f>
        <v>186.26517727051956</v>
      </c>
      <c r="Z159" s="14">
        <f>+Z158*(1+'SImple Return'!L158)</f>
        <v>748.2853664475283</v>
      </c>
      <c r="AA159" s="14">
        <f>+AA158*(1+'SImple Return'!M158)</f>
        <v>224.97130985358152</v>
      </c>
      <c r="AB159" s="14">
        <f>+AB158*(1+'SImple Return'!N158)</f>
        <v>156.10168662918596</v>
      </c>
    </row>
    <row r="160" spans="1:28">
      <c r="A160" s="8">
        <v>38730</v>
      </c>
      <c r="B160" s="10">
        <v>1306.77</v>
      </c>
      <c r="C160" s="10">
        <v>248.74</v>
      </c>
      <c r="D160" s="10">
        <v>170.64</v>
      </c>
      <c r="E160" s="11">
        <v>1764.84</v>
      </c>
      <c r="F160" s="11">
        <v>1730.27</v>
      </c>
      <c r="G160" s="11">
        <v>2140.15</v>
      </c>
      <c r="H160" s="14">
        <v>1345.48</v>
      </c>
      <c r="I160" s="14">
        <v>1657.78</v>
      </c>
      <c r="J160" s="14">
        <v>1803.96</v>
      </c>
      <c r="K160" s="14">
        <v>1987.39</v>
      </c>
      <c r="L160" s="14">
        <v>7835.17</v>
      </c>
      <c r="M160" s="14">
        <v>2280.0100000000002</v>
      </c>
      <c r="N160" s="14">
        <v>1588.71</v>
      </c>
      <c r="P160" s="14">
        <f>+P159*(1+'SImple Return'!B159)</f>
        <v>160.55460677470484</v>
      </c>
      <c r="Q160" s="14">
        <f>+Q159*(1+'SImple Return'!C159)</f>
        <v>116.00596959238884</v>
      </c>
      <c r="R160" s="14">
        <f>+R159*(1+'SImple Return'!D159)</f>
        <v>196.86202122750333</v>
      </c>
      <c r="S160" s="14">
        <f>+S159*(1+'SImple Return'!E159)</f>
        <v>176.1053734470886</v>
      </c>
      <c r="T160" s="14">
        <f>+T159*(1+'SImple Return'!F159)</f>
        <v>169.86746514824276</v>
      </c>
      <c r="U160" s="14">
        <f>+U159*(1+'SImple Return'!G159)</f>
        <v>209.70760577733347</v>
      </c>
      <c r="V160" s="14">
        <f>+V159*(1+'SImple Return'!H159)</f>
        <v>134.06135727309874</v>
      </c>
      <c r="W160" s="14">
        <f>+W159*(1+'SImple Return'!I159)</f>
        <v>165.29698577140525</v>
      </c>
      <c r="X160" s="14">
        <f>+X159*(1+'SImple Return'!J159)</f>
        <v>181.72074422540314</v>
      </c>
      <c r="Y160" s="14">
        <f>+Y159*(1+'SImple Return'!K159)</f>
        <v>193.04419621175319</v>
      </c>
      <c r="Z160" s="14">
        <f>+Z159*(1+'SImple Return'!L159)</f>
        <v>763.10396883369822</v>
      </c>
      <c r="AA160" s="14">
        <f>+AA159*(1+'SImple Return'!M159)</f>
        <v>225.56489908983002</v>
      </c>
      <c r="AB160" s="14">
        <f>+AB159*(1+'SImple Return'!N159)</f>
        <v>155.33708139819112</v>
      </c>
    </row>
    <row r="161" spans="1:28">
      <c r="A161" s="8">
        <v>38737</v>
      </c>
      <c r="B161" s="10">
        <v>1281.7</v>
      </c>
      <c r="C161" s="10">
        <v>248.47</v>
      </c>
      <c r="D161" s="10">
        <v>169.6</v>
      </c>
      <c r="E161" s="11">
        <v>1781.78</v>
      </c>
      <c r="F161" s="11">
        <v>1735.35</v>
      </c>
      <c r="G161" s="11">
        <v>2099.66</v>
      </c>
      <c r="H161" s="14">
        <v>1369.32</v>
      </c>
      <c r="I161" s="14">
        <v>1623.98</v>
      </c>
      <c r="J161" s="14">
        <v>1826.02</v>
      </c>
      <c r="K161" s="14">
        <v>1970.48</v>
      </c>
      <c r="L161" s="14">
        <v>7849.21</v>
      </c>
      <c r="M161" s="14">
        <v>2281.42</v>
      </c>
      <c r="N161" s="14">
        <v>1590.29</v>
      </c>
      <c r="P161" s="14">
        <f>+P160*(1+'SImple Return'!B160)</f>
        <v>157.47441363295698</v>
      </c>
      <c r="Q161" s="14">
        <f>+Q160*(1+'SImple Return'!C160)</f>
        <v>115.88004850293822</v>
      </c>
      <c r="R161" s="14">
        <f>+R160*(1+'SImple Return'!D160)</f>
        <v>195.66220581448997</v>
      </c>
      <c r="S161" s="14">
        <f>+S160*(1+'SImple Return'!E160)</f>
        <v>177.79573916080412</v>
      </c>
      <c r="T161" s="14">
        <f>+T160*(1+'SImple Return'!F160)</f>
        <v>170.36618888670733</v>
      </c>
      <c r="U161" s="14">
        <f>+U160*(1+'SImple Return'!G160)</f>
        <v>205.74009837928929</v>
      </c>
      <c r="V161" s="14">
        <f>+V160*(1+'SImple Return'!H160)</f>
        <v>136.43673465320893</v>
      </c>
      <c r="W161" s="14">
        <f>+W160*(1+'SImple Return'!I160)</f>
        <v>161.92679303227612</v>
      </c>
      <c r="X161" s="14">
        <f>+X160*(1+'SImple Return'!J160)</f>
        <v>183.94294406221348</v>
      </c>
      <c r="Y161" s="14">
        <f>+Y160*(1+'SImple Return'!K160)</f>
        <v>191.40165128703245</v>
      </c>
      <c r="Z161" s="14">
        <f>+Z160*(1+'SImple Return'!L160)</f>
        <v>764.47139030922767</v>
      </c>
      <c r="AA161" s="14">
        <f>+AA160*(1+'SImple Return'!M160)</f>
        <v>225.70439256034842</v>
      </c>
      <c r="AB161" s="14">
        <f>+AB160*(1+'SImple Return'!N160)</f>
        <v>155.49156685406987</v>
      </c>
    </row>
    <row r="162" spans="1:28">
      <c r="A162" s="8">
        <v>38744</v>
      </c>
      <c r="B162" s="10">
        <v>1311.68</v>
      </c>
      <c r="C162" s="10">
        <v>246.91</v>
      </c>
      <c r="D162" s="10">
        <v>174.25</v>
      </c>
      <c r="E162" s="11">
        <v>1800.34</v>
      </c>
      <c r="F162" s="11">
        <v>1756.98</v>
      </c>
      <c r="G162" s="11">
        <v>2102.6799999999998</v>
      </c>
      <c r="H162" s="14">
        <v>1372.45</v>
      </c>
      <c r="I162" s="14">
        <v>1632.06</v>
      </c>
      <c r="J162" s="14">
        <v>1853.96</v>
      </c>
      <c r="K162" s="14">
        <v>1989.31</v>
      </c>
      <c r="L162" s="14">
        <v>8027.61</v>
      </c>
      <c r="M162" s="14">
        <v>2304.36</v>
      </c>
      <c r="N162" s="14">
        <v>1608.73</v>
      </c>
      <c r="P162" s="14">
        <f>+P161*(1+'SImple Return'!B161)</f>
        <v>161.15786757749629</v>
      </c>
      <c r="Q162" s="14">
        <f>+Q161*(1+'SImple Return'!C161)</f>
        <v>115.15250443055692</v>
      </c>
      <c r="R162" s="14">
        <f>+R161*(1+'SImple Return'!D161)</f>
        <v>201.02676511305941</v>
      </c>
      <c r="S162" s="14">
        <f>+S161*(1+'SImple Return'!E161)</f>
        <v>179.64775732175806</v>
      </c>
      <c r="T162" s="14">
        <f>+T161*(1+'SImple Return'!F161)</f>
        <v>172.48969173375232</v>
      </c>
      <c r="U162" s="14">
        <f>+U161*(1+'SImple Return'!G161)</f>
        <v>206.03602014619702</v>
      </c>
      <c r="V162" s="14">
        <f>+V161*(1+'SImple Return'!H161)</f>
        <v>136.74860257266133</v>
      </c>
      <c r="W162" s="14">
        <f>+W161*(1+'SImple Return'!I161)</f>
        <v>162.7324485746478</v>
      </c>
      <c r="X162" s="14">
        <f>+X161*(1+'SImple Return'!J161)</f>
        <v>186.75746189723074</v>
      </c>
      <c r="Y162" s="14">
        <f>+Y161*(1+'SImple Return'!K161)</f>
        <v>193.23069451189886</v>
      </c>
      <c r="Z162" s="14">
        <f>+Z161*(1+'SImple Return'!L161)</f>
        <v>781.84660336011632</v>
      </c>
      <c r="AA162" s="14">
        <f>+AA161*(1+'SImple Return'!M161)</f>
        <v>227.97388207360527</v>
      </c>
      <c r="AB162" s="14">
        <f>+AB161*(1+'SImple Return'!N161)</f>
        <v>157.29454901002197</v>
      </c>
    </row>
    <row r="163" spans="1:28">
      <c r="A163" s="8">
        <v>38751</v>
      </c>
      <c r="B163" s="10">
        <v>1296.1300000000001</v>
      </c>
      <c r="C163" s="10">
        <v>246.01</v>
      </c>
      <c r="D163" s="10">
        <v>173.41</v>
      </c>
      <c r="E163" s="11">
        <v>1815.81</v>
      </c>
      <c r="F163" s="11">
        <v>1746.84</v>
      </c>
      <c r="G163" s="11">
        <v>2048.08</v>
      </c>
      <c r="H163" s="14">
        <v>1378.34</v>
      </c>
      <c r="I163" s="14">
        <v>1657.26</v>
      </c>
      <c r="J163" s="14">
        <v>1861.08</v>
      </c>
      <c r="K163" s="14">
        <v>1969.36</v>
      </c>
      <c r="L163" s="14">
        <v>8198.0499999999993</v>
      </c>
      <c r="M163" s="14">
        <v>2268.0300000000002</v>
      </c>
      <c r="N163" s="14">
        <v>1589.37</v>
      </c>
      <c r="P163" s="14">
        <f>+P162*(1+'SImple Return'!B162)</f>
        <v>159.24733692914452</v>
      </c>
      <c r="Q163" s="14">
        <f>+Q162*(1+'SImple Return'!C162)</f>
        <v>114.73276746572154</v>
      </c>
      <c r="R163" s="14">
        <f>+R162*(1+'SImple Return'!D162)</f>
        <v>200.05768343331783</v>
      </c>
      <c r="S163" s="14">
        <f>+S162*(1+'SImple Return'!E162)</f>
        <v>181.19143840742387</v>
      </c>
      <c r="T163" s="14">
        <f>+T162*(1+'SImple Return'!F162)</f>
        <v>171.49420773610848</v>
      </c>
      <c r="U163" s="14">
        <f>+U162*(1+'SImple Return'!G162)</f>
        <v>200.68591138024959</v>
      </c>
      <c r="V163" s="14">
        <f>+V162*(1+'SImple Return'!H162)</f>
        <v>137.33547223578415</v>
      </c>
      <c r="W163" s="14">
        <f>+W162*(1+'SImple Return'!I162)</f>
        <v>165.2451366523417</v>
      </c>
      <c r="X163" s="14">
        <f>+X162*(1+'SImple Return'!J162)</f>
        <v>187.47469049369897</v>
      </c>
      <c r="Y163" s="14">
        <f>+Y162*(1+'SImple Return'!K162)</f>
        <v>191.29286061194742</v>
      </c>
      <c r="Z163" s="14">
        <f>+Z162*(1+'SImple Return'!L162)</f>
        <v>798.44655466277027</v>
      </c>
      <c r="AA163" s="14">
        <f>+AA162*(1+'SImple Return'!M162)</f>
        <v>224.37969924812052</v>
      </c>
      <c r="AB163" s="14">
        <f>+AB162*(1+'SImple Return'!N162)</f>
        <v>155.40161329748224</v>
      </c>
    </row>
    <row r="164" spans="1:28">
      <c r="A164" s="8">
        <v>38758</v>
      </c>
      <c r="B164" s="10">
        <v>1291.21</v>
      </c>
      <c r="C164" s="10">
        <v>245.67</v>
      </c>
      <c r="D164" s="10">
        <v>172.25</v>
      </c>
      <c r="E164" s="11">
        <v>1846.98</v>
      </c>
      <c r="F164" s="11">
        <v>1745.67</v>
      </c>
      <c r="G164" s="11">
        <v>2023.21</v>
      </c>
      <c r="H164" s="14">
        <v>1369.73</v>
      </c>
      <c r="I164" s="14">
        <v>1827.78</v>
      </c>
      <c r="J164" s="14">
        <v>1865.72</v>
      </c>
      <c r="K164" s="14">
        <v>2049.33</v>
      </c>
      <c r="L164" s="14">
        <v>8256.0300000000007</v>
      </c>
      <c r="M164" s="14">
        <v>2255.92</v>
      </c>
      <c r="N164" s="14">
        <v>1574.29</v>
      </c>
      <c r="P164" s="14">
        <f>+P163*(1+'SImple Return'!B163)</f>
        <v>158.64284748928014</v>
      </c>
      <c r="Q164" s="14">
        <f>+Q163*(1+'SImple Return'!C163)</f>
        <v>114.57420016789483</v>
      </c>
      <c r="R164" s="14">
        <f>+R163*(1+'SImple Return'!D163)</f>
        <v>198.71942778034136</v>
      </c>
      <c r="S164" s="14">
        <f>+S163*(1+'SImple Return'!E163)</f>
        <v>184.30175123484491</v>
      </c>
      <c r="T164" s="14">
        <f>+T163*(1+'SImple Return'!F163)</f>
        <v>171.37934419791884</v>
      </c>
      <c r="U164" s="14">
        <f>+U163*(1+'SImple Return'!G163)</f>
        <v>198.24896623356256</v>
      </c>
      <c r="V164" s="14">
        <f>+V163*(1+'SImple Return'!H163)</f>
        <v>136.47758636150778</v>
      </c>
      <c r="W164" s="14">
        <f>+W163*(1+'SImple Return'!I163)</f>
        <v>182.24765931140385</v>
      </c>
      <c r="X164" s="14">
        <f>+X163*(1+'SImple Return'!J163)</f>
        <v>187.94209789364461</v>
      </c>
      <c r="Y164" s="14">
        <f>+Y163*(1+'SImple Return'!K163)</f>
        <v>199.06070908207852</v>
      </c>
      <c r="Z164" s="14">
        <f>+Z163*(1+'SImple Return'!L163)</f>
        <v>804.09349890430929</v>
      </c>
      <c r="AA164" s="14">
        <f>+AA163*(1+'SImple Return'!M163)</f>
        <v>223.18163830629223</v>
      </c>
      <c r="AB164" s="14">
        <f>+AB163*(1+'SImple Return'!N163)</f>
        <v>153.92715717428499</v>
      </c>
    </row>
    <row r="165" spans="1:28">
      <c r="A165" s="8">
        <v>38765</v>
      </c>
      <c r="B165" s="10">
        <v>1301.8800000000001</v>
      </c>
      <c r="C165" s="10">
        <v>246.33</v>
      </c>
      <c r="D165" s="10">
        <v>172.61</v>
      </c>
      <c r="E165" s="11">
        <v>1866.12</v>
      </c>
      <c r="F165" s="11">
        <v>1761.47</v>
      </c>
      <c r="G165" s="11">
        <v>2013.59</v>
      </c>
      <c r="H165" s="14">
        <v>1366.83</v>
      </c>
      <c r="I165" s="14">
        <v>1888.4</v>
      </c>
      <c r="J165" s="14">
        <v>1865.14</v>
      </c>
      <c r="K165" s="14">
        <v>2058.5100000000002</v>
      </c>
      <c r="L165" s="14">
        <v>8283.34</v>
      </c>
      <c r="M165" s="14">
        <v>2273.08</v>
      </c>
      <c r="N165" s="14">
        <v>1603.73</v>
      </c>
      <c r="P165" s="14">
        <f>+P164*(1+'SImple Return'!B164)</f>
        <v>159.95380324605915</v>
      </c>
      <c r="Q165" s="14">
        <f>+Q164*(1+'SImple Return'!C164)</f>
        <v>114.88200727544078</v>
      </c>
      <c r="R165" s="14">
        <f>+R164*(1+'SImple Return'!D164)</f>
        <v>199.13474850023061</v>
      </c>
      <c r="S165" s="14">
        <f>+S164*(1+'SImple Return'!E164)</f>
        <v>186.21164496332867</v>
      </c>
      <c r="T165" s="14">
        <f>+T164*(1+'SImple Return'!F164)</f>
        <v>172.93049283330072</v>
      </c>
      <c r="U165" s="14">
        <f>+U164*(1+'SImple Return'!G164)</f>
        <v>197.30632802241942</v>
      </c>
      <c r="V165" s="14">
        <f>+V164*(1+'SImple Return'!H164)</f>
        <v>136.1886352540279</v>
      </c>
      <c r="W165" s="14">
        <f>+W164*(1+'SImple Return'!I164)</f>
        <v>188.29207007607866</v>
      </c>
      <c r="X165" s="14">
        <f>+X164*(1+'SImple Return'!J164)</f>
        <v>187.88367196865141</v>
      </c>
      <c r="Y165" s="14">
        <f>+Y164*(1+'SImple Return'!K164)</f>
        <v>199.95240407965017</v>
      </c>
      <c r="Z165" s="14">
        <f>+Z164*(1+'SImple Return'!L164)</f>
        <v>806.75334794253672</v>
      </c>
      <c r="AA165" s="14">
        <f>+AA164*(1+'SImple Return'!M164)</f>
        <v>224.87930352196298</v>
      </c>
      <c r="AB165" s="14">
        <f>+AB164*(1+'SImple Return'!N164)</f>
        <v>156.80567098508919</v>
      </c>
    </row>
    <row r="166" spans="1:28">
      <c r="A166" s="8">
        <v>38772</v>
      </c>
      <c r="B166" s="10">
        <v>1313.12</v>
      </c>
      <c r="C166" s="10">
        <v>246.43</v>
      </c>
      <c r="D166" s="10">
        <v>177.44</v>
      </c>
      <c r="E166" s="11">
        <v>1896.1</v>
      </c>
      <c r="F166" s="11">
        <v>1787.04</v>
      </c>
      <c r="G166" s="11">
        <v>2077</v>
      </c>
      <c r="H166" s="14">
        <v>1411.79</v>
      </c>
      <c r="I166" s="14">
        <v>1915.38</v>
      </c>
      <c r="J166" s="14">
        <v>1891.02</v>
      </c>
      <c r="K166" s="14">
        <v>2042.35</v>
      </c>
      <c r="L166" s="14">
        <v>8449.59</v>
      </c>
      <c r="M166" s="14">
        <v>2290.9299999999998</v>
      </c>
      <c r="N166" s="14">
        <v>1627.59</v>
      </c>
      <c r="P166" s="14">
        <f>+P165*(1+'SImple Return'!B165)</f>
        <v>161.33479131599316</v>
      </c>
      <c r="Q166" s="14">
        <f>+Q165*(1+'SImple Return'!C165)</f>
        <v>114.92864471597804</v>
      </c>
      <c r="R166" s="14">
        <f>+R165*(1+'SImple Return'!D165)</f>
        <v>204.70696815874467</v>
      </c>
      <c r="S166" s="14">
        <f>+S165*(1+'SImple Return'!E165)</f>
        <v>189.20321309185235</v>
      </c>
      <c r="T166" s="14">
        <f>+T165*(1+'SImple Return'!F165)</f>
        <v>175.44080109954851</v>
      </c>
      <c r="U166" s="14">
        <f>+U165*(1+'SImple Return'!G165)</f>
        <v>203.51970525408109</v>
      </c>
      <c r="V166" s="14">
        <f>+V165*(1+'SImple Return'!H165)</f>
        <v>140.66837380309479</v>
      </c>
      <c r="W166" s="14">
        <f>+W165*(1+'SImple Return'!I165)</f>
        <v>190.9822416767208</v>
      </c>
      <c r="X166" s="14">
        <f>+X165*(1+'SImple Return'!J165)</f>
        <v>190.49067703558936</v>
      </c>
      <c r="Y166" s="14">
        <f>+Y165*(1+'SImple Return'!K165)</f>
        <v>198.38271005342381</v>
      </c>
      <c r="Z166" s="14">
        <f>+Z165*(1+'SImple Return'!L165)</f>
        <v>822.94521548575563</v>
      </c>
      <c r="AA166" s="14">
        <f>+AA165*(1+'SImple Return'!M165)</f>
        <v>226.64523149980229</v>
      </c>
      <c r="AB166" s="14">
        <f>+AB165*(1+'SImple Return'!N165)</f>
        <v>159.13859692006841</v>
      </c>
    </row>
    <row r="167" spans="1:28">
      <c r="A167" s="8">
        <v>38779</v>
      </c>
      <c r="B167" s="10">
        <v>1311.7</v>
      </c>
      <c r="C167" s="10">
        <v>245.89</v>
      </c>
      <c r="D167" s="10">
        <v>177.47</v>
      </c>
      <c r="E167" s="11">
        <v>1886.44</v>
      </c>
      <c r="F167" s="11">
        <v>1754.17</v>
      </c>
      <c r="G167" s="11">
        <v>2049.8000000000002</v>
      </c>
      <c r="H167" s="14">
        <v>1381.64</v>
      </c>
      <c r="I167" s="14">
        <v>1941.28</v>
      </c>
      <c r="J167" s="14">
        <v>1879.73</v>
      </c>
      <c r="K167" s="14">
        <v>2032.35</v>
      </c>
      <c r="L167" s="14">
        <v>8226.9</v>
      </c>
      <c r="M167" s="14">
        <v>2278.92</v>
      </c>
      <c r="N167" s="14">
        <v>1607.78</v>
      </c>
      <c r="P167" s="14">
        <f>+P166*(1+'SImple Return'!B166)</f>
        <v>161.16032485164209</v>
      </c>
      <c r="Q167" s="14">
        <f>+Q166*(1+'SImple Return'!C166)</f>
        <v>114.6768025370768</v>
      </c>
      <c r="R167" s="14">
        <f>+R166*(1+'SImple Return'!D166)</f>
        <v>204.74157821873547</v>
      </c>
      <c r="S167" s="14">
        <f>+S166*(1+'SImple Return'!E166)</f>
        <v>188.23928553609724</v>
      </c>
      <c r="T167" s="14">
        <f>+T166*(1+'SImple Return'!F166)</f>
        <v>172.21382289416857</v>
      </c>
      <c r="U167" s="14">
        <f>+U166*(1+'SImple Return'!G166)</f>
        <v>200.85444960511097</v>
      </c>
      <c r="V167" s="14">
        <f>+V166*(1+'SImple Return'!H166)</f>
        <v>137.66427866843361</v>
      </c>
      <c r="W167" s="14">
        <f>+W166*(1+'SImple Return'!I166)</f>
        <v>193.56472664546175</v>
      </c>
      <c r="X167" s="14">
        <f>+X166*(1+'SImple Return'!J166)</f>
        <v>189.3533861852907</v>
      </c>
      <c r="Y167" s="14">
        <f>+Y166*(1+'SImple Return'!K166)</f>
        <v>197.41136474016494</v>
      </c>
      <c r="Z167" s="14">
        <f>+Z166*(1+'SImple Return'!L166)</f>
        <v>801.25639152666133</v>
      </c>
      <c r="AA167" s="14">
        <f>+AA166*(1+'SImple Return'!M166)</f>
        <v>225.45706371191153</v>
      </c>
      <c r="AB167" s="14">
        <f>+AB166*(1+'SImple Return'!N166)</f>
        <v>157.20166218528476</v>
      </c>
    </row>
    <row r="168" spans="1:28">
      <c r="A168" s="8">
        <v>38786</v>
      </c>
      <c r="B168" s="10">
        <v>1303.8399999999999</v>
      </c>
      <c r="C168" s="10">
        <v>244.27</v>
      </c>
      <c r="D168" s="10">
        <v>178.5</v>
      </c>
      <c r="E168" s="11">
        <v>1851.55</v>
      </c>
      <c r="F168" s="11">
        <v>1725.16</v>
      </c>
      <c r="G168" s="11">
        <v>2066.75</v>
      </c>
      <c r="H168" s="14">
        <v>1367.94</v>
      </c>
      <c r="I168" s="14">
        <v>1891.39</v>
      </c>
      <c r="J168" s="14">
        <v>1829.55</v>
      </c>
      <c r="K168" s="14">
        <v>2002.22</v>
      </c>
      <c r="L168" s="14">
        <v>8122.81</v>
      </c>
      <c r="M168" s="14">
        <v>2267.0700000000002</v>
      </c>
      <c r="N168" s="14">
        <v>1576.06</v>
      </c>
      <c r="P168" s="14">
        <f>+P167*(1+'SImple Return'!B167)</f>
        <v>160.19461611234655</v>
      </c>
      <c r="Q168" s="14">
        <f>+Q167*(1+'SImple Return'!C167)</f>
        <v>113.92127600037314</v>
      </c>
      <c r="R168" s="14">
        <f>+R167*(1+'SImple Return'!D167)</f>
        <v>205.92985694508528</v>
      </c>
      <c r="S168" s="14">
        <f>+S167*(1+'SImple Return'!E167)</f>
        <v>184.75777079279533</v>
      </c>
      <c r="T168" s="14">
        <f>+T167*(1+'SImple Return'!F167)</f>
        <v>169.36579619085029</v>
      </c>
      <c r="U168" s="14">
        <f>+U167*(1+'SImple Return'!G167)</f>
        <v>202.51533501871552</v>
      </c>
      <c r="V168" s="14">
        <f>+V167*(1+'SImple Return'!H167)</f>
        <v>136.29923378137363</v>
      </c>
      <c r="W168" s="14">
        <f>+W167*(1+'SImple Return'!I167)</f>
        <v>188.59020251069393</v>
      </c>
      <c r="X168" s="14">
        <f>+X167*(1+'SImple Return'!J167)</f>
        <v>184.2985363298445</v>
      </c>
      <c r="Y168" s="14">
        <f>+Y167*(1+'SImple Return'!K167)</f>
        <v>194.484701311316</v>
      </c>
      <c r="Z168" s="14">
        <f>+Z167*(1+'SImple Return'!L167)</f>
        <v>791.1185780374966</v>
      </c>
      <c r="AA168" s="14">
        <f>+AA167*(1+'SImple Return'!M167)</f>
        <v>224.28472497032072</v>
      </c>
      <c r="AB168" s="14">
        <f>+AB167*(1+'SImple Return'!N167)</f>
        <v>154.10021999511122</v>
      </c>
    </row>
    <row r="169" spans="1:28">
      <c r="A169" s="8">
        <v>38793</v>
      </c>
      <c r="B169" s="10">
        <v>1338.58</v>
      </c>
      <c r="C169" s="10">
        <v>246.62</v>
      </c>
      <c r="D169" s="10">
        <v>184.08</v>
      </c>
      <c r="E169" s="11">
        <v>1912.24</v>
      </c>
      <c r="F169" s="11">
        <v>1746.78</v>
      </c>
      <c r="G169" s="11">
        <v>2069</v>
      </c>
      <c r="H169" s="14">
        <v>1386.67</v>
      </c>
      <c r="I169" s="14">
        <v>1951.31</v>
      </c>
      <c r="J169" s="14">
        <v>1898.61</v>
      </c>
      <c r="K169" s="14">
        <v>2072.2199999999998</v>
      </c>
      <c r="L169" s="14">
        <v>8241.98</v>
      </c>
      <c r="M169" s="14">
        <v>2307.13</v>
      </c>
      <c r="N169" s="14">
        <v>1613.07</v>
      </c>
      <c r="P169" s="14">
        <f>+P168*(1+'SImple Return'!B168)</f>
        <v>164.46290130358389</v>
      </c>
      <c r="Q169" s="14">
        <f>+Q168*(1+'SImple Return'!C168)</f>
        <v>115.01725585299883</v>
      </c>
      <c r="R169" s="14">
        <f>+R168*(1+'SImple Return'!D168)</f>
        <v>212.36732810336861</v>
      </c>
      <c r="S169" s="14">
        <f>+S168*(1+'SImple Return'!E168)</f>
        <v>190.81375043656124</v>
      </c>
      <c r="T169" s="14">
        <f>+T168*(1+'SImple Return'!F168)</f>
        <v>171.48831729825258</v>
      </c>
      <c r="U169" s="14">
        <f>+U168*(1+'SImple Return'!G168)</f>
        <v>202.73580653379577</v>
      </c>
      <c r="V169" s="14">
        <f>+V168*(1+'SImple Return'!H168)</f>
        <v>138.16545938244178</v>
      </c>
      <c r="W169" s="14">
        <f>+W168*(1+'SImple Return'!I168)</f>
        <v>194.56481638432166</v>
      </c>
      <c r="X169" s="14">
        <f>+X168*(1+'SImple Return'!J168)</f>
        <v>191.25525077817278</v>
      </c>
      <c r="Y169" s="14">
        <f>+Y168*(1+'SImple Return'!K168)</f>
        <v>201.28411850412803</v>
      </c>
      <c r="Z169" s="14">
        <f>+Z168*(1+'SImple Return'!L168)</f>
        <v>802.72510348185972</v>
      </c>
      <c r="AA169" s="14">
        <f>+AA168*(1+'SImple Return'!M168)</f>
        <v>228.24792243767328</v>
      </c>
      <c r="AB169" s="14">
        <f>+AB168*(1+'SImple Return'!N168)</f>
        <v>157.71889513566364</v>
      </c>
    </row>
    <row r="170" spans="1:28">
      <c r="A170" s="8">
        <v>38800</v>
      </c>
      <c r="B170" s="10">
        <v>1335.52</v>
      </c>
      <c r="C170" s="10">
        <v>246.04</v>
      </c>
      <c r="D170" s="10">
        <v>182.21</v>
      </c>
      <c r="E170" s="11">
        <v>1888.09</v>
      </c>
      <c r="F170" s="11">
        <v>1732.34</v>
      </c>
      <c r="G170" s="11">
        <v>2021.97</v>
      </c>
      <c r="H170" s="14">
        <v>1359.59</v>
      </c>
      <c r="I170" s="14">
        <v>1934.87</v>
      </c>
      <c r="J170" s="14">
        <v>1881.52</v>
      </c>
      <c r="K170" s="14">
        <v>2213.2600000000002</v>
      </c>
      <c r="L170" s="14">
        <v>8180.12</v>
      </c>
      <c r="M170" s="14">
        <v>2273.29</v>
      </c>
      <c r="N170" s="14">
        <v>1591.74</v>
      </c>
      <c r="P170" s="14">
        <f>+P169*(1+'SImple Return'!B169)</f>
        <v>164.08693835927801</v>
      </c>
      <c r="Q170" s="14">
        <f>+Q169*(1+'SImple Return'!C169)</f>
        <v>114.7467586978827</v>
      </c>
      <c r="R170" s="14">
        <f>+R169*(1+'SImple Return'!D169)</f>
        <v>210.20996769727722</v>
      </c>
      <c r="S170" s="14">
        <f>+S169*(1+'SImple Return'!E169)</f>
        <v>188.40393154717341</v>
      </c>
      <c r="T170" s="14">
        <f>+T169*(1+'SImple Return'!F169)</f>
        <v>170.07068525427064</v>
      </c>
      <c r="U170" s="14">
        <f>+U169*(1+'SImple Return'!G169)</f>
        <v>198.12746193191833</v>
      </c>
      <c r="V170" s="14">
        <f>+V169*(1+'SImple Return'!H169)</f>
        <v>135.46725386845753</v>
      </c>
      <c r="W170" s="14">
        <f>+W169*(1+'SImple Return'!I169)</f>
        <v>192.92558654315943</v>
      </c>
      <c r="X170" s="14">
        <f>+X169*(1+'SImple Return'!J169)</f>
        <v>189.53370067794211</v>
      </c>
      <c r="Y170" s="14">
        <f>+Y169*(1+'SImple Return'!K169)</f>
        <v>214.9839728023311</v>
      </c>
      <c r="Z170" s="14">
        <f>+Z169*(1+'SImple Return'!L169)</f>
        <v>796.70026783540254</v>
      </c>
      <c r="AA170" s="14">
        <f>+AA169*(1+'SImple Return'!M169)</f>
        <v>224.90007914523164</v>
      </c>
      <c r="AB170" s="14">
        <f>+AB169*(1+'SImple Return'!N169)</f>
        <v>155.63334148130042</v>
      </c>
    </row>
    <row r="171" spans="1:28">
      <c r="A171" s="8">
        <v>38807</v>
      </c>
      <c r="B171" s="10">
        <v>1335.07</v>
      </c>
      <c r="C171" s="10">
        <v>244.48</v>
      </c>
      <c r="D171" s="10">
        <v>184.57</v>
      </c>
      <c r="E171" s="11">
        <v>1868.91</v>
      </c>
      <c r="F171" s="11">
        <v>1716.05</v>
      </c>
      <c r="G171" s="11">
        <v>2047.66</v>
      </c>
      <c r="H171" s="14">
        <v>1334.07</v>
      </c>
      <c r="I171" s="14">
        <v>1928.39</v>
      </c>
      <c r="J171" s="14">
        <v>1848.86</v>
      </c>
      <c r="K171" s="14">
        <v>2268.9499999999998</v>
      </c>
      <c r="L171" s="14">
        <v>8021.52</v>
      </c>
      <c r="M171" s="14">
        <v>2283.92</v>
      </c>
      <c r="N171" s="14">
        <v>1587.58</v>
      </c>
      <c r="P171" s="14">
        <f>+P170*(1+'SImple Return'!B170)</f>
        <v>164.03164969099774</v>
      </c>
      <c r="Q171" s="14">
        <f>+Q170*(1+'SImple Return'!C170)</f>
        <v>114.01921462550139</v>
      </c>
      <c r="R171" s="14">
        <f>+R170*(1+'SImple Return'!D170)</f>
        <v>212.93262574988449</v>
      </c>
      <c r="S171" s="14">
        <f>+S170*(1+'SImple Return'!E170)</f>
        <v>186.49004640023932</v>
      </c>
      <c r="T171" s="14">
        <f>+T170*(1+'SImple Return'!F170)</f>
        <v>168.47143137639907</v>
      </c>
      <c r="U171" s="14">
        <f>+U170*(1+'SImple Return'!G170)</f>
        <v>200.64475669743464</v>
      </c>
      <c r="V171" s="14">
        <f>+V170*(1+'SImple Return'!H170)</f>
        <v>132.92448412263488</v>
      </c>
      <c r="W171" s="14">
        <f>+W170*(1+'SImple Return'!I170)</f>
        <v>192.27946675175244</v>
      </c>
      <c r="X171" s="14">
        <f>+X170*(1+'SImple Return'!J170)</f>
        <v>186.24371669470432</v>
      </c>
      <c r="Y171" s="14">
        <f>+Y170*(1+'SImple Return'!K170)</f>
        <v>220.39339485186969</v>
      </c>
      <c r="Z171" s="14">
        <f>+Z170*(1+'SImple Return'!L170)</f>
        <v>781.25346968590168</v>
      </c>
      <c r="AA171" s="14">
        <f>+AA170*(1+'SImple Return'!M170)</f>
        <v>225.95172140878526</v>
      </c>
      <c r="AB171" s="14">
        <f>+AB170*(1+'SImple Return'!N170)</f>
        <v>155.22659496455634</v>
      </c>
    </row>
    <row r="172" spans="1:28">
      <c r="A172" s="8">
        <v>38814</v>
      </c>
      <c r="B172" s="10">
        <v>1346.29</v>
      </c>
      <c r="C172" s="10">
        <v>243.5</v>
      </c>
      <c r="D172" s="10">
        <v>183.61</v>
      </c>
      <c r="E172" s="11">
        <v>1891.36</v>
      </c>
      <c r="F172" s="11">
        <v>1719.4</v>
      </c>
      <c r="G172" s="11">
        <v>2099.27</v>
      </c>
      <c r="H172" s="14">
        <v>1322.32</v>
      </c>
      <c r="I172" s="14">
        <v>1955.82</v>
      </c>
      <c r="J172" s="14">
        <v>1871.53</v>
      </c>
      <c r="K172" s="14">
        <v>2289.8200000000002</v>
      </c>
      <c r="L172" s="14">
        <v>8356.44</v>
      </c>
      <c r="M172" s="14">
        <v>2328.73</v>
      </c>
      <c r="N172" s="14">
        <v>1590.05</v>
      </c>
      <c r="P172" s="14">
        <f>+P171*(1+'SImple Return'!B171)</f>
        <v>165.41018048678598</v>
      </c>
      <c r="Q172" s="14">
        <f>+Q171*(1+'SImple Return'!C171)</f>
        <v>113.56216770823622</v>
      </c>
      <c r="R172" s="14">
        <f>+R171*(1+'SImple Return'!D171)</f>
        <v>211.82510383017987</v>
      </c>
      <c r="S172" s="14">
        <f>+S171*(1+'SImple Return'!E171)</f>
        <v>188.73023000548804</v>
      </c>
      <c r="T172" s="14">
        <f>+T171*(1+'SImple Return'!F171)</f>
        <v>168.80031415668577</v>
      </c>
      <c r="U172" s="14">
        <f>+U171*(1+'SImple Return'!G171)</f>
        <v>205.70188331667541</v>
      </c>
      <c r="V172" s="14">
        <f>+V171*(1+'SImple Return'!H171)</f>
        <v>131.75373394577687</v>
      </c>
      <c r="W172" s="14">
        <f>+W171*(1+'SImple Return'!I171)</f>
        <v>195.01450778235335</v>
      </c>
      <c r="X172" s="14">
        <f>+X171*(1+'SImple Return'!J171)</f>
        <v>188.52736448711099</v>
      </c>
      <c r="Y172" s="14">
        <f>+Y171*(1+'SImple Return'!K171)</f>
        <v>222.42059252064095</v>
      </c>
      <c r="Z172" s="14">
        <f>+Z171*(1+'SImple Return'!L171)</f>
        <v>813.87289992695355</v>
      </c>
      <c r="AA172" s="14">
        <f>+AA171*(1+'SImple Return'!M171)</f>
        <v>230.38484368816793</v>
      </c>
      <c r="AB172" s="14">
        <f>+AB171*(1+'SImple Return'!N171)</f>
        <v>155.46810070887312</v>
      </c>
    </row>
    <row r="173" spans="1:28">
      <c r="A173" s="8">
        <v>38821</v>
      </c>
      <c r="B173" s="10">
        <v>1334.98</v>
      </c>
      <c r="C173" s="10">
        <v>242.73</v>
      </c>
      <c r="D173" s="10">
        <v>179.12</v>
      </c>
      <c r="E173" s="11">
        <v>1871.19</v>
      </c>
      <c r="F173" s="11">
        <v>1707.03</v>
      </c>
      <c r="G173" s="11">
        <v>2036.57</v>
      </c>
      <c r="H173" s="14">
        <v>1303.8599999999999</v>
      </c>
      <c r="I173" s="14">
        <v>1936.34</v>
      </c>
      <c r="J173" s="14">
        <v>1834.55</v>
      </c>
      <c r="K173" s="14">
        <v>2236.52</v>
      </c>
      <c r="L173" s="14">
        <v>8378.69</v>
      </c>
      <c r="M173" s="14">
        <v>2297.9499999999998</v>
      </c>
      <c r="N173" s="14">
        <v>1574.62</v>
      </c>
      <c r="P173" s="14">
        <f>+P172*(1+'SImple Return'!B172)</f>
        <v>164.02059195734171</v>
      </c>
      <c r="Q173" s="14">
        <f>+Q172*(1+'SImple Return'!C172)</f>
        <v>113.20305941609929</v>
      </c>
      <c r="R173" s="14">
        <f>+R172*(1+'SImple Return'!D172)</f>
        <v>206.64513151822786</v>
      </c>
      <c r="S173" s="14">
        <f>+S172*(1+'SImple Return'!E172)</f>
        <v>186.71755725190826</v>
      </c>
      <c r="T173" s="14">
        <f>+T172*(1+'SImple Return'!F172)</f>
        <v>167.58590221873172</v>
      </c>
      <c r="U173" s="14">
        <f>+U172*(1+'SImple Return'!G172)</f>
        <v>199.55807709643904</v>
      </c>
      <c r="V173" s="14">
        <f>+V172*(1+'SImple Return'!H172)</f>
        <v>129.91441068919826</v>
      </c>
      <c r="W173" s="14">
        <f>+W172*(1+'SImple Return'!I172)</f>
        <v>193.07216001435822</v>
      </c>
      <c r="X173" s="14">
        <f>+X172*(1+'SImple Return'!J172)</f>
        <v>184.80220809702726</v>
      </c>
      <c r="Y173" s="14">
        <f>+Y172*(1+'SImple Return'!K172)</f>
        <v>217.24332200097118</v>
      </c>
      <c r="Z173" s="14">
        <f>+Z172*(1+'SImple Return'!L172)</f>
        <v>816.03993182371516</v>
      </c>
      <c r="AA173" s="14">
        <f>+AA172*(1+'SImple Return'!M172)</f>
        <v>227.33973090621302</v>
      </c>
      <c r="AB173" s="14">
        <f>+AB172*(1+'SImple Return'!N172)</f>
        <v>153.95942312393058</v>
      </c>
    </row>
    <row r="174" spans="1:28">
      <c r="A174" s="8">
        <v>38828</v>
      </c>
      <c r="B174" s="10">
        <v>1370.01</v>
      </c>
      <c r="C174" s="10">
        <v>244.56</v>
      </c>
      <c r="D174" s="10">
        <v>183.83</v>
      </c>
      <c r="E174" s="11">
        <v>1955.64</v>
      </c>
      <c r="F174" s="11">
        <v>1747.54</v>
      </c>
      <c r="G174" s="11">
        <v>2078.33</v>
      </c>
      <c r="H174" s="14">
        <v>1355.18</v>
      </c>
      <c r="I174" s="14">
        <v>2021.61</v>
      </c>
      <c r="J174" s="14">
        <v>1917.75</v>
      </c>
      <c r="K174" s="14">
        <v>2342.56</v>
      </c>
      <c r="L174" s="14">
        <v>8585.81</v>
      </c>
      <c r="M174" s="14">
        <v>2360.7600000000002</v>
      </c>
      <c r="N174" s="14">
        <v>1621.4</v>
      </c>
      <c r="P174" s="14">
        <f>+P173*(1+'SImple Return'!B173)</f>
        <v>168.32450762369302</v>
      </c>
      <c r="Q174" s="14">
        <f>+Q173*(1+'SImple Return'!C173)</f>
        <v>114.05652457793123</v>
      </c>
      <c r="R174" s="14">
        <f>+R173*(1+'SImple Return'!D173)</f>
        <v>212.07891093677884</v>
      </c>
      <c r="S174" s="14">
        <f>+S173*(1+'SImple Return'!E173)</f>
        <v>195.14443945517127</v>
      </c>
      <c r="T174" s="14">
        <f>+T173*(1+'SImple Return'!F173)</f>
        <v>171.56292951109378</v>
      </c>
      <c r="U174" s="14">
        <f>+U173*(1+'SImple Return'!G173)</f>
        <v>203.6500284163285</v>
      </c>
      <c r="V174" s="14">
        <f>+V173*(1+'SImple Return'!H173)</f>
        <v>135.02784890846235</v>
      </c>
      <c r="W174" s="14">
        <f>+W173*(1+'SImple Return'!I173)</f>
        <v>201.57441844233284</v>
      </c>
      <c r="X174" s="14">
        <f>+X173*(1+'SImple Return'!J173)</f>
        <v>193.18330630294844</v>
      </c>
      <c r="Y174" s="14">
        <f>+Y173*(1+'SImple Return'!K173)</f>
        <v>227.54346770276817</v>
      </c>
      <c r="Z174" s="14">
        <f>+Z173*(1+'SImple Return'!L173)</f>
        <v>836.21232042853615</v>
      </c>
      <c r="AA174" s="14">
        <f>+AA173*(1+'SImple Return'!M173)</f>
        <v>233.55362089434129</v>
      </c>
      <c r="AB174" s="14">
        <f>+AB173*(1+'SImple Return'!N173)</f>
        <v>158.53336592520168</v>
      </c>
    </row>
    <row r="175" spans="1:28">
      <c r="A175" s="8">
        <v>38835</v>
      </c>
      <c r="B175" s="10">
        <v>1373.38</v>
      </c>
      <c r="C175" s="10">
        <v>245.33</v>
      </c>
      <c r="D175" s="10">
        <v>184.53</v>
      </c>
      <c r="E175" s="11">
        <v>1986.06</v>
      </c>
      <c r="F175" s="11">
        <v>1769.05</v>
      </c>
      <c r="G175" s="11">
        <v>2096.02</v>
      </c>
      <c r="H175" s="14">
        <v>1375.63</v>
      </c>
      <c r="I175" s="14">
        <v>2044.83</v>
      </c>
      <c r="J175" s="14">
        <v>1893.19</v>
      </c>
      <c r="K175" s="14">
        <v>2362.4899999999998</v>
      </c>
      <c r="L175" s="14">
        <v>8979.4500000000007</v>
      </c>
      <c r="M175" s="14">
        <v>2417.86</v>
      </c>
      <c r="N175" s="14">
        <v>1628.15</v>
      </c>
      <c r="P175" s="14">
        <f>+P174*(1+'SImple Return'!B174)</f>
        <v>168.73855831725865</v>
      </c>
      <c r="Q175" s="14">
        <f>+Q174*(1+'SImple Return'!C174)</f>
        <v>114.41563287006815</v>
      </c>
      <c r="R175" s="14">
        <f>+R174*(1+'SImple Return'!D174)</f>
        <v>212.88647900323014</v>
      </c>
      <c r="S175" s="14">
        <f>+S174*(1+'SImple Return'!E174)</f>
        <v>198.17991318664858</v>
      </c>
      <c r="T175" s="14">
        <f>+T174*(1+'SImple Return'!F174)</f>
        <v>173.67465148242698</v>
      </c>
      <c r="U175" s="14">
        <f>+U174*(1+'SImple Return'!G174)</f>
        <v>205.38342446155946</v>
      </c>
      <c r="V175" s="14">
        <f>+V174*(1+'SImple Return'!H174)</f>
        <v>137.06545240775992</v>
      </c>
      <c r="W175" s="14">
        <f>+W174*(1+'SImple Return'!I174)</f>
        <v>203.88968102820795</v>
      </c>
      <c r="X175" s="14">
        <f>+X174*(1+'SImple Return'!J174)</f>
        <v>190.70927058254674</v>
      </c>
      <c r="Y175" s="14">
        <f>+Y174*(1+'SImple Return'!K174)</f>
        <v>229.47935891209306</v>
      </c>
      <c r="Z175" s="14">
        <f>+Z174*(1+'SImple Return'!L174)</f>
        <v>874.55076698319908</v>
      </c>
      <c r="AA175" s="14">
        <f>+AA174*(1+'SImple Return'!M174)</f>
        <v>239.20261179263969</v>
      </c>
      <c r="AB175" s="14">
        <f>+AB174*(1+'SImple Return'!N174)</f>
        <v>159.19335125886096</v>
      </c>
    </row>
    <row r="176" spans="1:28">
      <c r="A176" s="8">
        <v>38842</v>
      </c>
      <c r="B176" s="10">
        <v>1399.6</v>
      </c>
      <c r="C176" s="10">
        <v>246.52</v>
      </c>
      <c r="D176" s="10">
        <v>188.36</v>
      </c>
      <c r="E176" s="11">
        <v>2026.89</v>
      </c>
      <c r="F176" s="11">
        <v>1796.79</v>
      </c>
      <c r="G176" s="11">
        <v>2102.9499999999998</v>
      </c>
      <c r="H176" s="14">
        <v>1389.53</v>
      </c>
      <c r="I176" s="14">
        <v>2080.5100000000002</v>
      </c>
      <c r="J176" s="14">
        <v>1942.79</v>
      </c>
      <c r="K176" s="14">
        <v>2406.83</v>
      </c>
      <c r="L176" s="14">
        <v>9231.9</v>
      </c>
      <c r="M176" s="14">
        <v>2454.69</v>
      </c>
      <c r="N176" s="14">
        <v>1653.77</v>
      </c>
      <c r="P176" s="14">
        <f>+P175*(1+'SImple Return'!B175)</f>
        <v>171.96004472238943</v>
      </c>
      <c r="Q176" s="14">
        <f>+Q175*(1+'SImple Return'!C175)</f>
        <v>114.97061841246158</v>
      </c>
      <c r="R176" s="14">
        <f>+R175*(1+'SImple Return'!D175)</f>
        <v>217.30502999538521</v>
      </c>
      <c r="S176" s="14">
        <f>+S175*(1+'SImple Return'!E175)</f>
        <v>202.25415356982478</v>
      </c>
      <c r="T176" s="14">
        <f>+T175*(1+'SImple Return'!F175)</f>
        <v>176.39799725112911</v>
      </c>
      <c r="U176" s="14">
        <f>+U175*(1+'SImple Return'!G175)</f>
        <v>206.06247672800663</v>
      </c>
      <c r="V176" s="14">
        <f>+V175*(1+'SImple Return'!H175)</f>
        <v>138.45042495740469</v>
      </c>
      <c r="W176" s="14">
        <f>+W175*(1+'SImple Return'!I175)</f>
        <v>207.44732827472063</v>
      </c>
      <c r="X176" s="14">
        <f>+X175*(1+'SImple Return'!J175)</f>
        <v>195.70569451299971</v>
      </c>
      <c r="Y176" s="14">
        <f>+Y175*(1+'SImple Return'!K175)</f>
        <v>233.78630403108289</v>
      </c>
      <c r="Z176" s="14">
        <f>+Z175*(1+'SImple Return'!L175)</f>
        <v>899.1380569758943</v>
      </c>
      <c r="AA176" s="14">
        <f>+AA175*(1+'SImple Return'!M175)</f>
        <v>242.84626038781184</v>
      </c>
      <c r="AB176" s="14">
        <f>+AB175*(1+'SImple Return'!N175)</f>
        <v>161.6983622586165</v>
      </c>
    </row>
    <row r="177" spans="1:28">
      <c r="A177" s="8">
        <v>38849</v>
      </c>
      <c r="B177" s="10">
        <v>1373.12</v>
      </c>
      <c r="C177" s="10">
        <v>246.4</v>
      </c>
      <c r="D177" s="10">
        <v>186.3</v>
      </c>
      <c r="E177" s="11">
        <v>2011.77</v>
      </c>
      <c r="F177" s="11">
        <v>1742.15</v>
      </c>
      <c r="G177" s="11">
        <v>2098.2800000000002</v>
      </c>
      <c r="H177" s="14">
        <v>1368.84</v>
      </c>
      <c r="I177" s="14">
        <v>2079.13</v>
      </c>
      <c r="J177" s="14">
        <v>1900.16</v>
      </c>
      <c r="K177" s="14">
        <v>2423.52</v>
      </c>
      <c r="L177" s="14">
        <v>8843.0400000000009</v>
      </c>
      <c r="M177" s="14">
        <v>2443.84</v>
      </c>
      <c r="N177" s="14">
        <v>1625.1</v>
      </c>
      <c r="P177" s="14">
        <f>+P176*(1+'SImple Return'!B176)</f>
        <v>168.70661375336337</v>
      </c>
      <c r="Q177" s="14">
        <f>+Q176*(1+'SImple Return'!C176)</f>
        <v>114.91465348381686</v>
      </c>
      <c r="R177" s="14">
        <f>+R176*(1+'SImple Return'!D176)</f>
        <v>214.92847254268563</v>
      </c>
      <c r="S177" s="14">
        <f>+S176*(1+'SImple Return'!E176)</f>
        <v>200.74539739559935</v>
      </c>
      <c r="T177" s="14">
        <f>+T176*(1+'SImple Return'!F176)</f>
        <v>171.03377184370717</v>
      </c>
      <c r="U177" s="14">
        <f>+U176*(1+'SImple Return'!G176)</f>
        <v>205.60487585004012</v>
      </c>
      <c r="V177" s="14">
        <f>+V176*(1+'SImple Return'!H176)</f>
        <v>136.38890826300536</v>
      </c>
      <c r="W177" s="14">
        <f>+W176*(1+'SImple Return'!I176)</f>
        <v>207.30972868951358</v>
      </c>
      <c r="X177" s="14">
        <f>+X176*(1+'SImple Return'!J176)</f>
        <v>191.41138902599948</v>
      </c>
      <c r="Y177" s="14">
        <f>+Y176*(1+'SImple Return'!K176)</f>
        <v>235.40747935891193</v>
      </c>
      <c r="Z177" s="14">
        <f>+Z176*(1+'SImple Return'!L176)</f>
        <v>861.26515704894041</v>
      </c>
      <c r="AA177" s="14">
        <f>+AA176*(1+'SImple Return'!M176)</f>
        <v>241.77285318559578</v>
      </c>
      <c r="AB177" s="14">
        <f>+AB176*(1+'SImple Return'!N176)</f>
        <v>158.89513566365193</v>
      </c>
    </row>
    <row r="178" spans="1:28">
      <c r="A178" s="8">
        <v>38856</v>
      </c>
      <c r="B178" s="10">
        <v>1321.98</v>
      </c>
      <c r="C178" s="10">
        <v>247.56</v>
      </c>
      <c r="D178" s="10">
        <v>177.29</v>
      </c>
      <c r="E178" s="11">
        <v>1956.44</v>
      </c>
      <c r="F178" s="11">
        <v>1698.32</v>
      </c>
      <c r="G178" s="11">
        <v>2018.23</v>
      </c>
      <c r="H178" s="14">
        <v>1376.79</v>
      </c>
      <c r="I178" s="14">
        <v>2008.93</v>
      </c>
      <c r="J178" s="14">
        <v>1852.04</v>
      </c>
      <c r="K178" s="14">
        <v>2275.81</v>
      </c>
      <c r="L178" s="14">
        <v>8255.89</v>
      </c>
      <c r="M178" s="14">
        <v>2340.81</v>
      </c>
      <c r="N178" s="14">
        <v>1584.52</v>
      </c>
      <c r="P178" s="14">
        <f>+P177*(1+'SImple Return'!B177)</f>
        <v>162.42336376257816</v>
      </c>
      <c r="Q178" s="14">
        <f>+Q177*(1+'SImple Return'!C177)</f>
        <v>115.45564779404913</v>
      </c>
      <c r="R178" s="14">
        <f>+R177*(1+'SImple Return'!D177)</f>
        <v>204.53391785879083</v>
      </c>
      <c r="S178" s="14">
        <f>+S177*(1+'SImple Return'!E177)</f>
        <v>195.22426782417793</v>
      </c>
      <c r="T178" s="14">
        <f>+T177*(1+'SImple Return'!F177)</f>
        <v>166.73080698998635</v>
      </c>
      <c r="U178" s="14">
        <f>+U177*(1+'SImple Return'!G177)</f>
        <v>197.76098928018493</v>
      </c>
      <c r="V178" s="14">
        <f>+V177*(1+'SImple Return'!H177)</f>
        <v>137.18103285075188</v>
      </c>
      <c r="W178" s="14">
        <f>+W177*(1+'SImple Return'!I177)</f>
        <v>200.31009761593768</v>
      </c>
      <c r="X178" s="14">
        <f>+X177*(1+'SImple Return'!J177)</f>
        <v>186.56405193863256</v>
      </c>
      <c r="Y178" s="14">
        <f>+Y177*(1+'SImple Return'!K177)</f>
        <v>221.05973773676527</v>
      </c>
      <c r="Z178" s="14">
        <f>+Z177*(1+'SImple Return'!L177)</f>
        <v>804.07986364743067</v>
      </c>
      <c r="AA178" s="14">
        <f>+AA177*(1+'SImple Return'!M177)</f>
        <v>231.57993668381499</v>
      </c>
      <c r="AB178" s="14">
        <f>+AB177*(1+'SImple Return'!N177)</f>
        <v>154.92740161329749</v>
      </c>
    </row>
    <row r="179" spans="1:28">
      <c r="A179" s="8">
        <v>38863</v>
      </c>
      <c r="B179" s="10">
        <v>1332.43</v>
      </c>
      <c r="C179" s="10">
        <v>247.5</v>
      </c>
      <c r="D179" s="10">
        <v>178.4</v>
      </c>
      <c r="E179" s="11">
        <v>1993.58</v>
      </c>
      <c r="F179" s="11">
        <v>1731.18</v>
      </c>
      <c r="G179" s="11">
        <v>2015.16</v>
      </c>
      <c r="H179" s="14">
        <v>1424.67</v>
      </c>
      <c r="I179" s="14">
        <v>1971.31</v>
      </c>
      <c r="J179" s="14">
        <v>1892.25</v>
      </c>
      <c r="K179" s="14">
        <v>2476.71</v>
      </c>
      <c r="L179" s="14">
        <v>8448.67</v>
      </c>
      <c r="M179" s="14">
        <v>2349.9299999999998</v>
      </c>
      <c r="N179" s="14">
        <v>1605.45</v>
      </c>
      <c r="P179" s="14">
        <f>+P178*(1+'SImple Return'!B178)</f>
        <v>163.70728950375349</v>
      </c>
      <c r="Q179" s="14">
        <f>+Q178*(1+'SImple Return'!C178)</f>
        <v>115.42766532972676</v>
      </c>
      <c r="R179" s="14">
        <f>+R178*(1+'SImple Return'!D178)</f>
        <v>205.81449007844935</v>
      </c>
      <c r="S179" s="14">
        <f>+S178*(1+'SImple Return'!E178)</f>
        <v>198.93029985531095</v>
      </c>
      <c r="T179" s="14">
        <f>+T178*(1+'SImple Return'!F178)</f>
        <v>169.95680345572367</v>
      </c>
      <c r="U179" s="14">
        <f>+U178*(1+'SImple Return'!G178)</f>
        <v>197.46016814627544</v>
      </c>
      <c r="V179" s="14">
        <f>+V178*(1+'SImple Return'!H178)</f>
        <v>141.95171527355711</v>
      </c>
      <c r="W179" s="14">
        <f>+W178*(1+'SImple Return'!I178)</f>
        <v>196.55901327138034</v>
      </c>
      <c r="X179" s="14">
        <f>+X178*(1+'SImple Return'!J178)</f>
        <v>190.61458029031633</v>
      </c>
      <c r="Y179" s="14">
        <f>+Y178*(1+'SImple Return'!K178)</f>
        <v>240.57406508013582</v>
      </c>
      <c r="Z179" s="14">
        <f>+Z178*(1+'SImple Return'!L178)</f>
        <v>822.85561236912542</v>
      </c>
      <c r="AA179" s="14">
        <f>+AA178*(1+'SImple Return'!M178)</f>
        <v>232.48219232291274</v>
      </c>
      <c r="AB179" s="14">
        <f>+AB178*(1+'SImple Return'!N178)</f>
        <v>156.97384502566612</v>
      </c>
    </row>
    <row r="180" spans="1:28">
      <c r="A180" s="8">
        <v>38870</v>
      </c>
      <c r="B180" s="10">
        <v>1342.76</v>
      </c>
      <c r="C180" s="10">
        <v>248.86</v>
      </c>
      <c r="D180" s="10">
        <v>180.68</v>
      </c>
      <c r="E180" s="11">
        <v>2047.86</v>
      </c>
      <c r="F180" s="11">
        <v>1785.78</v>
      </c>
      <c r="G180" s="11">
        <v>2039.92</v>
      </c>
      <c r="H180" s="14">
        <v>1456.59</v>
      </c>
      <c r="I180" s="14">
        <v>2117.79</v>
      </c>
      <c r="J180" s="14">
        <v>1925.35</v>
      </c>
      <c r="K180" s="14">
        <v>2523.77</v>
      </c>
      <c r="L180" s="14">
        <v>8532.15</v>
      </c>
      <c r="M180" s="14">
        <v>2360.3200000000002</v>
      </c>
      <c r="N180" s="14">
        <v>1666.9</v>
      </c>
      <c r="P180" s="14">
        <f>+P179*(1+'SImple Return'!B179)</f>
        <v>164.97647160005405</v>
      </c>
      <c r="Q180" s="14">
        <f>+Q179*(1+'SImple Return'!C179)</f>
        <v>116.06193452103354</v>
      </c>
      <c r="R180" s="14">
        <f>+R179*(1+'SImple Return'!D179)</f>
        <v>208.44485463774791</v>
      </c>
      <c r="S180" s="14">
        <f>+S179*(1+'SImple Return'!E179)</f>
        <v>204.34665469241119</v>
      </c>
      <c r="T180" s="14">
        <f>+T179*(1+'SImple Return'!F179)</f>
        <v>175.31710190457503</v>
      </c>
      <c r="U180" s="14">
        <f>+U179*(1+'SImple Return'!G179)</f>
        <v>199.88633468555855</v>
      </c>
      <c r="V180" s="14">
        <f>+V179*(1+'SImple Return'!H179)</f>
        <v>145.13217022209392</v>
      </c>
      <c r="W180" s="14">
        <f>+W179*(1+'SImple Return'!I179)</f>
        <v>211.16451127219796</v>
      </c>
      <c r="X180" s="14">
        <f>+X179*(1+'SImple Return'!J179)</f>
        <v>193.94888738906619</v>
      </c>
      <c r="Y180" s="14">
        <f>+Y179*(1+'SImple Return'!K179)</f>
        <v>245.14521612433202</v>
      </c>
      <c r="Z180" s="14">
        <f>+Z179*(1+'SImple Return'!L179)</f>
        <v>830.98612125639113</v>
      </c>
      <c r="AA180" s="14">
        <f>+AA179*(1+'SImple Return'!M179)</f>
        <v>233.51009101701646</v>
      </c>
      <c r="AB180" s="14">
        <f>+AB179*(1+'SImple Return'!N179)</f>
        <v>162.98215595208998</v>
      </c>
    </row>
    <row r="181" spans="1:28">
      <c r="A181" s="8">
        <v>38877</v>
      </c>
      <c r="B181" s="10">
        <v>1283.8499999999999</v>
      </c>
      <c r="C181" s="10">
        <v>247.8</v>
      </c>
      <c r="D181" s="10">
        <v>177.11</v>
      </c>
      <c r="E181" s="11">
        <v>1987.34</v>
      </c>
      <c r="F181" s="11">
        <v>1742.19</v>
      </c>
      <c r="G181" s="11">
        <v>2060.2199999999998</v>
      </c>
      <c r="H181" s="14">
        <v>1421.33</v>
      </c>
      <c r="I181" s="14">
        <v>2091.3000000000002</v>
      </c>
      <c r="J181" s="14">
        <v>1880.13</v>
      </c>
      <c r="K181" s="14">
        <v>2450.13</v>
      </c>
      <c r="L181" s="14">
        <v>8187.22</v>
      </c>
      <c r="M181" s="14">
        <v>2303.42</v>
      </c>
      <c r="N181" s="14">
        <v>1626.71</v>
      </c>
      <c r="P181" s="14">
        <f>+P180*(1+'SImple Return'!B180)</f>
        <v>157.73857060362937</v>
      </c>
      <c r="Q181" s="14">
        <f>+Q180*(1+'SImple Return'!C180)</f>
        <v>115.56757765133854</v>
      </c>
      <c r="R181" s="14">
        <f>+R180*(1+'SImple Return'!D180)</f>
        <v>204.32625749884622</v>
      </c>
      <c r="S181" s="14">
        <f>+S180*(1+'SImple Return'!E180)</f>
        <v>198.30763857705921</v>
      </c>
      <c r="T181" s="14">
        <f>+T180*(1+'SImple Return'!F180)</f>
        <v>171.03769880227776</v>
      </c>
      <c r="U181" s="14">
        <f>+U180*(1+'SImple Return'!G180)</f>
        <v>201.87547768828256</v>
      </c>
      <c r="V181" s="14">
        <f>+V180*(1+'SImple Return'!H180)</f>
        <v>141.61892330839066</v>
      </c>
      <c r="W181" s="14">
        <f>+W180*(1+'SImple Return'!I180)</f>
        <v>208.52319749528877</v>
      </c>
      <c r="X181" s="14">
        <f>+X180*(1+'SImple Return'!J180)</f>
        <v>189.3936799266653</v>
      </c>
      <c r="Y181" s="14">
        <f>+Y180*(1+'SImple Return'!K180)</f>
        <v>237.99222923749377</v>
      </c>
      <c r="Z181" s="14">
        <f>+Z180*(1+'SImple Return'!L180)</f>
        <v>797.39177014852658</v>
      </c>
      <c r="AA181" s="14">
        <f>+AA180*(1+'SImple Return'!M180)</f>
        <v>227.88088642659301</v>
      </c>
      <c r="AB181" s="14">
        <f>+AB180*(1+'SImple Return'!N180)</f>
        <v>159.05255438768029</v>
      </c>
    </row>
    <row r="182" spans="1:28">
      <c r="A182" s="8">
        <v>38884</v>
      </c>
      <c r="B182" s="10">
        <v>1278.0999999999999</v>
      </c>
      <c r="C182" s="10">
        <v>246.26</v>
      </c>
      <c r="D182" s="10">
        <v>176.33</v>
      </c>
      <c r="E182" s="11">
        <v>1983.77</v>
      </c>
      <c r="F182" s="11">
        <v>1735.84</v>
      </c>
      <c r="G182" s="11">
        <v>2045.06</v>
      </c>
      <c r="H182" s="14">
        <v>1423.26</v>
      </c>
      <c r="I182" s="14">
        <v>2084.91</v>
      </c>
      <c r="J182" s="14">
        <v>1858.7</v>
      </c>
      <c r="K182" s="14">
        <v>2724.01</v>
      </c>
      <c r="L182" s="14">
        <v>8242.58</v>
      </c>
      <c r="M182" s="14">
        <v>2274.19</v>
      </c>
      <c r="N182" s="14">
        <v>1604.79</v>
      </c>
      <c r="P182" s="14">
        <f>+P181*(1+'SImple Return'!B181)</f>
        <v>157.03210428671474</v>
      </c>
      <c r="Q182" s="14">
        <f>+Q181*(1+'SImple Return'!C181)</f>
        <v>114.84936106706468</v>
      </c>
      <c r="R182" s="14">
        <f>+R181*(1+'SImple Return'!D181)</f>
        <v>203.42639593908618</v>
      </c>
      <c r="S182" s="14">
        <f>+S181*(1+'SImple Return'!E181)</f>
        <v>197.9514044803671</v>
      </c>
      <c r="T182" s="14">
        <f>+T181*(1+'SImple Return'!F181)</f>
        <v>170.41429412919706</v>
      </c>
      <c r="U182" s="14">
        <f>+U181*(1+'SImple Return'!G181)</f>
        <v>200.38998961334184</v>
      </c>
      <c r="V182" s="14">
        <f>+V181*(1+'SImple Return'!H181)</f>
        <v>141.81122525233417</v>
      </c>
      <c r="W182" s="14">
        <f>+W181*(1+'SImple Return'!I181)</f>
        <v>207.88605158987349</v>
      </c>
      <c r="X182" s="14">
        <f>+X181*(1+'SImple Return'!J181)</f>
        <v>187.23494273251998</v>
      </c>
      <c r="Y182" s="14">
        <f>+Y181*(1+'SImple Return'!K181)</f>
        <v>264.59543467702753</v>
      </c>
      <c r="Z182" s="14">
        <f>+Z181*(1+'SImple Return'!L181)</f>
        <v>802.78354029705349</v>
      </c>
      <c r="AA182" s="14">
        <f>+AA181*(1+'SImple Return'!M181)</f>
        <v>224.98911753066898</v>
      </c>
      <c r="AB182" s="14">
        <f>+AB181*(1+'SImple Return'!N181)</f>
        <v>156.90931312637497</v>
      </c>
    </row>
    <row r="183" spans="1:28">
      <c r="A183" s="8">
        <v>38891</v>
      </c>
      <c r="B183" s="10">
        <v>1277.43</v>
      </c>
      <c r="C183" s="10">
        <v>244.85</v>
      </c>
      <c r="D183" s="10">
        <v>174.7</v>
      </c>
      <c r="E183" s="11">
        <v>1984.72</v>
      </c>
      <c r="F183" s="11">
        <v>1736.52</v>
      </c>
      <c r="G183" s="11">
        <v>2007</v>
      </c>
      <c r="H183" s="14">
        <v>1397.1</v>
      </c>
      <c r="I183" s="14">
        <v>2099.1799999999998</v>
      </c>
      <c r="J183" s="14">
        <v>1856.51</v>
      </c>
      <c r="K183" s="14">
        <v>2811.05</v>
      </c>
      <c r="L183" s="14">
        <v>8427.27</v>
      </c>
      <c r="M183" s="14">
        <v>2254.25</v>
      </c>
      <c r="N183" s="14">
        <v>1605.84</v>
      </c>
      <c r="P183" s="14">
        <f>+P182*(1+'SImple Return'!B182)</f>
        <v>156.94978560283079</v>
      </c>
      <c r="Q183" s="14">
        <f>+Q182*(1+'SImple Return'!C182)</f>
        <v>114.19177315548926</v>
      </c>
      <c r="R183" s="14">
        <f>+R182*(1+'SImple Return'!D182)</f>
        <v>201.54591601292094</v>
      </c>
      <c r="S183" s="14">
        <f>+S182*(1+'SImple Return'!E182)</f>
        <v>198.04620066856251</v>
      </c>
      <c r="T183" s="14">
        <f>+T182*(1+'SImple Return'!F182)</f>
        <v>170.48105242489703</v>
      </c>
      <c r="U183" s="14">
        <f>+U182*(1+'SImple Return'!G182)</f>
        <v>196.66059145158434</v>
      </c>
      <c r="V183" s="14">
        <f>+V182*(1+'SImple Return'!H182)</f>
        <v>139.20468698624009</v>
      </c>
      <c r="W183" s="14">
        <f>+W182*(1+'SImple Return'!I182)</f>
        <v>209.30891106878985</v>
      </c>
      <c r="X183" s="14">
        <f>+X182*(1+'SImple Return'!J182)</f>
        <v>187.01433449849392</v>
      </c>
      <c r="Y183" s="14">
        <f>+Y182*(1+'SImple Return'!K182)</f>
        <v>273.05002428363269</v>
      </c>
      <c r="Z183" s="14">
        <f>+Z182*(1+'SImple Return'!L182)</f>
        <v>820.77136596055493</v>
      </c>
      <c r="AA183" s="14">
        <f>+AA182*(1+'SImple Return'!M182)</f>
        <v>223.0164226355364</v>
      </c>
      <c r="AB183" s="14">
        <f>+AB182*(1+'SImple Return'!N182)</f>
        <v>157.01197751161084</v>
      </c>
    </row>
    <row r="184" spans="1:28">
      <c r="A184" s="8">
        <v>38898</v>
      </c>
      <c r="B184" s="10">
        <v>1319.93</v>
      </c>
      <c r="C184" s="10">
        <v>246.68</v>
      </c>
      <c r="D184" s="10">
        <v>181.95</v>
      </c>
      <c r="E184" s="11">
        <v>2021.64</v>
      </c>
      <c r="F184" s="11">
        <v>1781.1</v>
      </c>
      <c r="G184" s="11">
        <v>2018.68</v>
      </c>
      <c r="H184" s="14">
        <v>1412.46</v>
      </c>
      <c r="I184" s="14">
        <v>2142.02</v>
      </c>
      <c r="J184" s="14">
        <v>1879.33</v>
      </c>
      <c r="K184" s="14">
        <v>2811</v>
      </c>
      <c r="L184" s="14">
        <v>8643.43</v>
      </c>
      <c r="M184" s="14">
        <v>2304.7199999999998</v>
      </c>
      <c r="N184" s="14">
        <v>1660.85</v>
      </c>
      <c r="P184" s="14">
        <f>+P183*(1+'SImple Return'!B183)</f>
        <v>162.1714931626347</v>
      </c>
      <c r="Q184" s="14">
        <f>+Q183*(1+'SImple Return'!C183)</f>
        <v>115.04523831732119</v>
      </c>
      <c r="R184" s="14">
        <f>+R183*(1+'SImple Return'!D183)</f>
        <v>209.91001384402384</v>
      </c>
      <c r="S184" s="14">
        <f>+S183*(1+'SImple Return'!E183)</f>
        <v>201.73027989821873</v>
      </c>
      <c r="T184" s="14">
        <f>+T183*(1+'SImple Return'!F183)</f>
        <v>174.8576477518163</v>
      </c>
      <c r="U184" s="14">
        <f>+U183*(1+'SImple Return'!G183)</f>
        <v>197.80508358320091</v>
      </c>
      <c r="V184" s="14">
        <f>+V183*(1+'SImple Return'!H183)</f>
        <v>140.73513147275406</v>
      </c>
      <c r="W184" s="14">
        <f>+W183*(1+'SImple Return'!I183)</f>
        <v>213.58048080086954</v>
      </c>
      <c r="X184" s="14">
        <f>+X183*(1+'SImple Return'!J183)</f>
        <v>189.31309244391608</v>
      </c>
      <c r="Y184" s="14">
        <f>+Y183*(1+'SImple Return'!K183)</f>
        <v>273.04516755706641</v>
      </c>
      <c r="Z184" s="14">
        <f>+Z183*(1+'SImple Return'!L183)</f>
        <v>841.82420258095897</v>
      </c>
      <c r="AA184" s="14">
        <f>+AA183*(1+'SImple Return'!M183)</f>
        <v>228.00949742778019</v>
      </c>
      <c r="AB184" s="14">
        <f>+AB183*(1+'SImple Return'!N183)</f>
        <v>162.39061354192125</v>
      </c>
    </row>
    <row r="185" spans="1:28">
      <c r="A185" s="8">
        <v>38905</v>
      </c>
      <c r="B185" s="10">
        <v>1319.11</v>
      </c>
      <c r="C185" s="10">
        <v>247.08</v>
      </c>
      <c r="D185" s="10">
        <v>183.71</v>
      </c>
      <c r="E185" s="11">
        <v>2050.04</v>
      </c>
      <c r="F185" s="11">
        <v>1795.54</v>
      </c>
      <c r="G185" s="11">
        <v>2042.74</v>
      </c>
      <c r="H185" s="14">
        <v>1438.7</v>
      </c>
      <c r="I185" s="14">
        <v>2152.8000000000002</v>
      </c>
      <c r="J185" s="14">
        <v>1917.9</v>
      </c>
      <c r="K185" s="14">
        <v>2805.24</v>
      </c>
      <c r="L185" s="14">
        <v>8680.4599999999991</v>
      </c>
      <c r="M185" s="14">
        <v>2327.62</v>
      </c>
      <c r="N185" s="14">
        <v>1673.28</v>
      </c>
      <c r="P185" s="14">
        <f>+P184*(1+'SImple Return'!B184)</f>
        <v>162.0707449226573</v>
      </c>
      <c r="Q185" s="14">
        <f>+Q184*(1+'SImple Return'!C184)</f>
        <v>115.23178807947025</v>
      </c>
      <c r="R185" s="14">
        <f>+R184*(1+'SImple Return'!D184)</f>
        <v>211.94047069681574</v>
      </c>
      <c r="S185" s="14">
        <f>+S184*(1+'SImple Return'!E184)</f>
        <v>204.56418699795427</v>
      </c>
      <c r="T185" s="14">
        <f>+T184*(1+'SImple Return'!F184)</f>
        <v>176.27527979579824</v>
      </c>
      <c r="U185" s="14">
        <f>+U184*(1+'SImple Return'!G184)</f>
        <v>200.16265898445906</v>
      </c>
      <c r="V185" s="14">
        <f>+V184*(1+'SImple Return'!H184)</f>
        <v>143.34964080388207</v>
      </c>
      <c r="W185" s="14">
        <f>+W184*(1+'SImple Return'!I184)</f>
        <v>214.65535292299418</v>
      </c>
      <c r="X185" s="14">
        <f>+X184*(1+'SImple Return'!J184)</f>
        <v>193.19841645596395</v>
      </c>
      <c r="Y185" s="14">
        <f>+Y184*(1+'SImple Return'!K184)</f>
        <v>272.48567265662928</v>
      </c>
      <c r="Z185" s="14">
        <f>+Z184*(1+'SImple Return'!L184)</f>
        <v>845.4307280253222</v>
      </c>
      <c r="AA185" s="14">
        <f>+AA184*(1+'SImple Return'!M184)</f>
        <v>230.27502967946205</v>
      </c>
      <c r="AB185" s="14">
        <f>+AB184*(1+'SImple Return'!N184)</f>
        <v>163.60596431190416</v>
      </c>
    </row>
    <row r="186" spans="1:28">
      <c r="A186" s="8">
        <v>38912</v>
      </c>
      <c r="B186" s="10">
        <v>1274.68</v>
      </c>
      <c r="C186" s="10">
        <v>247.14</v>
      </c>
      <c r="D186" s="10">
        <v>179.07</v>
      </c>
      <c r="E186" s="11">
        <v>1988.54</v>
      </c>
      <c r="F186" s="11">
        <v>1775.37</v>
      </c>
      <c r="G186" s="11">
        <v>2000.42</v>
      </c>
      <c r="H186" s="14">
        <v>1418.21</v>
      </c>
      <c r="I186" s="14">
        <v>2100.25</v>
      </c>
      <c r="J186" s="14">
        <v>1853.75</v>
      </c>
      <c r="K186" s="14">
        <v>2766.27</v>
      </c>
      <c r="L186" s="14">
        <v>8347.64</v>
      </c>
      <c r="M186" s="14">
        <v>2242.48</v>
      </c>
      <c r="N186" s="14">
        <v>1663.94</v>
      </c>
      <c r="P186" s="14">
        <f>+P185*(1+'SImple Return'!B185)</f>
        <v>156.61191040778468</v>
      </c>
      <c r="Q186" s="14">
        <f>+Q185*(1+'SImple Return'!C185)</f>
        <v>115.2597705437926</v>
      </c>
      <c r="R186" s="14">
        <f>+R185*(1+'SImple Return'!D185)</f>
        <v>206.58744808490985</v>
      </c>
      <c r="S186" s="14">
        <f>+S185*(1+'SImple Return'!E185)</f>
        <v>198.42738113056916</v>
      </c>
      <c r="T186" s="14">
        <f>+T185*(1+'SImple Return'!F185)</f>
        <v>174.2951109365797</v>
      </c>
      <c r="U186" s="14">
        <f>+U185*(1+'SImple Return'!G185)</f>
        <v>196.01583475414964</v>
      </c>
      <c r="V186" s="14">
        <f>+V185*(1+'SImple Return'!H185)</f>
        <v>141.30805177206756</v>
      </c>
      <c r="W186" s="14">
        <f>+W185*(1+'SImple Return'!I185)</f>
        <v>209.41560060224754</v>
      </c>
      <c r="X186" s="14">
        <f>+X185*(1+'SImple Return'!J185)</f>
        <v>186.7363076830091</v>
      </c>
      <c r="Y186" s="14">
        <f>+Y185*(1+'SImple Return'!K185)</f>
        <v>268.70033997085949</v>
      </c>
      <c r="Z186" s="14">
        <f>+Z185*(1+'SImple Return'!L185)</f>
        <v>813.01582663744784</v>
      </c>
      <c r="AA186" s="14">
        <f>+AA185*(1+'SImple Return'!M185)</f>
        <v>221.85199841709561</v>
      </c>
      <c r="AB186" s="14">
        <f>+AB185*(1+'SImple Return'!N185)</f>
        <v>162.69274016132974</v>
      </c>
    </row>
    <row r="187" spans="1:28">
      <c r="A187" s="8">
        <v>38919</v>
      </c>
      <c r="B187" s="10">
        <v>1279.8499999999999</v>
      </c>
      <c r="C187" s="10">
        <v>247.95</v>
      </c>
      <c r="D187" s="10">
        <v>180.59</v>
      </c>
      <c r="E187" s="11">
        <v>2030.2</v>
      </c>
      <c r="F187" s="11">
        <v>1806.03</v>
      </c>
      <c r="G187" s="11">
        <v>2011.24</v>
      </c>
      <c r="H187" s="14">
        <v>1455.59</v>
      </c>
      <c r="I187" s="14">
        <v>2123.7399999999998</v>
      </c>
      <c r="J187" s="14">
        <v>1933.97</v>
      </c>
      <c r="K187" s="14">
        <v>2801.17</v>
      </c>
      <c r="L187" s="14">
        <v>8495.7099999999991</v>
      </c>
      <c r="M187" s="14">
        <v>2234.6</v>
      </c>
      <c r="N187" s="14">
        <v>1684.96</v>
      </c>
      <c r="P187" s="14">
        <f>+P186*(1+'SImple Return'!B186)</f>
        <v>157.24711577447138</v>
      </c>
      <c r="Q187" s="14">
        <f>+Q186*(1+'SImple Return'!C186)</f>
        <v>115.63753381214444</v>
      </c>
      <c r="R187" s="14">
        <f>+R186*(1+'SImple Return'!D186)</f>
        <v>208.34102445777557</v>
      </c>
      <c r="S187" s="14">
        <f>+S186*(1+'SImple Return'!E186)</f>
        <v>202.58444344658972</v>
      </c>
      <c r="T187" s="14">
        <f>+T186*(1+'SImple Return'!F186)</f>
        <v>177.30512468093471</v>
      </c>
      <c r="U187" s="14">
        <f>+U186*(1+'SImple Return'!G186)</f>
        <v>197.07605777333555</v>
      </c>
      <c r="V187" s="14">
        <f>+V186*(1+'SImple Return'!H186)</f>
        <v>145.03253190916988</v>
      </c>
      <c r="W187" s="14">
        <f>+W186*(1+'SImple Return'!I186)</f>
        <v>211.75778484609791</v>
      </c>
      <c r="X187" s="14">
        <f>+X186*(1+'SImple Return'!J186)</f>
        <v>194.81721751568932</v>
      </c>
      <c r="Y187" s="14">
        <f>+Y186*(1+'SImple Return'!K186)</f>
        <v>272.09033511413293</v>
      </c>
      <c r="Z187" s="14">
        <f>+Z186*(1+'SImple Return'!L186)</f>
        <v>827.43705868030145</v>
      </c>
      <c r="AA187" s="14">
        <f>+AA186*(1+'SImple Return'!M186)</f>
        <v>221.07241788682256</v>
      </c>
      <c r="AB187" s="14">
        <f>+AB186*(1+'SImple Return'!N186)</f>
        <v>164.74798337814715</v>
      </c>
    </row>
    <row r="188" spans="1:28">
      <c r="A188" s="8">
        <v>38926</v>
      </c>
      <c r="B188" s="10">
        <v>1328.16</v>
      </c>
      <c r="C188" s="10">
        <v>249.39</v>
      </c>
      <c r="D188" s="10">
        <v>188.26</v>
      </c>
      <c r="E188" s="11">
        <v>2096.79</v>
      </c>
      <c r="F188" s="11">
        <v>1860.28</v>
      </c>
      <c r="G188" s="11">
        <v>2016.15</v>
      </c>
      <c r="H188" s="14">
        <v>1499.26</v>
      </c>
      <c r="I188" s="14">
        <v>2145.5500000000002</v>
      </c>
      <c r="J188" s="14">
        <v>1999.64</v>
      </c>
      <c r="K188" s="14">
        <v>2814.7</v>
      </c>
      <c r="L188" s="14">
        <v>8886.5400000000009</v>
      </c>
      <c r="M188" s="14">
        <v>2283.64</v>
      </c>
      <c r="N188" s="14">
        <v>1739.8</v>
      </c>
      <c r="P188" s="14">
        <f>+P187*(1+'SImple Return'!B187)</f>
        <v>163.18266147362732</v>
      </c>
      <c r="Q188" s="14">
        <f>+Q187*(1+'SImple Return'!C187)</f>
        <v>116.30911295588102</v>
      </c>
      <c r="R188" s="14">
        <f>+R187*(1+'SImple Return'!D187)</f>
        <v>217.18966312874926</v>
      </c>
      <c r="S188" s="14">
        <f>+S187*(1+'SImple Return'!E187)</f>
        <v>209.22915731177955</v>
      </c>
      <c r="T188" s="14">
        <f>+T187*(1+'SImple Return'!F187)</f>
        <v>182.63106224229347</v>
      </c>
      <c r="U188" s="14">
        <f>+U187*(1+'SImple Return'!G187)</f>
        <v>197.55717561291067</v>
      </c>
      <c r="V188" s="14">
        <f>+V187*(1+'SImple Return'!H187)</f>
        <v>149.38373703456472</v>
      </c>
      <c r="W188" s="14">
        <f>+W187*(1+'SImple Return'!I187)</f>
        <v>213.93245655143542</v>
      </c>
      <c r="X188" s="14">
        <f>+X187*(1+'SImple Return'!J187)</f>
        <v>201.43244250586775</v>
      </c>
      <c r="Y188" s="14">
        <f>+Y187*(1+'SImple Return'!K187)</f>
        <v>273.40456532297213</v>
      </c>
      <c r="Z188" s="14">
        <f>+Z187*(1+'SImple Return'!L187)</f>
        <v>865.50182615047447</v>
      </c>
      <c r="AA188" s="14">
        <f>+AA187*(1+'SImple Return'!M187)</f>
        <v>225.92402057776044</v>
      </c>
      <c r="AB188" s="14">
        <f>+AB187*(1+'SImple Return'!N187)</f>
        <v>170.10999755560988</v>
      </c>
    </row>
    <row r="189" spans="1:28">
      <c r="A189" s="8">
        <v>38933</v>
      </c>
      <c r="B189" s="10">
        <v>1335.69</v>
      </c>
      <c r="C189" s="10">
        <v>251.06</v>
      </c>
      <c r="D189" s="10">
        <v>190.9</v>
      </c>
      <c r="E189" s="11">
        <v>2131.21</v>
      </c>
      <c r="F189" s="11">
        <v>1853.14</v>
      </c>
      <c r="G189" s="11">
        <v>2026.81</v>
      </c>
      <c r="H189" s="14">
        <v>1514.04</v>
      </c>
      <c r="I189" s="14">
        <v>2185.44</v>
      </c>
      <c r="J189" s="14">
        <v>2027.3</v>
      </c>
      <c r="K189" s="14">
        <v>2888.95</v>
      </c>
      <c r="L189" s="14">
        <v>8858.86</v>
      </c>
      <c r="M189" s="14">
        <v>2323.1</v>
      </c>
      <c r="N189" s="14">
        <v>1730.02</v>
      </c>
      <c r="P189" s="14">
        <f>+P188*(1+'SImple Return'!B188)</f>
        <v>164.10782518951726</v>
      </c>
      <c r="Q189" s="14">
        <f>+Q188*(1+'SImple Return'!C188)</f>
        <v>117.08795821285331</v>
      </c>
      <c r="R189" s="14">
        <f>+R188*(1+'SImple Return'!D188)</f>
        <v>220.23534840793707</v>
      </c>
      <c r="S189" s="14">
        <f>+S188*(1+'SImple Return'!E188)</f>
        <v>212.66377288829005</v>
      </c>
      <c r="T189" s="14">
        <f>+T188*(1+'SImple Return'!F188)</f>
        <v>181.93010013744367</v>
      </c>
      <c r="U189" s="14">
        <f>+U188*(1+'SImple Return'!G188)</f>
        <v>198.60172065769089</v>
      </c>
      <c r="V189" s="14">
        <f>+V188*(1+'SImple Return'!H188)</f>
        <v>150.8563912995827</v>
      </c>
      <c r="W189" s="14">
        <f>+W188*(1+'SImple Return'!I188)</f>
        <v>217.90988224267392</v>
      </c>
      <c r="X189" s="14">
        <f>+X188*(1+'SImple Return'!J188)</f>
        <v>204.21875472192278</v>
      </c>
      <c r="Y189" s="14">
        <f>+Y188*(1+'SImple Return'!K188)</f>
        <v>280.61680427391917</v>
      </c>
      <c r="Z189" s="14">
        <f>+Z188*(1+'SImple Return'!L188)</f>
        <v>862.80594107621107</v>
      </c>
      <c r="AA189" s="14">
        <f>+AA188*(1+'SImple Return'!M188)</f>
        <v>229.82785912148822</v>
      </c>
      <c r="AB189" s="14">
        <f>+AB188*(1+'SImple Return'!N188)</f>
        <v>169.15375213884138</v>
      </c>
    </row>
    <row r="190" spans="1:28">
      <c r="A190" s="8">
        <v>38940</v>
      </c>
      <c r="B190" s="10">
        <v>1318.5</v>
      </c>
      <c r="C190" s="10">
        <v>249.78</v>
      </c>
      <c r="D190" s="10">
        <v>187.83</v>
      </c>
      <c r="E190" s="11">
        <v>2130.2199999999998</v>
      </c>
      <c r="F190" s="11">
        <v>1839.1</v>
      </c>
      <c r="G190" s="11">
        <v>2049.1799999999998</v>
      </c>
      <c r="H190" s="14">
        <v>1524.46</v>
      </c>
      <c r="I190" s="14">
        <v>2160.7600000000002</v>
      </c>
      <c r="J190" s="14">
        <v>2016.38</v>
      </c>
      <c r="K190" s="14">
        <v>2891.32</v>
      </c>
      <c r="L190" s="14">
        <v>8901.6200000000008</v>
      </c>
      <c r="M190" s="14">
        <v>2314.0500000000002</v>
      </c>
      <c r="N190" s="14">
        <v>1713.6</v>
      </c>
      <c r="P190" s="14">
        <f>+P189*(1+'SImple Return'!B189)</f>
        <v>161.99579806121068</v>
      </c>
      <c r="Q190" s="14">
        <f>+Q189*(1+'SImple Return'!C189)</f>
        <v>116.49099897397635</v>
      </c>
      <c r="R190" s="14">
        <f>+R189*(1+'SImple Return'!D189)</f>
        <v>216.69358560221488</v>
      </c>
      <c r="S190" s="14">
        <f>+S189*(1+'SImple Return'!E189)</f>
        <v>212.56498528164434</v>
      </c>
      <c r="T190" s="14">
        <f>+T189*(1+'SImple Return'!F189)</f>
        <v>180.55173767916759</v>
      </c>
      <c r="U190" s="14">
        <f>+U189*(1+'SImple Return'!G189)</f>
        <v>200.79369745428878</v>
      </c>
      <c r="V190" s="14">
        <f>+V189*(1+'SImple Return'!H189)</f>
        <v>151.89462252025166</v>
      </c>
      <c r="W190" s="14">
        <f>+W189*(1+'SImple Return'!I189)</f>
        <v>215.44904328404357</v>
      </c>
      <c r="X190" s="14">
        <f>+X189*(1+'SImple Return'!J189)</f>
        <v>203.11873558239563</v>
      </c>
      <c r="Y190" s="14">
        <f>+Y189*(1+'SImple Return'!K189)</f>
        <v>280.84701311316155</v>
      </c>
      <c r="Z190" s="14">
        <f>+Z189*(1+'SImple Return'!L189)</f>
        <v>866.97053810567286</v>
      </c>
      <c r="AA190" s="14">
        <f>+AA189*(1+'SImple Return'!M189)</f>
        <v>228.93252869014674</v>
      </c>
      <c r="AB190" s="14">
        <f>+AB189*(1+'SImple Return'!N189)</f>
        <v>167.54827670496215</v>
      </c>
    </row>
    <row r="191" spans="1:28">
      <c r="A191" s="8">
        <v>38947</v>
      </c>
      <c r="B191" s="10">
        <v>1354.91</v>
      </c>
      <c r="C191" s="10">
        <v>251.56</v>
      </c>
      <c r="D191" s="10">
        <v>191.34</v>
      </c>
      <c r="E191" s="11">
        <v>2138.9</v>
      </c>
      <c r="F191" s="11">
        <v>1864.41</v>
      </c>
      <c r="G191" s="11">
        <v>2044.38</v>
      </c>
      <c r="H191" s="14">
        <v>1528.46</v>
      </c>
      <c r="I191" s="14">
        <v>2188.38</v>
      </c>
      <c r="J191" s="14">
        <v>2011.94</v>
      </c>
      <c r="K191" s="14">
        <v>2887.89</v>
      </c>
      <c r="L191" s="14">
        <v>9220.69</v>
      </c>
      <c r="M191" s="14">
        <v>2333.87</v>
      </c>
      <c r="N191" s="14">
        <v>1723.35</v>
      </c>
      <c r="P191" s="14">
        <f>+P190*(1+'SImple Return'!B190)</f>
        <v>166.46926564362153</v>
      </c>
      <c r="Q191" s="14">
        <f>+Q190*(1+'SImple Return'!C190)</f>
        <v>117.32114541553965</v>
      </c>
      <c r="R191" s="14">
        <f>+R190*(1+'SImple Return'!D190)</f>
        <v>220.74296262113504</v>
      </c>
      <c r="S191" s="14">
        <f>+S190*(1+'SImple Return'!E190)</f>
        <v>213.43112308536635</v>
      </c>
      <c r="T191" s="14">
        <f>+T190*(1+'SImple Return'!F190)</f>
        <v>183.03652071470657</v>
      </c>
      <c r="U191" s="14">
        <f>+U190*(1+'SImple Return'!G190)</f>
        <v>200.32335822211761</v>
      </c>
      <c r="V191" s="14">
        <f>+V190*(1+'SImple Return'!H190)</f>
        <v>152.293175771948</v>
      </c>
      <c r="W191" s="14">
        <f>+W190*(1+'SImple Return'!I190)</f>
        <v>218.20302918507156</v>
      </c>
      <c r="X191" s="14">
        <f>+X190*(1+'SImple Return'!J190)</f>
        <v>202.67147505313733</v>
      </c>
      <c r="Y191" s="14">
        <f>+Y190*(1+'SImple Return'!K190)</f>
        <v>280.51384167071376</v>
      </c>
      <c r="Z191" s="14">
        <f>+Z190*(1+'SImple Return'!L190)</f>
        <v>898.04626247869442</v>
      </c>
      <c r="AA191" s="14">
        <f>+AA190*(1+'SImple Return'!M190)</f>
        <v>230.89335180055429</v>
      </c>
      <c r="AB191" s="14">
        <f>+AB190*(1+'SImple Return'!N190)</f>
        <v>168.5015888535811</v>
      </c>
    </row>
    <row r="192" spans="1:28">
      <c r="A192" s="8">
        <v>38954</v>
      </c>
      <c r="B192" s="10">
        <v>1345.06</v>
      </c>
      <c r="C192" s="10">
        <v>252.03</v>
      </c>
      <c r="D192" s="10">
        <v>190.01</v>
      </c>
      <c r="E192" s="11">
        <v>2140.88</v>
      </c>
      <c r="F192" s="11">
        <v>1863.43</v>
      </c>
      <c r="G192" s="11">
        <v>2052.7199999999998</v>
      </c>
      <c r="H192" s="14">
        <v>1539.29</v>
      </c>
      <c r="I192" s="14">
        <v>2177.4499999999998</v>
      </c>
      <c r="J192" s="14">
        <v>2005.61</v>
      </c>
      <c r="K192" s="14">
        <v>2996.74</v>
      </c>
      <c r="L192" s="14">
        <v>9145.4599999999991</v>
      </c>
      <c r="M192" s="14">
        <v>2336.23</v>
      </c>
      <c r="N192" s="14">
        <v>1721.82</v>
      </c>
      <c r="P192" s="14">
        <f>+P191*(1+'SImple Return'!B191)</f>
        <v>165.25905812681989</v>
      </c>
      <c r="Q192" s="14">
        <f>+Q191*(1+'SImple Return'!C191)</f>
        <v>117.5403413860648</v>
      </c>
      <c r="R192" s="14">
        <f>+R191*(1+'SImple Return'!D191)</f>
        <v>219.20858329487751</v>
      </c>
      <c r="S192" s="14">
        <f>+S191*(1+'SImple Return'!E191)</f>
        <v>213.62869829865775</v>
      </c>
      <c r="T192" s="14">
        <f>+T191*(1+'SImple Return'!F191)</f>
        <v>182.94031022972717</v>
      </c>
      <c r="U192" s="14">
        <f>+U191*(1+'SImple Return'!G191)</f>
        <v>201.14057263801504</v>
      </c>
      <c r="V192" s="14">
        <f>+V191*(1+'SImple Return'!H191)</f>
        <v>153.37225870091584</v>
      </c>
      <c r="W192" s="14">
        <f>+W191*(1+'SImple Return'!I191)</f>
        <v>217.11320058629397</v>
      </c>
      <c r="X192" s="14">
        <f>+X191*(1+'SImple Return'!J191)</f>
        <v>202.03382659588394</v>
      </c>
      <c r="Y192" s="14">
        <f>+Y191*(1+'SImple Return'!K191)</f>
        <v>291.08693540553651</v>
      </c>
      <c r="Z192" s="14">
        <f>+Z191*(1+'SImple Return'!L191)</f>
        <v>890.7192598003403</v>
      </c>
      <c r="AA192" s="14">
        <f>+AA191*(1+'SImple Return'!M191)</f>
        <v>231.12683023347873</v>
      </c>
      <c r="AB192" s="14">
        <f>+AB191*(1+'SImple Return'!N191)</f>
        <v>168.35199217795167</v>
      </c>
    </row>
    <row r="193" spans="1:28">
      <c r="A193" s="8">
        <v>38961</v>
      </c>
      <c r="B193" s="10">
        <v>1365.17</v>
      </c>
      <c r="C193" s="10">
        <v>253.19</v>
      </c>
      <c r="D193" s="10">
        <v>194.04</v>
      </c>
      <c r="E193" s="11">
        <v>2200.5100000000002</v>
      </c>
      <c r="F193" s="11">
        <v>1894.23</v>
      </c>
      <c r="G193" s="11">
        <v>2094.0500000000002</v>
      </c>
      <c r="H193" s="14">
        <v>1565.87</v>
      </c>
      <c r="I193" s="14">
        <v>2263.4899999999998</v>
      </c>
      <c r="J193" s="14">
        <v>2083</v>
      </c>
      <c r="K193" s="14">
        <v>3027.27</v>
      </c>
      <c r="L193" s="14">
        <v>9328.25</v>
      </c>
      <c r="M193" s="14">
        <v>2398.3200000000002</v>
      </c>
      <c r="N193" s="14">
        <v>1746.81</v>
      </c>
      <c r="P193" s="14">
        <f>+P192*(1+'SImple Return'!B192)</f>
        <v>167.7298472804118</v>
      </c>
      <c r="Q193" s="14">
        <f>+Q192*(1+'SImple Return'!C192)</f>
        <v>118.08133569629706</v>
      </c>
      <c r="R193" s="14">
        <f>+R192*(1+'SImple Return'!D192)</f>
        <v>223.85786802030435</v>
      </c>
      <c r="S193" s="14">
        <f>+S192*(1+'SImple Return'!E192)</f>
        <v>219.57890535348986</v>
      </c>
      <c r="T193" s="14">
        <f>+T192*(1+'SImple Return'!F192)</f>
        <v>185.96406832907925</v>
      </c>
      <c r="U193" s="14">
        <f>+U192*(1+'SImple Return'!G192)</f>
        <v>205.19038940168923</v>
      </c>
      <c r="V193" s="14">
        <f>+V192*(1+'SImple Return'!H192)</f>
        <v>156.02064505843802</v>
      </c>
      <c r="W193" s="14">
        <f>+W192*(1+'SImple Return'!I192)</f>
        <v>225.69223559442034</v>
      </c>
      <c r="X193" s="14">
        <f>+X192*(1+'SImple Return'!J192)</f>
        <v>209.82965820833874</v>
      </c>
      <c r="Y193" s="14">
        <f>+Y192*(1+'SImple Return'!K192)</f>
        <v>294.05245264691587</v>
      </c>
      <c r="Z193" s="14">
        <f>+Z192*(1+'SImple Return'!L192)</f>
        <v>908.52203554906202</v>
      </c>
      <c r="AA193" s="14">
        <f>+AA192*(1+'SImple Return'!M192)</f>
        <v>237.26948951325716</v>
      </c>
      <c r="AB193" s="14">
        <f>+AB192*(1+'SImple Return'!N192)</f>
        <v>170.79540454656569</v>
      </c>
    </row>
    <row r="194" spans="1:28">
      <c r="A194" s="8">
        <v>38968</v>
      </c>
      <c r="B194" s="10">
        <v>1344.48</v>
      </c>
      <c r="C194" s="10">
        <v>252.65</v>
      </c>
      <c r="D194" s="10">
        <v>193.6</v>
      </c>
      <c r="E194" s="11">
        <v>2156.62</v>
      </c>
      <c r="F194" s="11">
        <v>1856.47</v>
      </c>
      <c r="G194" s="11">
        <v>2058.1</v>
      </c>
      <c r="H194" s="14">
        <v>1531.35</v>
      </c>
      <c r="I194" s="14">
        <v>2221.6999999999998</v>
      </c>
      <c r="J194" s="14">
        <v>2010</v>
      </c>
      <c r="K194" s="14">
        <v>2970.03</v>
      </c>
      <c r="L194" s="14">
        <v>9200.2099999999991</v>
      </c>
      <c r="M194" s="14">
        <v>2382.9499999999998</v>
      </c>
      <c r="N194" s="14">
        <v>1712.84</v>
      </c>
      <c r="P194" s="14">
        <f>+P193*(1+'SImple Return'!B193)</f>
        <v>165.18779717659197</v>
      </c>
      <c r="Q194" s="14">
        <f>+Q193*(1+'SImple Return'!C193)</f>
        <v>117.82949351739585</v>
      </c>
      <c r="R194" s="14">
        <f>+R193*(1+'SImple Return'!D193)</f>
        <v>223.35025380710638</v>
      </c>
      <c r="S194" s="14">
        <f>+S193*(1+'SImple Return'!E193)</f>
        <v>215.19932145886327</v>
      </c>
      <c r="T194" s="14">
        <f>+T193*(1+'SImple Return'!F193)</f>
        <v>182.25701943844504</v>
      </c>
      <c r="U194" s="14">
        <f>+U193*(1+'SImple Return'!G193)</f>
        <v>201.66774452740697</v>
      </c>
      <c r="V194" s="14">
        <f>+V193*(1+'SImple Return'!H193)</f>
        <v>152.58113049629858</v>
      </c>
      <c r="W194" s="14">
        <f>+W193*(1+'SImple Return'!I193)</f>
        <v>221.52536119891127</v>
      </c>
      <c r="X194" s="14">
        <f>+X193*(1+'SImple Return'!J193)</f>
        <v>202.47605040747041</v>
      </c>
      <c r="Y194" s="14">
        <f>+Y193*(1+'SImple Return'!K193)</f>
        <v>288.49247207382217</v>
      </c>
      <c r="Z194" s="14">
        <f>+Z193*(1+'SImple Return'!L193)</f>
        <v>896.05161918675367</v>
      </c>
      <c r="AA194" s="14">
        <f>+AA193*(1+'SImple Return'!M193)</f>
        <v>235.74891175306718</v>
      </c>
      <c r="AB194" s="14">
        <f>+AB193*(1+'SImple Return'!N193)</f>
        <v>167.47396724517239</v>
      </c>
    </row>
    <row r="195" spans="1:28">
      <c r="A195" s="8">
        <v>38975</v>
      </c>
      <c r="B195" s="10">
        <v>1355.1</v>
      </c>
      <c r="C195" s="10">
        <v>252.47</v>
      </c>
      <c r="D195" s="10">
        <v>196.47</v>
      </c>
      <c r="E195" s="11">
        <v>2211.31</v>
      </c>
      <c r="F195" s="11">
        <v>1886.64</v>
      </c>
      <c r="G195" s="11">
        <v>2063.7800000000002</v>
      </c>
      <c r="H195" s="14">
        <v>1554.65</v>
      </c>
      <c r="I195" s="14">
        <v>2255.4499999999998</v>
      </c>
      <c r="J195" s="14">
        <v>2116.13</v>
      </c>
      <c r="K195" s="14">
        <v>2811.02</v>
      </c>
      <c r="L195" s="14">
        <v>9513.27</v>
      </c>
      <c r="M195" s="14">
        <v>2396.17</v>
      </c>
      <c r="N195" s="14">
        <v>1728.32</v>
      </c>
      <c r="P195" s="14">
        <f>+P194*(1+'SImple Return'!B194)</f>
        <v>166.49260974800649</v>
      </c>
      <c r="Q195" s="14">
        <f>+Q194*(1+'SImple Return'!C194)</f>
        <v>117.74554612442877</v>
      </c>
      <c r="R195" s="14">
        <f>+R194*(1+'SImple Return'!D194)</f>
        <v>226.66128287955675</v>
      </c>
      <c r="S195" s="14">
        <f>+S194*(1+'SImple Return'!E194)</f>
        <v>220.65658833507939</v>
      </c>
      <c r="T195" s="14">
        <f>+T194*(1+'SImple Return'!F194)</f>
        <v>185.21892794031038</v>
      </c>
      <c r="U195" s="14">
        <f>+U194*(1+'SImple Return'!G194)</f>
        <v>202.22431261880959</v>
      </c>
      <c r="V195" s="14">
        <f>+V194*(1+'SImple Return'!H194)</f>
        <v>154.90270318742978</v>
      </c>
      <c r="W195" s="14">
        <f>+W194*(1+'SImple Return'!I194)</f>
        <v>224.89056844582277</v>
      </c>
      <c r="X195" s="14">
        <f>+X194*(1+'SImple Return'!J194)</f>
        <v>213.16698733769175</v>
      </c>
      <c r="Y195" s="14">
        <f>+Y194*(1+'SImple Return'!K194)</f>
        <v>273.04711024769296</v>
      </c>
      <c r="Z195" s="14">
        <f>+Z194*(1+'SImple Return'!L194)</f>
        <v>926.54200146091978</v>
      </c>
      <c r="AA195" s="14">
        <f>+AA194*(1+'SImple Return'!M194)</f>
        <v>237.05678670360143</v>
      </c>
      <c r="AB195" s="14">
        <f>+AB194*(1+'SImple Return'!N194)</f>
        <v>168.9875336103643</v>
      </c>
    </row>
    <row r="196" spans="1:28">
      <c r="A196" s="8">
        <v>38982</v>
      </c>
      <c r="B196" s="10">
        <v>1354.46</v>
      </c>
      <c r="C196" s="10">
        <v>255.36</v>
      </c>
      <c r="D196" s="10">
        <v>195.57</v>
      </c>
      <c r="E196" s="11">
        <v>2240.06</v>
      </c>
      <c r="F196" s="11">
        <v>1868.82</v>
      </c>
      <c r="G196" s="11">
        <v>2090.37</v>
      </c>
      <c r="H196" s="14">
        <v>1565.28</v>
      </c>
      <c r="I196" s="14">
        <v>2247.8000000000002</v>
      </c>
      <c r="J196" s="14">
        <v>2118.31</v>
      </c>
      <c r="K196" s="14">
        <v>2850.29</v>
      </c>
      <c r="L196" s="14">
        <v>9419.32</v>
      </c>
      <c r="M196" s="14">
        <v>2450.09</v>
      </c>
      <c r="N196" s="14">
        <v>1723.21</v>
      </c>
      <c r="P196" s="14">
        <f>+P195*(1+'SImple Return'!B195)</f>
        <v>166.4139769753412</v>
      </c>
      <c r="Q196" s="14">
        <f>+Q195*(1+'SImple Return'!C195)</f>
        <v>119.09336815595569</v>
      </c>
      <c r="R196" s="14">
        <f>+R195*(1+'SImple Return'!D195)</f>
        <v>225.62298107983364</v>
      </c>
      <c r="S196" s="14">
        <f>+S195*(1+'SImple Return'!E195)</f>
        <v>223.52542034625537</v>
      </c>
      <c r="T196" s="14">
        <f>+T195*(1+'SImple Return'!F195)</f>
        <v>183.46946789711382</v>
      </c>
      <c r="U196" s="14">
        <f>+U195*(1+'SImple Return'!G195)</f>
        <v>204.82979599035795</v>
      </c>
      <c r="V196" s="14">
        <f>+V195*(1+'SImple Return'!H195)</f>
        <v>155.96185845381279</v>
      </c>
      <c r="W196" s="14">
        <f>+W195*(1+'SImple Return'!I195)</f>
        <v>224.12778813652287</v>
      </c>
      <c r="X196" s="14">
        <f>+X195*(1+'SImple Return'!J195)</f>
        <v>213.3865882281834</v>
      </c>
      <c r="Y196" s="14">
        <f>+Y195*(1+'SImple Return'!K195)</f>
        <v>276.86158329286053</v>
      </c>
      <c r="Z196" s="14">
        <f>+Z195*(1+'SImple Return'!L195)</f>
        <v>917.39177014852623</v>
      </c>
      <c r="AA196" s="14">
        <f>+AA195*(1+'SImple Return'!M195)</f>
        <v>242.39117530668813</v>
      </c>
      <c r="AB196" s="14">
        <f>+AB195*(1+'SImple Return'!N195)</f>
        <v>168.48790026888301</v>
      </c>
    </row>
    <row r="197" spans="1:28">
      <c r="A197" s="8">
        <v>38989</v>
      </c>
      <c r="B197" s="10">
        <v>1373.37</v>
      </c>
      <c r="C197" s="10">
        <v>254.38</v>
      </c>
      <c r="D197" s="10">
        <v>197.34</v>
      </c>
      <c r="E197" s="11">
        <v>2260.11</v>
      </c>
      <c r="F197" s="11">
        <v>1892.03</v>
      </c>
      <c r="G197" s="11">
        <v>2107.63</v>
      </c>
      <c r="H197" s="14">
        <v>1579.69</v>
      </c>
      <c r="I197" s="14">
        <v>2246.56</v>
      </c>
      <c r="J197" s="14">
        <v>2131.08</v>
      </c>
      <c r="K197" s="14">
        <v>3028.08</v>
      </c>
      <c r="L197" s="14">
        <v>9470.9</v>
      </c>
      <c r="M197" s="14">
        <v>2467.04</v>
      </c>
      <c r="N197" s="14">
        <v>1760.04</v>
      </c>
      <c r="P197" s="14">
        <f>+P196*(1+'SImple Return'!B196)</f>
        <v>168.7373296801857</v>
      </c>
      <c r="Q197" s="14">
        <f>+Q196*(1+'SImple Return'!C196)</f>
        <v>118.6363212386905</v>
      </c>
      <c r="R197" s="14">
        <f>+R196*(1+'SImple Return'!D196)</f>
        <v>227.66497461928913</v>
      </c>
      <c r="S197" s="14">
        <f>+S196*(1+'SImple Return'!E196)</f>
        <v>225.52611884448419</v>
      </c>
      <c r="T197" s="14">
        <f>+T196*(1+'SImple Return'!F196)</f>
        <v>185.74808560769696</v>
      </c>
      <c r="U197" s="14">
        <f>+U196*(1+'SImple Return'!G196)</f>
        <v>206.52105747937361</v>
      </c>
      <c r="V197" s="14">
        <f>+V196*(1+'SImple Return'!H196)</f>
        <v>157.39764654304889</v>
      </c>
      <c r="W197" s="14">
        <f>+W196*(1+'SImple Return'!I196)</f>
        <v>224.0041479295252</v>
      </c>
      <c r="X197" s="14">
        <f>+X196*(1+'SImple Return'!J196)</f>
        <v>214.67296592156816</v>
      </c>
      <c r="Y197" s="14">
        <f>+Y196*(1+'SImple Return'!K196)</f>
        <v>294.13113161728984</v>
      </c>
      <c r="Z197" s="14">
        <f>+Z196*(1+'SImple Return'!L196)</f>
        <v>922.4153883613335</v>
      </c>
      <c r="AA197" s="14">
        <f>+AA196*(1+'SImple Return'!M196)</f>
        <v>244.06806489909016</v>
      </c>
      <c r="AB197" s="14">
        <f>+AB196*(1+'SImple Return'!N196)</f>
        <v>172.08897580053787</v>
      </c>
    </row>
    <row r="198" spans="1:28">
      <c r="A198" s="8">
        <v>38996</v>
      </c>
      <c r="B198" s="10">
        <v>1383.81</v>
      </c>
      <c r="C198" s="10">
        <v>253.52</v>
      </c>
      <c r="D198" s="10">
        <v>201.56</v>
      </c>
      <c r="E198" s="11">
        <v>2286.63</v>
      </c>
      <c r="F198" s="11">
        <v>1890.82</v>
      </c>
      <c r="G198" s="11">
        <v>2131.8000000000002</v>
      </c>
      <c r="H198" s="14">
        <v>1600.56</v>
      </c>
      <c r="I198" s="14">
        <v>2276.83</v>
      </c>
      <c r="J198" s="14">
        <v>2208.7800000000002</v>
      </c>
      <c r="K198" s="14">
        <v>3003.91</v>
      </c>
      <c r="L198" s="14">
        <v>9450.4699999999993</v>
      </c>
      <c r="M198" s="14">
        <v>2440.8200000000002</v>
      </c>
      <c r="N198" s="14">
        <v>1755.27</v>
      </c>
      <c r="P198" s="14">
        <f>+P197*(1+'SImple Return'!B197)</f>
        <v>170.02002678428809</v>
      </c>
      <c r="Q198" s="14">
        <f>+Q197*(1+'SImple Return'!C197)</f>
        <v>118.23523925007004</v>
      </c>
      <c r="R198" s="14">
        <f>+R197*(1+'SImple Return'!D197)</f>
        <v>232.53345639132419</v>
      </c>
      <c r="S198" s="14">
        <f>+S197*(1+'SImple Return'!E197)</f>
        <v>228.17242927705416</v>
      </c>
      <c r="T198" s="14">
        <f>+T197*(1+'SImple Return'!F197)</f>
        <v>185.62929511093668</v>
      </c>
      <c r="U198" s="14">
        <f>+U197*(1+'SImple Return'!G197)</f>
        <v>208.88941148803571</v>
      </c>
      <c r="V198" s="14">
        <f>+V197*(1+'SImple Return'!H197)</f>
        <v>159.47709813377455</v>
      </c>
      <c r="W198" s="14">
        <f>+W197*(1+'SImple Return'!I197)</f>
        <v>227.0223649180885</v>
      </c>
      <c r="X198" s="14">
        <f>+X197*(1+'SImple Return'!J197)</f>
        <v>222.50002518358829</v>
      </c>
      <c r="Y198" s="14">
        <f>+Y197*(1+'SImple Return'!K197)</f>
        <v>291.78338999514318</v>
      </c>
      <c r="Z198" s="14">
        <f>+Z197*(1+'SImple Return'!L197)</f>
        <v>920.4256148039924</v>
      </c>
      <c r="AA198" s="14">
        <f>+AA197*(1+'SImple Return'!M197)</f>
        <v>241.47407993668415</v>
      </c>
      <c r="AB198" s="14">
        <f>+AB197*(1+'SImple Return'!N197)</f>
        <v>171.62258616475199</v>
      </c>
    </row>
    <row r="199" spans="1:28">
      <c r="A199" s="8">
        <v>39003</v>
      </c>
      <c r="B199" s="10">
        <v>1398.12</v>
      </c>
      <c r="C199" s="10">
        <v>252.06</v>
      </c>
      <c r="D199" s="10">
        <v>203.09</v>
      </c>
      <c r="E199" s="11">
        <v>2281.38</v>
      </c>
      <c r="F199" s="11">
        <v>1927.74</v>
      </c>
      <c r="G199" s="11">
        <v>2137.77</v>
      </c>
      <c r="H199" s="14">
        <v>1603.25</v>
      </c>
      <c r="I199" s="14">
        <v>2298.21</v>
      </c>
      <c r="J199" s="14">
        <v>2222.0500000000002</v>
      </c>
      <c r="K199" s="14">
        <v>2952.97</v>
      </c>
      <c r="L199" s="14">
        <v>9734.89</v>
      </c>
      <c r="M199" s="14">
        <v>2435.04</v>
      </c>
      <c r="N199" s="14">
        <v>1771.78</v>
      </c>
      <c r="P199" s="14">
        <f>+P198*(1+'SImple Return'!B198)</f>
        <v>171.77820643560091</v>
      </c>
      <c r="Q199" s="14">
        <f>+Q198*(1+'SImple Return'!C198)</f>
        <v>117.55433261822598</v>
      </c>
      <c r="R199" s="14">
        <f>+R198*(1+'SImple Return'!D198)</f>
        <v>234.29856945085348</v>
      </c>
      <c r="S199" s="14">
        <f>+S198*(1+'SImple Return'!E198)</f>
        <v>227.64855560544814</v>
      </c>
      <c r="T199" s="14">
        <f>+T198*(1+'SImple Return'!F198)</f>
        <v>189.25387787158857</v>
      </c>
      <c r="U199" s="14">
        <f>+U198*(1+'SImple Return'!G198)</f>
        <v>209.47439590804862</v>
      </c>
      <c r="V199" s="14">
        <f>+V198*(1+'SImple Return'!H198)</f>
        <v>159.74512519554034</v>
      </c>
      <c r="W199" s="14">
        <f>+W198*(1+'SImple Return'!I198)</f>
        <v>229.15416139035423</v>
      </c>
      <c r="X199" s="14">
        <f>+X198*(1+'SImple Return'!J198)</f>
        <v>223.83677005369131</v>
      </c>
      <c r="Y199" s="14">
        <f>+Y198*(1+'SImple Return'!K198)</f>
        <v>286.83535696940254</v>
      </c>
      <c r="Z199" s="14">
        <f>+Z198*(1+'SImple Return'!L198)</f>
        <v>948.12661309958537</v>
      </c>
      <c r="AA199" s="14">
        <f>+AA198*(1+'SImple Return'!M198)</f>
        <v>240.90225563909806</v>
      </c>
      <c r="AB199" s="14">
        <f>+AB198*(1+'SImple Return'!N198)</f>
        <v>173.23686140308001</v>
      </c>
    </row>
    <row r="200" spans="1:28">
      <c r="A200" s="8">
        <v>39010</v>
      </c>
      <c r="B200" s="10">
        <v>1409.58</v>
      </c>
      <c r="C200" s="10">
        <v>253.11</v>
      </c>
      <c r="D200" s="10">
        <v>205.63</v>
      </c>
      <c r="E200" s="11">
        <v>2298.7399999999998</v>
      </c>
      <c r="F200" s="11">
        <v>1952.58</v>
      </c>
      <c r="G200" s="11">
        <v>2168.42</v>
      </c>
      <c r="H200" s="14">
        <v>1622.82</v>
      </c>
      <c r="I200" s="14">
        <v>2318.6</v>
      </c>
      <c r="J200" s="14">
        <v>2227.4899999999998</v>
      </c>
      <c r="K200" s="14">
        <v>2948.57</v>
      </c>
      <c r="L200" s="14">
        <v>9554.26</v>
      </c>
      <c r="M200" s="14">
        <v>2478.9699999999998</v>
      </c>
      <c r="N200" s="14">
        <v>1816.28</v>
      </c>
      <c r="P200" s="14">
        <f>+P199*(1+'SImple Return'!B199)</f>
        <v>173.18622452113863</v>
      </c>
      <c r="Q200" s="14">
        <f>+Q199*(1+'SImple Return'!C199)</f>
        <v>118.04402574386725</v>
      </c>
      <c r="R200" s="14">
        <f>+R199*(1+'SImple Return'!D199)</f>
        <v>237.22888786340536</v>
      </c>
      <c r="S200" s="14">
        <f>+S199*(1+'SImple Return'!E199)</f>
        <v>229.38083121289208</v>
      </c>
      <c r="T200" s="14">
        <f>+T199*(1+'SImple Return'!F199)</f>
        <v>191.69251914392314</v>
      </c>
      <c r="U200" s="14">
        <f>+U199*(1+'SImple Return'!G199)</f>
        <v>212.47770788014182</v>
      </c>
      <c r="V200" s="14">
        <f>+V199*(1+'SImple Return'!H199)</f>
        <v>161.69504697946471</v>
      </c>
      <c r="W200" s="14">
        <f>+W199*(1+'SImple Return'!I199)</f>
        <v>231.18724511671053</v>
      </c>
      <c r="X200" s="14">
        <f>+X199*(1+'SImple Return'!J199)</f>
        <v>224.38476493638609</v>
      </c>
      <c r="Y200" s="14">
        <f>+Y199*(1+'SImple Return'!K199)</f>
        <v>286.40796503156866</v>
      </c>
      <c r="Z200" s="14">
        <f>+Z199*(1+'SImple Return'!L199)</f>
        <v>930.53420988556059</v>
      </c>
      <c r="AA200" s="14">
        <f>+AA199*(1+'SImple Return'!M199)</f>
        <v>245.24831816383093</v>
      </c>
      <c r="AB200" s="14">
        <f>+AB199*(1+'SImple Return'!N199)</f>
        <v>177.58787582498175</v>
      </c>
    </row>
    <row r="201" spans="1:28">
      <c r="A201" s="8">
        <v>39017</v>
      </c>
      <c r="B201" s="10">
        <v>1424.88</v>
      </c>
      <c r="C201" s="10">
        <v>255.12</v>
      </c>
      <c r="D201" s="10">
        <v>207.78</v>
      </c>
      <c r="E201" s="11">
        <v>2320.5500000000002</v>
      </c>
      <c r="F201" s="11">
        <v>1970.91</v>
      </c>
      <c r="G201" s="11">
        <v>2200.7199999999998</v>
      </c>
      <c r="H201" s="14">
        <v>1634.87</v>
      </c>
      <c r="I201" s="14">
        <v>2354.77</v>
      </c>
      <c r="J201" s="14">
        <v>2233.3000000000002</v>
      </c>
      <c r="K201" s="14">
        <v>2990.42</v>
      </c>
      <c r="L201" s="14">
        <v>9594.18</v>
      </c>
      <c r="M201" s="14">
        <v>2530.48</v>
      </c>
      <c r="N201" s="14">
        <v>1835.19</v>
      </c>
      <c r="P201" s="14">
        <f>+P200*(1+'SImple Return'!B200)</f>
        <v>175.06603924266804</v>
      </c>
      <c r="Q201" s="14">
        <f>+Q200*(1+'SImple Return'!C200)</f>
        <v>118.98143829866623</v>
      </c>
      <c r="R201" s="14">
        <f>+R200*(1+'SImple Return'!D200)</f>
        <v>239.70927549607728</v>
      </c>
      <c r="S201" s="14">
        <f>+S200*(1+'SImple Return'!E200)</f>
        <v>231.55715212293552</v>
      </c>
      <c r="T201" s="14">
        <f>+T200*(1+'SImple Return'!F200)</f>
        <v>193.49204790889468</v>
      </c>
      <c r="U201" s="14">
        <f>+U200*(1+'SImple Return'!G200)</f>
        <v>215.64269896329387</v>
      </c>
      <c r="V201" s="14">
        <f>+V200*(1+'SImple Return'!H200)</f>
        <v>162.89568865019996</v>
      </c>
      <c r="W201" s="14">
        <f>+W200*(1+'SImple Return'!I200)</f>
        <v>234.79375018695612</v>
      </c>
      <c r="X201" s="14">
        <f>+X200*(1+'SImple Return'!J200)</f>
        <v>224.97003152985252</v>
      </c>
      <c r="Y201" s="14">
        <f>+Y200*(1+'SImple Return'!K200)</f>
        <v>290.47304516755702</v>
      </c>
      <c r="Z201" s="14">
        <f>+Z200*(1+'SImple Return'!L200)</f>
        <v>934.42220598977303</v>
      </c>
      <c r="AA201" s="14">
        <f>+AA200*(1+'SImple Return'!M200)</f>
        <v>250.34428175702445</v>
      </c>
      <c r="AB201" s="14">
        <f>+AB200*(1+'SImple Return'!N200)</f>
        <v>179.43681251527755</v>
      </c>
    </row>
    <row r="202" spans="1:28">
      <c r="A202" s="8">
        <v>39024</v>
      </c>
      <c r="B202" s="10">
        <v>1413.91</v>
      </c>
      <c r="C202" s="10">
        <v>255.12</v>
      </c>
      <c r="D202" s="10">
        <v>205.6</v>
      </c>
      <c r="E202" s="11">
        <v>2324.04</v>
      </c>
      <c r="F202" s="11">
        <v>1969.35</v>
      </c>
      <c r="G202" s="11">
        <v>2200.33</v>
      </c>
      <c r="H202" s="14">
        <v>1631.84</v>
      </c>
      <c r="I202" s="14">
        <v>2349.15</v>
      </c>
      <c r="J202" s="14">
        <v>2228.94</v>
      </c>
      <c r="K202" s="14">
        <v>2962.5</v>
      </c>
      <c r="L202" s="14">
        <v>9583.56</v>
      </c>
      <c r="M202" s="14">
        <v>2522.3000000000002</v>
      </c>
      <c r="N202" s="14">
        <v>1848.45</v>
      </c>
      <c r="P202" s="14">
        <f>+P201*(1+'SImple Return'!B201)</f>
        <v>173.71822437370218</v>
      </c>
      <c r="Q202" s="14">
        <f>+Q201*(1+'SImple Return'!C201)</f>
        <v>118.98143829866623</v>
      </c>
      <c r="R202" s="14">
        <f>+R201*(1+'SImple Return'!D201)</f>
        <v>237.19427780341462</v>
      </c>
      <c r="S202" s="14">
        <f>+S201*(1+'SImple Return'!E201)</f>
        <v>231.90540338272692</v>
      </c>
      <c r="T202" s="14">
        <f>+T201*(1+'SImple Return'!F201)</f>
        <v>193.33889652464177</v>
      </c>
      <c r="U202" s="14">
        <f>+U201*(1+'SImple Return'!G201)</f>
        <v>215.60448390067998</v>
      </c>
      <c r="V202" s="14">
        <f>+V201*(1+'SImple Return'!H201)</f>
        <v>162.59378456203999</v>
      </c>
      <c r="W202" s="14">
        <f>+W201*(1+'SImple Return'!I201)</f>
        <v>234.23338086169264</v>
      </c>
      <c r="X202" s="14">
        <f>+X201*(1+'SImple Return'!J201)</f>
        <v>224.53082974886914</v>
      </c>
      <c r="Y202" s="14">
        <f>+Y201*(1+'SImple Return'!K201)</f>
        <v>287.76104905293829</v>
      </c>
      <c r="Z202" s="14">
        <f>+Z201*(1+'SImple Return'!L201)</f>
        <v>933.38787436084681</v>
      </c>
      <c r="AA202" s="14">
        <f>+AA201*(1+'SImple Return'!M201)</f>
        <v>249.53502176493899</v>
      </c>
      <c r="AB202" s="14">
        <f>+AB201*(1+'SImple Return'!N201)</f>
        <v>180.73331703739927</v>
      </c>
    </row>
    <row r="203" spans="1:28">
      <c r="A203" s="8">
        <v>39031</v>
      </c>
      <c r="B203" s="10">
        <v>1431.87</v>
      </c>
      <c r="C203" s="10">
        <v>257.17</v>
      </c>
      <c r="D203" s="10">
        <v>207.24</v>
      </c>
      <c r="E203" s="11">
        <v>2420.16</v>
      </c>
      <c r="F203" s="11">
        <v>1976.62</v>
      </c>
      <c r="G203" s="11">
        <v>2217.2600000000002</v>
      </c>
      <c r="H203" s="14">
        <v>1685.13</v>
      </c>
      <c r="I203" s="14">
        <v>2388.21</v>
      </c>
      <c r="J203" s="14">
        <v>2292.6</v>
      </c>
      <c r="K203" s="14">
        <v>3091.35</v>
      </c>
      <c r="L203" s="14">
        <v>9425.2999999999993</v>
      </c>
      <c r="M203" s="14">
        <v>2603.12</v>
      </c>
      <c r="N203" s="14">
        <v>1881.6</v>
      </c>
      <c r="P203" s="14">
        <f>+P202*(1+'SImple Return'!B202)</f>
        <v>175.92485655662165</v>
      </c>
      <c r="Q203" s="14">
        <f>+Q202*(1+'SImple Return'!C202)</f>
        <v>119.93750582968013</v>
      </c>
      <c r="R203" s="14">
        <f>+R202*(1+'SImple Return'!D202)</f>
        <v>239.08629441624342</v>
      </c>
      <c r="S203" s="14">
        <f>+S202*(1+'SImple Return'!E202)</f>
        <v>241.49678191887421</v>
      </c>
      <c r="T203" s="14">
        <f>+T202*(1+'SImple Return'!F202)</f>
        <v>194.05262124484597</v>
      </c>
      <c r="U203" s="14">
        <f>+U202*(1+'SImple Return'!G202)</f>
        <v>217.26340956748388</v>
      </c>
      <c r="V203" s="14">
        <f>+V202*(1+'SImple Return'!H202)</f>
        <v>167.90351025776454</v>
      </c>
      <c r="W203" s="14">
        <f>+W202*(1+'SImple Return'!I202)</f>
        <v>238.12804738211818</v>
      </c>
      <c r="X203" s="14">
        <f>+X202*(1+'SImple Return'!J202)</f>
        <v>230.94357868864003</v>
      </c>
      <c r="Y203" s="14">
        <f>+Y202*(1+'SImple Return'!K202)</f>
        <v>300.27683341427871</v>
      </c>
      <c r="Z203" s="14">
        <f>+Z202*(1+'SImple Return'!L202)</f>
        <v>917.97419040662237</v>
      </c>
      <c r="AA203" s="14">
        <f>+AA202*(1+'SImple Return'!M202)</f>
        <v>257.53066877720653</v>
      </c>
      <c r="AB203" s="14">
        <f>+AB202*(1+'SImple Return'!N202)</f>
        <v>183.97457834270358</v>
      </c>
    </row>
    <row r="204" spans="1:28">
      <c r="A204" s="8">
        <v>39038</v>
      </c>
      <c r="B204" s="10">
        <v>1439.75</v>
      </c>
      <c r="C204" s="10">
        <v>257.08999999999997</v>
      </c>
      <c r="D204" s="10">
        <v>209.38</v>
      </c>
      <c r="E204" s="11">
        <v>2454.1</v>
      </c>
      <c r="F204" s="11">
        <v>2007.49</v>
      </c>
      <c r="G204" s="11">
        <v>2258.9</v>
      </c>
      <c r="H204" s="14">
        <v>1724.66</v>
      </c>
      <c r="I204" s="14">
        <v>2425.85</v>
      </c>
      <c r="J204" s="14">
        <v>2311.8200000000002</v>
      </c>
      <c r="K204" s="14">
        <v>3078.88</v>
      </c>
      <c r="L204" s="14">
        <v>9840.76</v>
      </c>
      <c r="M204" s="14">
        <v>2620.44</v>
      </c>
      <c r="N204" s="14">
        <v>1884.19</v>
      </c>
      <c r="P204" s="14">
        <f>+P203*(1+'SImple Return'!B203)</f>
        <v>176.89302257006295</v>
      </c>
      <c r="Q204" s="14">
        <f>+Q203*(1+'SImple Return'!C203)</f>
        <v>119.9001958772503</v>
      </c>
      <c r="R204" s="14">
        <f>+R203*(1+'SImple Return'!D203)</f>
        <v>241.55514536225172</v>
      </c>
      <c r="S204" s="14">
        <f>+S203*(1+'SImple Return'!E203)</f>
        <v>244.88350047398072</v>
      </c>
      <c r="T204" s="14">
        <f>+T203*(1+'SImple Return'!F203)</f>
        <v>197.08325152169655</v>
      </c>
      <c r="U204" s="14">
        <f>+U203*(1+'SImple Return'!G203)</f>
        <v>221.34360240656903</v>
      </c>
      <c r="V204" s="14">
        <f>+V203*(1+'SImple Return'!H203)</f>
        <v>171.84221276765362</v>
      </c>
      <c r="W204" s="14">
        <f>+W203*(1+'SImple Return'!I203)</f>
        <v>241.88112592356254</v>
      </c>
      <c r="X204" s="14">
        <f>+X203*(1+'SImple Return'!J203)</f>
        <v>232.87969296169061</v>
      </c>
      <c r="Y204" s="14">
        <f>+Y203*(1+'SImple Return'!K203)</f>
        <v>299.06556580864492</v>
      </c>
      <c r="Z204" s="14">
        <f>+Z203*(1+'SImple Return'!L203)</f>
        <v>958.43778914049142</v>
      </c>
      <c r="AA204" s="14">
        <f>+AA203*(1+'SImple Return'!M203)</f>
        <v>259.24416303917724</v>
      </c>
      <c r="AB204" s="14">
        <f>+AB203*(1+'SImple Return'!N203)</f>
        <v>184.22781715961878</v>
      </c>
    </row>
    <row r="205" spans="1:28">
      <c r="A205" s="8">
        <v>39045</v>
      </c>
      <c r="B205" s="10">
        <v>1447.92</v>
      </c>
      <c r="C205" s="10">
        <v>259.06</v>
      </c>
      <c r="D205" s="10">
        <v>217.93</v>
      </c>
      <c r="E205" s="11">
        <v>2504.62</v>
      </c>
      <c r="F205" s="11">
        <v>2025.34</v>
      </c>
      <c r="G205" s="11">
        <v>2301.9699999999998</v>
      </c>
      <c r="H205" s="14">
        <v>1746.18</v>
      </c>
      <c r="I205" s="14">
        <v>2482.35</v>
      </c>
      <c r="J205" s="14">
        <v>2351.54</v>
      </c>
      <c r="K205" s="14">
        <v>3310.18</v>
      </c>
      <c r="L205" s="14">
        <v>10021.790000000001</v>
      </c>
      <c r="M205" s="14">
        <v>2671.08</v>
      </c>
      <c r="N205" s="14">
        <v>1901.95</v>
      </c>
      <c r="P205" s="14">
        <f>+P204*(1+'SImple Return'!B204)</f>
        <v>177.89681905861821</v>
      </c>
      <c r="Q205" s="14">
        <f>+Q204*(1+'SImple Return'!C204)</f>
        <v>120.8189534558344</v>
      </c>
      <c r="R205" s="14">
        <f>+R204*(1+'SImple Return'!D204)</f>
        <v>251.4190124596214</v>
      </c>
      <c r="S205" s="14">
        <f>+S204*(1+'SImple Return'!E204)</f>
        <v>249.92466197674975</v>
      </c>
      <c r="T205" s="14">
        <f>+T204*(1+'SImple Return'!F204)</f>
        <v>198.83565678382104</v>
      </c>
      <c r="U205" s="14">
        <f>+U204*(1+'SImple Return'!G204)</f>
        <v>225.56391714190522</v>
      </c>
      <c r="V205" s="14">
        <f>+V204*(1+'SImple Return'!H204)</f>
        <v>173.98642926177996</v>
      </c>
      <c r="W205" s="14">
        <f>+W204*(1+'SImple Return'!I204)</f>
        <v>247.51473212950327</v>
      </c>
      <c r="X205" s="14">
        <f>+X204*(1+'SImple Return'!J204)</f>
        <v>236.88086148019045</v>
      </c>
      <c r="Y205" s="14">
        <f>+Y204*(1+'SImple Return'!K204)</f>
        <v>321.5327829043224</v>
      </c>
      <c r="Z205" s="14">
        <f>+Z204*(1+'SImple Return'!L204)</f>
        <v>976.06915023131205</v>
      </c>
      <c r="AA205" s="14">
        <f>+AA204*(1+'SImple Return'!M204)</f>
        <v>264.25405619311471</v>
      </c>
      <c r="AB205" s="14">
        <f>+AB204*(1+'SImple Return'!N204)</f>
        <v>185.96431190417999</v>
      </c>
    </row>
    <row r="206" spans="1:28">
      <c r="A206" s="8">
        <v>39052</v>
      </c>
      <c r="B206" s="10">
        <v>1452.99</v>
      </c>
      <c r="C206" s="10">
        <v>261.5</v>
      </c>
      <c r="D206" s="10">
        <v>219.14</v>
      </c>
      <c r="E206" s="11">
        <v>2521.1799999999998</v>
      </c>
      <c r="F206" s="11">
        <v>2029.69</v>
      </c>
      <c r="G206" s="11">
        <v>2356.35</v>
      </c>
      <c r="H206" s="14">
        <v>1753.69</v>
      </c>
      <c r="I206" s="14">
        <v>2521.5100000000002</v>
      </c>
      <c r="J206" s="14">
        <v>2381.64</v>
      </c>
      <c r="K206" s="14">
        <v>3533.81</v>
      </c>
      <c r="L206" s="14">
        <v>9922.02</v>
      </c>
      <c r="M206" s="14">
        <v>2708.93</v>
      </c>
      <c r="N206" s="14">
        <v>1914.02</v>
      </c>
      <c r="P206" s="14">
        <f>+P205*(1+'SImple Return'!B205)</f>
        <v>178.51973805457601</v>
      </c>
      <c r="Q206" s="14">
        <f>+Q205*(1+'SImple Return'!C205)</f>
        <v>121.95690700494362</v>
      </c>
      <c r="R206" s="14">
        <f>+R205*(1+'SImple Return'!D205)</f>
        <v>252.81495154591579</v>
      </c>
      <c r="S206" s="14">
        <f>+S205*(1+'SImple Return'!E205)</f>
        <v>251.57710921518711</v>
      </c>
      <c r="T206" s="14">
        <f>+T205*(1+'SImple Return'!F205)</f>
        <v>199.26271352837239</v>
      </c>
      <c r="U206" s="14">
        <f>+U205*(1+'SImple Return'!G205)</f>
        <v>230.8924686930448</v>
      </c>
      <c r="V206" s="14">
        <f>+V205*(1+'SImple Return'!H205)</f>
        <v>174.73471299183984</v>
      </c>
      <c r="W206" s="14">
        <f>+W205*(1+'SImple Return'!I205)</f>
        <v>251.41936963436413</v>
      </c>
      <c r="X206" s="14">
        <f>+X205*(1+'SImple Return'!J205)</f>
        <v>239.91296551863067</v>
      </c>
      <c r="Y206" s="14">
        <f>+Y205*(1+'SImple Return'!K205)</f>
        <v>343.25497814473039</v>
      </c>
      <c r="Z206" s="14">
        <f>+Z205*(1+'SImple Return'!L205)</f>
        <v>966.35208181154087</v>
      </c>
      <c r="AA206" s="14">
        <f>+AA205*(1+'SImple Return'!M205)</f>
        <v>267.99861495844908</v>
      </c>
      <c r="AB206" s="14">
        <f>+AB205*(1+'SImple Return'!N205)</f>
        <v>187.14446345636773</v>
      </c>
    </row>
    <row r="207" spans="1:28">
      <c r="A207" s="8">
        <v>39059</v>
      </c>
      <c r="B207" s="10">
        <v>1469.49</v>
      </c>
      <c r="C207" s="10">
        <v>260.22000000000003</v>
      </c>
      <c r="D207" s="10">
        <v>219.78</v>
      </c>
      <c r="E207" s="11">
        <v>2559.7600000000002</v>
      </c>
      <c r="F207" s="11">
        <v>2031.44</v>
      </c>
      <c r="G207" s="11">
        <v>2350.14</v>
      </c>
      <c r="H207" s="14">
        <v>1768.69</v>
      </c>
      <c r="I207" s="14">
        <v>2505.5300000000002</v>
      </c>
      <c r="J207" s="14">
        <v>2394.9499999999998</v>
      </c>
      <c r="K207" s="14">
        <v>3604.92</v>
      </c>
      <c r="L207" s="14">
        <v>9813.24</v>
      </c>
      <c r="M207" s="14">
        <v>2716.77</v>
      </c>
      <c r="N207" s="14">
        <v>1952.51</v>
      </c>
      <c r="P207" s="14">
        <f>+P206*(1+'SImple Return'!B206)</f>
        <v>180.54698922485284</v>
      </c>
      <c r="Q207" s="14">
        <f>+Q206*(1+'SImple Return'!C206)</f>
        <v>121.35994776606665</v>
      </c>
      <c r="R207" s="14">
        <f>+R206*(1+'SImple Return'!D206)</f>
        <v>253.55329949238561</v>
      </c>
      <c r="S207" s="14">
        <f>+S206*(1+'SImple Return'!E206)</f>
        <v>255.42683231053218</v>
      </c>
      <c r="T207" s="14">
        <f>+T206*(1+'SImple Return'!F206)</f>
        <v>199.43451796583557</v>
      </c>
      <c r="U207" s="14">
        <f>+U206*(1+'SImple Return'!G206)</f>
        <v>230.28396731142331</v>
      </c>
      <c r="V207" s="14">
        <f>+V206*(1+'SImple Return'!H206)</f>
        <v>176.22928768570114</v>
      </c>
      <c r="W207" s="14">
        <f>+W206*(1+'SImple Return'!I206)</f>
        <v>249.82600632160424</v>
      </c>
      <c r="X207" s="14">
        <f>+X206*(1+'SImple Return'!J206)</f>
        <v>241.25373976287119</v>
      </c>
      <c r="Y207" s="14">
        <f>+Y206*(1+'SImple Return'!K206)</f>
        <v>350.16221466731417</v>
      </c>
      <c r="Z207" s="14">
        <f>+Z206*(1+'SImple Return'!L206)</f>
        <v>955.75748721694617</v>
      </c>
      <c r="AA207" s="14">
        <f>+AA206*(1+'SImple Return'!M206)</f>
        <v>268.77423822714712</v>
      </c>
      <c r="AB207" s="14">
        <f>+AB206*(1+'SImple Return'!N206)</f>
        <v>190.90784649230028</v>
      </c>
    </row>
    <row r="208" spans="1:28">
      <c r="A208" s="8">
        <v>39066</v>
      </c>
      <c r="B208" s="10">
        <v>1483.77</v>
      </c>
      <c r="C208" s="10">
        <v>259.05</v>
      </c>
      <c r="D208" s="10">
        <v>220.92</v>
      </c>
      <c r="E208" s="11">
        <v>2574.25</v>
      </c>
      <c r="F208" s="11">
        <v>2029.21</v>
      </c>
      <c r="G208" s="11">
        <v>2364.0300000000002</v>
      </c>
      <c r="H208" s="14">
        <v>1803.51</v>
      </c>
      <c r="I208" s="14">
        <v>2549.29</v>
      </c>
      <c r="J208" s="14">
        <v>2421.1</v>
      </c>
      <c r="K208" s="14">
        <v>3513.61</v>
      </c>
      <c r="L208" s="14">
        <v>9708.42</v>
      </c>
      <c r="M208" s="14">
        <v>2693.49</v>
      </c>
      <c r="N208" s="14">
        <v>1941.89</v>
      </c>
      <c r="P208" s="14">
        <f>+P207*(1+'SImple Return'!B207)</f>
        <v>182.30148296494696</v>
      </c>
      <c r="Q208" s="14">
        <f>+Q207*(1+'SImple Return'!C207)</f>
        <v>120.81428971178066</v>
      </c>
      <c r="R208" s="14">
        <f>+R207*(1+'SImple Return'!D207)</f>
        <v>254.86848177203487</v>
      </c>
      <c r="S208" s="14">
        <f>+S207*(1+'SImple Return'!E207)</f>
        <v>256.87272364416486</v>
      </c>
      <c r="T208" s="14">
        <f>+T207*(1+'SImple Return'!F207)</f>
        <v>199.21559002552533</v>
      </c>
      <c r="U208" s="14">
        <f>+U207*(1+'SImple Return'!G207)</f>
        <v>231.64501146451875</v>
      </c>
      <c r="V208" s="14">
        <f>+V207*(1+'SImple Return'!H207)</f>
        <v>179.69869374171782</v>
      </c>
      <c r="W208" s="14">
        <f>+W207*(1+'SImple Return'!I207)</f>
        <v>254.18930911048858</v>
      </c>
      <c r="X208" s="14">
        <f>+X207*(1+'SImple Return'!J207)</f>
        <v>243.88794310523707</v>
      </c>
      <c r="Y208" s="14">
        <f>+Y207*(1+'SImple Return'!K207)</f>
        <v>341.2928606119475</v>
      </c>
      <c r="Z208" s="14">
        <f>+Z207*(1+'SImple Return'!L207)</f>
        <v>945.54857560262928</v>
      </c>
      <c r="AA208" s="14">
        <f>+AA207*(1+'SImple Return'!M207)</f>
        <v>266.47111199050283</v>
      </c>
      <c r="AB208" s="14">
        <f>+AB207*(1+'SImple Return'!N207)</f>
        <v>189.86946956734306</v>
      </c>
    </row>
    <row r="209" spans="1:28">
      <c r="A209" s="8">
        <v>39073</v>
      </c>
      <c r="B209" s="10">
        <v>1472.99</v>
      </c>
      <c r="C209" s="10">
        <v>258.58999999999997</v>
      </c>
      <c r="D209" s="10">
        <v>219.34</v>
      </c>
      <c r="E209" s="11">
        <v>2526.6</v>
      </c>
      <c r="F209" s="11">
        <v>2000.19</v>
      </c>
      <c r="G209" s="11">
        <v>2378.98</v>
      </c>
      <c r="H209" s="14">
        <v>1778.73</v>
      </c>
      <c r="I209" s="14">
        <v>2571.0500000000002</v>
      </c>
      <c r="J209" s="14">
        <v>2395.4899999999998</v>
      </c>
      <c r="K209" s="14">
        <v>3543.47</v>
      </c>
      <c r="L209" s="14">
        <v>9466.2199999999993</v>
      </c>
      <c r="M209" s="14">
        <v>2674.48</v>
      </c>
      <c r="N209" s="14">
        <v>1900.06</v>
      </c>
      <c r="P209" s="14">
        <f>+P208*(1+'SImple Return'!B208)</f>
        <v>180.97701220036612</v>
      </c>
      <c r="Q209" s="14">
        <f>+Q208*(1+'SImple Return'!C208)</f>
        <v>120.59975748530924</v>
      </c>
      <c r="R209" s="14">
        <f>+R208*(1+'SImple Return'!D208)</f>
        <v>253.04568527918764</v>
      </c>
      <c r="S209" s="14">
        <f>+S208*(1+'SImple Return'!E208)</f>
        <v>252.11794641520714</v>
      </c>
      <c r="T209" s="14">
        <f>+T208*(1+'SImple Return'!F208)</f>
        <v>196.36658158256441</v>
      </c>
      <c r="U209" s="14">
        <f>+U208*(1+'SImple Return'!G208)</f>
        <v>233.10992219805195</v>
      </c>
      <c r="V209" s="14">
        <f>+V208*(1+'SImple Return'!H208)</f>
        <v>177.22965634745898</v>
      </c>
      <c r="W209" s="14">
        <f>+W208*(1+'SImple Return'!I208)</f>
        <v>256.35899532360844</v>
      </c>
      <c r="X209" s="14">
        <f>+X208*(1+'SImple Return'!J208)</f>
        <v>241.30813631372695</v>
      </c>
      <c r="Y209" s="14">
        <f>+Y208*(1+'SImple Return'!K208)</f>
        <v>344.19329771733845</v>
      </c>
      <c r="Z209" s="14">
        <f>+Z208*(1+'SImple Return'!L208)</f>
        <v>921.95958120282398</v>
      </c>
      <c r="AA209" s="14">
        <f>+AA208*(1+'SImple Return'!M208)</f>
        <v>264.59042342698882</v>
      </c>
      <c r="AB209" s="14">
        <f>+AB208*(1+'SImple Return'!N208)</f>
        <v>185.7795160107554</v>
      </c>
    </row>
    <row r="210" spans="1:28">
      <c r="A210" s="8">
        <v>39080</v>
      </c>
      <c r="B210" s="10">
        <v>1483.58</v>
      </c>
      <c r="C210" s="10">
        <v>257.89</v>
      </c>
      <c r="D210" s="10">
        <v>224.78</v>
      </c>
      <c r="E210" s="11">
        <v>2536.69</v>
      </c>
      <c r="F210" s="11">
        <v>2008.06</v>
      </c>
      <c r="G210" s="11">
        <v>2403.2399999999998</v>
      </c>
      <c r="H210" s="14">
        <v>1780.34</v>
      </c>
      <c r="I210" s="14">
        <v>2605.39</v>
      </c>
      <c r="J210" s="14">
        <v>2399.65</v>
      </c>
      <c r="K210" s="14">
        <v>3524.14</v>
      </c>
      <c r="L210" s="14">
        <v>9644.27</v>
      </c>
      <c r="M210" s="14">
        <v>2705.36</v>
      </c>
      <c r="N210" s="14">
        <v>1896.47</v>
      </c>
      <c r="P210" s="14">
        <f>+P209*(1+'SImple Return'!B209)</f>
        <v>182.27813886056194</v>
      </c>
      <c r="Q210" s="14">
        <f>+Q209*(1+'SImple Return'!C209)</f>
        <v>120.2732954015484</v>
      </c>
      <c r="R210" s="14">
        <f>+R209*(1+'SImple Return'!D209)</f>
        <v>259.32164282418074</v>
      </c>
      <c r="S210" s="14">
        <f>+S209*(1+'SImple Return'!E209)</f>
        <v>253.12478171930334</v>
      </c>
      <c r="T210" s="14">
        <f>+T209*(1+'SImple Return'!F209)</f>
        <v>197.13921068132743</v>
      </c>
      <c r="U210" s="14">
        <f>+U209*(1+'SImple Return'!G209)</f>
        <v>235.4870950673172</v>
      </c>
      <c r="V210" s="14">
        <f>+V209*(1+'SImple Return'!H209)</f>
        <v>177.39007403126675</v>
      </c>
      <c r="W210" s="14">
        <f>+W209*(1+'SImple Return'!I209)</f>
        <v>259.78303137868812</v>
      </c>
      <c r="X210" s="14">
        <f>+X209*(1+'SImple Return'!J209)</f>
        <v>241.72719122402302</v>
      </c>
      <c r="Y210" s="14">
        <f>+Y209*(1+'SImple Return'!K209)</f>
        <v>342.31568722680908</v>
      </c>
      <c r="Z210" s="14">
        <f>+Z209*(1+'SImple Return'!L209)</f>
        <v>939.30070611151643</v>
      </c>
      <c r="AA210" s="14">
        <f>+AA209*(1+'SImple Return'!M209)</f>
        <v>267.64542936288115</v>
      </c>
      <c r="AB210" s="14">
        <f>+AB209*(1+'SImple Return'!N209)</f>
        <v>185.42850158885366</v>
      </c>
    </row>
    <row r="211" spans="1:28">
      <c r="A211" s="8">
        <v>39087</v>
      </c>
      <c r="B211" s="10">
        <v>1469.8</v>
      </c>
      <c r="C211" s="10">
        <v>258.31</v>
      </c>
      <c r="D211" s="10">
        <v>222.35</v>
      </c>
      <c r="E211" s="34">
        <v>2464.04</v>
      </c>
      <c r="F211" s="34">
        <v>1996.16</v>
      </c>
      <c r="G211" s="34">
        <v>2378.15</v>
      </c>
      <c r="H211" s="14">
        <v>1725.66</v>
      </c>
      <c r="I211" s="14">
        <v>2575.11</v>
      </c>
      <c r="J211" s="14">
        <v>2331.4899999999998</v>
      </c>
      <c r="K211" s="14">
        <v>3486.18</v>
      </c>
      <c r="L211" s="14">
        <v>9629.2999999999993</v>
      </c>
      <c r="M211" s="14">
        <v>2680.97</v>
      </c>
      <c r="N211" s="14">
        <v>1878.92</v>
      </c>
      <c r="P211" s="14">
        <f>+P210*(1+'SImple Return'!B210)</f>
        <v>180.58507697411258</v>
      </c>
      <c r="Q211" s="14">
        <f>+Q210*(1+'SImple Return'!C210)</f>
        <v>120.46917265180491</v>
      </c>
      <c r="R211" s="14">
        <f>+R210*(1+'SImple Return'!D210)</f>
        <v>256.51822796492831</v>
      </c>
      <c r="S211" s="14">
        <f>+S210*(1+'SImple Return'!E210)</f>
        <v>245.87536795888823</v>
      </c>
      <c r="T211" s="14">
        <f>+T210*(1+'SImple Return'!F210)</f>
        <v>195.97094050657779</v>
      </c>
      <c r="U211" s="14">
        <f>+U210*(1+'SImple Return'!G210)</f>
        <v>233.02859270582232</v>
      </c>
      <c r="V211" s="14">
        <f>+V210*(1+'SImple Return'!H210)</f>
        <v>171.94185108057775</v>
      </c>
      <c r="W211" s="14">
        <f>+W210*(1+'SImple Return'!I210)</f>
        <v>256.76381729168133</v>
      </c>
      <c r="X211" s="14">
        <f>+X210*(1+'SImple Return'!J210)</f>
        <v>234.86113769378758</v>
      </c>
      <c r="Y211" s="14">
        <f>+Y210*(1+'SImple Return'!K210)</f>
        <v>338.62846041767841</v>
      </c>
      <c r="Z211" s="14">
        <f>+Z210*(1+'SImple Return'!L210)</f>
        <v>937.84270757243667</v>
      </c>
      <c r="AA211" s="14">
        <f>+AA210*(1+'SImple Return'!M210)</f>
        <v>265.23248911753092</v>
      </c>
      <c r="AB211" s="14">
        <f>+AB210*(1+'SImple Return'!N210)</f>
        <v>183.7125397213396</v>
      </c>
    </row>
    <row r="212" spans="1:28">
      <c r="A212" s="8">
        <v>39094</v>
      </c>
      <c r="B212" s="10">
        <v>1487.56</v>
      </c>
      <c r="C212" s="10">
        <v>256.77</v>
      </c>
      <c r="D212" s="10">
        <v>225.75</v>
      </c>
      <c r="E212" s="35">
        <v>2502.9499999999998</v>
      </c>
      <c r="F212" s="35">
        <v>1996.7</v>
      </c>
      <c r="G212" s="35">
        <v>2423.65</v>
      </c>
      <c r="H212" s="14">
        <v>1749.18</v>
      </c>
      <c r="I212" s="14">
        <v>2631.76</v>
      </c>
      <c r="J212" s="14">
        <v>2348.59</v>
      </c>
      <c r="K212" s="14">
        <v>3433.53</v>
      </c>
      <c r="L212" s="14">
        <v>10173.040000000001</v>
      </c>
      <c r="M212" s="14">
        <v>2726.6</v>
      </c>
      <c r="N212" s="14">
        <v>1845.06</v>
      </c>
      <c r="P212" s="14">
        <f>+P211*(1+'SImple Return'!B211)</f>
        <v>182.76713641557416</v>
      </c>
      <c r="Q212" s="14">
        <f>+Q211*(1+'SImple Return'!C211)</f>
        <v>119.75095606753105</v>
      </c>
      <c r="R212" s="14">
        <f>+R211*(1+'SImple Return'!D211)</f>
        <v>260.44070143054898</v>
      </c>
      <c r="S212" s="14">
        <f>+S211*(1+'SImple Return'!E211)</f>
        <v>249.75802025644848</v>
      </c>
      <c r="T212" s="14">
        <f>+T211*(1+'SImple Return'!F211)</f>
        <v>196.02395444728072</v>
      </c>
      <c r="U212" s="14">
        <f>+U211*(1+'SImple Return'!G211)</f>
        <v>237.48701667744521</v>
      </c>
      <c r="V212" s="14">
        <f>+V211*(1+'SImple Return'!H211)</f>
        <v>174.28534420055223</v>
      </c>
      <c r="W212" s="14">
        <f>+W211*(1+'SImple Return'!I211)</f>
        <v>262.41237997427498</v>
      </c>
      <c r="X212" s="14">
        <f>+X211*(1+'SImple Return'!J211)</f>
        <v>236.58369513755267</v>
      </c>
      <c r="Y212" s="14">
        <f>+Y211*(1+'SImple Return'!K211)</f>
        <v>333.51432734337055</v>
      </c>
      <c r="Z212" s="14">
        <f>+Z211*(1+'SImple Return'!L211)</f>
        <v>990.80009739469142</v>
      </c>
      <c r="AA212" s="14">
        <f>+AA211*(1+'SImple Return'!M211)</f>
        <v>269.74673525920093</v>
      </c>
      <c r="AB212" s="14">
        <f>+AB211*(1+'SImple Return'!N211)</f>
        <v>180.4018577364948</v>
      </c>
    </row>
    <row r="213" spans="1:28">
      <c r="A213" s="8">
        <v>39101</v>
      </c>
      <c r="B213" s="10">
        <v>1493.56</v>
      </c>
      <c r="C213" s="10">
        <v>256.97000000000003</v>
      </c>
      <c r="D213" s="10">
        <v>231.67</v>
      </c>
      <c r="E213" s="35">
        <v>2513.13</v>
      </c>
      <c r="F213" s="35">
        <v>2005.76</v>
      </c>
      <c r="G213" s="35">
        <v>2475.27</v>
      </c>
      <c r="H213" s="14">
        <v>1756.71</v>
      </c>
      <c r="I213" s="14">
        <v>2696.69</v>
      </c>
      <c r="J213" s="14">
        <v>2348.5500000000002</v>
      </c>
      <c r="K213" s="14">
        <v>3559.07</v>
      </c>
      <c r="L213" s="14">
        <v>10384.23</v>
      </c>
      <c r="M213" s="14">
        <v>2742.33</v>
      </c>
      <c r="N213" s="14">
        <v>1845.72</v>
      </c>
      <c r="P213" s="14">
        <f>+P212*(1+'SImple Return'!B212)</f>
        <v>183.50431865931117</v>
      </c>
      <c r="Q213" s="14">
        <f>+Q212*(1+'SImple Return'!C212)</f>
        <v>119.84423094860558</v>
      </c>
      <c r="R213" s="14">
        <f>+R212*(1+'SImple Return'!D212)</f>
        <v>267.27041993539439</v>
      </c>
      <c r="S213" s="14">
        <f>+S212*(1+'SImple Return'!E212)</f>
        <v>250.77383625205795</v>
      </c>
      <c r="T213" s="14">
        <f>+T212*(1+'SImple Return'!F212)</f>
        <v>196.91341056351868</v>
      </c>
      <c r="U213" s="14">
        <f>+U212*(1+'SImple Return'!G212)</f>
        <v>242.54512317008638</v>
      </c>
      <c r="V213" s="14">
        <f>+V212*(1+'SImple Return'!H212)</f>
        <v>175.03562069687061</v>
      </c>
      <c r="W213" s="14">
        <f>+W212*(1+'SImple Return'!I212)</f>
        <v>268.88654016811091</v>
      </c>
      <c r="X213" s="14">
        <f>+X212*(1+'SImple Return'!J212)</f>
        <v>236.57966576341519</v>
      </c>
      <c r="Y213" s="14">
        <f>+Y212*(1+'SImple Return'!K212)</f>
        <v>345.70859640602231</v>
      </c>
      <c r="Z213" s="14">
        <f>+Z212*(1+'SImple Return'!L212)</f>
        <v>1011.3688823959086</v>
      </c>
      <c r="AA213" s="14">
        <f>+AA212*(1+'SImple Return'!M212)</f>
        <v>271.30292837356575</v>
      </c>
      <c r="AB213" s="14">
        <f>+AB212*(1+'SImple Return'!N212)</f>
        <v>180.46638963578593</v>
      </c>
    </row>
    <row r="214" spans="1:28">
      <c r="A214" s="8">
        <v>39108</v>
      </c>
      <c r="B214" s="10">
        <v>1487.3</v>
      </c>
      <c r="C214" s="10">
        <v>255.94</v>
      </c>
      <c r="D214" s="10">
        <v>233.95</v>
      </c>
      <c r="E214" s="35">
        <v>2520.25</v>
      </c>
      <c r="F214" s="35">
        <v>2004.47</v>
      </c>
      <c r="G214" s="35">
        <v>2447.0300000000002</v>
      </c>
      <c r="H214" s="14">
        <v>1777.61</v>
      </c>
      <c r="I214" s="14">
        <v>2654.72</v>
      </c>
      <c r="J214" s="14">
        <v>2333.36</v>
      </c>
      <c r="K214" s="14">
        <v>3508.43</v>
      </c>
      <c r="L214" s="14">
        <v>10330.56</v>
      </c>
      <c r="M214" s="14">
        <v>2713.59</v>
      </c>
      <c r="N214" s="14">
        <v>1850.01</v>
      </c>
      <c r="P214" s="14">
        <f>+P213*(1+'SImple Return'!B213)</f>
        <v>182.73519185167888</v>
      </c>
      <c r="Q214" s="14">
        <f>+Q213*(1+'SImple Return'!C213)</f>
        <v>119.36386531107175</v>
      </c>
      <c r="R214" s="14">
        <f>+R213*(1+'SImple Return'!D213)</f>
        <v>269.90078449469291</v>
      </c>
      <c r="S214" s="14">
        <f>+S213*(1+'SImple Return'!E213)</f>
        <v>251.48430873621697</v>
      </c>
      <c r="T214" s="14">
        <f>+T213*(1+'SImple Return'!F213)</f>
        <v>196.78676614961725</v>
      </c>
      <c r="U214" s="14">
        <f>+U213*(1+'SImple Return'!G213)</f>
        <v>239.77796068747915</v>
      </c>
      <c r="V214" s="14">
        <f>+V213*(1+'SImple Return'!H213)</f>
        <v>177.11806143698399</v>
      </c>
      <c r="W214" s="14">
        <f>+W213*(1+'SImple Return'!I213)</f>
        <v>264.70171800061826</v>
      </c>
      <c r="X214" s="14">
        <f>+X213*(1+'SImple Return'!J213)</f>
        <v>235.04951093471396</v>
      </c>
      <c r="Y214" s="14">
        <f>+Y213*(1+'SImple Return'!K213)</f>
        <v>340.7897037396794</v>
      </c>
      <c r="Z214" s="14">
        <f>+Z213*(1+'SImple Return'!L213)</f>
        <v>1006.1417092768436</v>
      </c>
      <c r="AA214" s="14">
        <f>+AA213*(1+'SImple Return'!M213)</f>
        <v>268.4596359319354</v>
      </c>
      <c r="AB214" s="14">
        <f>+AB213*(1+'SImple Return'!N213)</f>
        <v>180.88584698117825</v>
      </c>
    </row>
    <row r="215" spans="1:28">
      <c r="A215" s="8">
        <v>39115</v>
      </c>
      <c r="B215" s="10">
        <v>1515.72</v>
      </c>
      <c r="C215" s="10">
        <v>257.01</v>
      </c>
      <c r="D215" s="10">
        <v>241.6</v>
      </c>
      <c r="E215" s="35">
        <v>2599.23</v>
      </c>
      <c r="F215" s="35">
        <v>2013.77</v>
      </c>
      <c r="G215" s="35">
        <v>2473.09</v>
      </c>
      <c r="H215" s="14">
        <v>1827.7</v>
      </c>
      <c r="I215" s="14">
        <v>2748.54</v>
      </c>
      <c r="J215" s="14">
        <v>2394.7199999999998</v>
      </c>
      <c r="K215" s="14">
        <v>3512.73</v>
      </c>
      <c r="L215" s="14">
        <v>10274.209999999999</v>
      </c>
      <c r="M215" s="14">
        <v>2752.8</v>
      </c>
      <c r="N215" s="14">
        <v>1870.03</v>
      </c>
      <c r="P215" s="14">
        <f>+P214*(1+'SImple Return'!B214)</f>
        <v>186.22697841284659</v>
      </c>
      <c r="Q215" s="14">
        <f>+Q214*(1+'SImple Return'!C214)</f>
        <v>119.86288592482046</v>
      </c>
      <c r="R215" s="14">
        <f>+R214*(1+'SImple Return'!D214)</f>
        <v>278.72634979233942</v>
      </c>
      <c r="S215" s="14">
        <f>+S214*(1+'SImple Return'!E214)</f>
        <v>259.36536446639707</v>
      </c>
      <c r="T215" s="14">
        <f>+T214*(1+'SImple Return'!F214)</f>
        <v>197.69978401727874</v>
      </c>
      <c r="U215" s="14">
        <f>+U214*(1+'SImple Return'!G214)</f>
        <v>242.33151076880864</v>
      </c>
      <c r="V215" s="14">
        <f>+V214*(1+'SImple Return'!H214)</f>
        <v>182.10894453135145</v>
      </c>
      <c r="W215" s="14">
        <f>+W214*(1+'SImple Return'!I214)</f>
        <v>274.05649559781045</v>
      </c>
      <c r="X215" s="14">
        <f>+X214*(1+'SImple Return'!J214)</f>
        <v>241.23057086158082</v>
      </c>
      <c r="Y215" s="14">
        <f>+Y214*(1+'SImple Return'!K214)</f>
        <v>341.20738222438075</v>
      </c>
      <c r="Z215" s="14">
        <f>+Z214*(1+'SImple Return'!L214)</f>
        <v>1000.6535183832473</v>
      </c>
      <c r="AA215" s="14">
        <f>+AA214*(1+'SImple Return'!M214)</f>
        <v>272.33874159081944</v>
      </c>
      <c r="AB215" s="14">
        <f>+AB214*(1+'SImple Return'!N214)</f>
        <v>182.84331459300907</v>
      </c>
    </row>
    <row r="216" spans="1:28">
      <c r="A216" s="8">
        <v>39122</v>
      </c>
      <c r="B216" s="10">
        <v>1513.76</v>
      </c>
      <c r="C216" s="10">
        <v>257.52999999999997</v>
      </c>
      <c r="D216" s="10">
        <v>244.34</v>
      </c>
      <c r="E216" s="35">
        <v>2638.17</v>
      </c>
      <c r="F216" s="35">
        <v>2030.07</v>
      </c>
      <c r="G216" s="35">
        <v>2506.67</v>
      </c>
      <c r="H216" s="14">
        <v>1860.51</v>
      </c>
      <c r="I216" s="14">
        <v>2788.45</v>
      </c>
      <c r="J216" s="14">
        <v>2399.56</v>
      </c>
      <c r="K216" s="14">
        <v>3531.51</v>
      </c>
      <c r="L216" s="14">
        <v>10269.33</v>
      </c>
      <c r="M216" s="14">
        <v>2783.45</v>
      </c>
      <c r="N216" s="14">
        <v>1897.32</v>
      </c>
      <c r="P216" s="14">
        <f>+P215*(1+'SImple Return'!B215)</f>
        <v>185.98616554655916</v>
      </c>
      <c r="Q216" s="14">
        <f>+Q215*(1+'SImple Return'!C215)</f>
        <v>120.10540061561422</v>
      </c>
      <c r="R216" s="14">
        <f>+R215*(1+'SImple Return'!D215)</f>
        <v>281.88740193816318</v>
      </c>
      <c r="S216" s="14">
        <f>+S215*(1+'SImple Return'!E215)</f>
        <v>263.25101032779503</v>
      </c>
      <c r="T216" s="14">
        <f>+T215*(1+'SImple Return'!F215)</f>
        <v>199.30001963479299</v>
      </c>
      <c r="U216" s="14">
        <f>+U215*(1+'SImple Return'!G215)</f>
        <v>245.62192564720635</v>
      </c>
      <c r="V216" s="14">
        <f>+V215*(1+'SImple Return'!H215)</f>
        <v>185.3780775783907</v>
      </c>
      <c r="W216" s="14">
        <f>+W215*(1+'SImple Return'!I215)</f>
        <v>278.03591548593602</v>
      </c>
      <c r="X216" s="14">
        <f>+X215*(1+'SImple Return'!J215)</f>
        <v>241.71812513221371</v>
      </c>
      <c r="Y216" s="14">
        <f>+Y215*(1+'SImple Return'!K215)</f>
        <v>343.0315687226809</v>
      </c>
      <c r="Z216" s="14">
        <f>+Z215*(1+'SImple Return'!L215)</f>
        <v>1000.1782322863396</v>
      </c>
      <c r="AA216" s="14">
        <f>+AA215*(1+'SImple Return'!M215)</f>
        <v>275.3709932726556</v>
      </c>
      <c r="AB216" s="14">
        <f>+AB215*(1+'SImple Return'!N215)</f>
        <v>185.51161085309218</v>
      </c>
    </row>
    <row r="217" spans="1:28">
      <c r="A217" s="8">
        <v>39129</v>
      </c>
      <c r="B217" s="10">
        <v>1536.74</v>
      </c>
      <c r="C217" s="10">
        <v>259.44</v>
      </c>
      <c r="D217" s="10">
        <v>246.03</v>
      </c>
      <c r="E217" s="35">
        <v>2646.76</v>
      </c>
      <c r="F217" s="35">
        <v>2037.76</v>
      </c>
      <c r="G217" s="35">
        <v>2533.73</v>
      </c>
      <c r="H217" s="14">
        <v>1861.81</v>
      </c>
      <c r="I217" s="14">
        <v>2861.83</v>
      </c>
      <c r="J217" s="14">
        <v>2391.9299999999998</v>
      </c>
      <c r="K217" s="14">
        <v>3604.75</v>
      </c>
      <c r="L217" s="14">
        <v>10330.81</v>
      </c>
      <c r="M217" s="14">
        <v>2789.11</v>
      </c>
      <c r="N217" s="14">
        <v>1912.58</v>
      </c>
      <c r="P217" s="14">
        <f>+P216*(1+'SImple Return'!B216)</f>
        <v>188.80957354007197</v>
      </c>
      <c r="Q217" s="14">
        <f>+Q216*(1+'SImple Return'!C216)</f>
        <v>120.99617572987594</v>
      </c>
      <c r="R217" s="14">
        <f>+R216*(1+'SImple Return'!D216)</f>
        <v>283.83710198430992</v>
      </c>
      <c r="S217" s="14">
        <f>+S216*(1+'SImple Return'!E216)</f>
        <v>264.1081674400038</v>
      </c>
      <c r="T217" s="14">
        <f>+T216*(1+'SImple Return'!F216)</f>
        <v>200.05497741998835</v>
      </c>
      <c r="U217" s="14">
        <f>+U216*(1+'SImple Return'!G216)</f>
        <v>248.27346306857152</v>
      </c>
      <c r="V217" s="14">
        <f>+V216*(1+'SImple Return'!H216)</f>
        <v>185.50760738519199</v>
      </c>
      <c r="W217" s="14">
        <f>+W216*(1+'SImple Return'!I216)</f>
        <v>285.35262386455429</v>
      </c>
      <c r="X217" s="14">
        <f>+X216*(1+'SImple Return'!J216)</f>
        <v>240.94952201549282</v>
      </c>
      <c r="Y217" s="14">
        <f>+Y216*(1+'SImple Return'!K216)</f>
        <v>350.14570179698882</v>
      </c>
      <c r="Z217" s="14">
        <f>+Z216*(1+'SImple Return'!L216)</f>
        <v>1006.1660579498409</v>
      </c>
      <c r="AA217" s="14">
        <f>+AA216*(1+'SImple Return'!M216)</f>
        <v>275.93094578551677</v>
      </c>
      <c r="AB217" s="14">
        <f>+AB216*(1+'SImple Return'!N216)</f>
        <v>187.00366658518701</v>
      </c>
    </row>
    <row r="218" spans="1:28">
      <c r="A218" s="8">
        <v>39136</v>
      </c>
      <c r="B218" s="10">
        <v>1538.93</v>
      </c>
      <c r="C218" s="10">
        <v>259.61</v>
      </c>
      <c r="D218" s="10">
        <v>248.46</v>
      </c>
      <c r="E218" s="35">
        <v>2640.66</v>
      </c>
      <c r="F218" s="35">
        <v>2038.16</v>
      </c>
      <c r="G218" s="35">
        <v>2584.38</v>
      </c>
      <c r="H218" s="14">
        <v>1868.03</v>
      </c>
      <c r="I218" s="14">
        <v>2911.59</v>
      </c>
      <c r="J218" s="14">
        <v>2373.1799999999998</v>
      </c>
      <c r="K218" s="14">
        <v>3578.61</v>
      </c>
      <c r="L218" s="14">
        <v>10313.540000000001</v>
      </c>
      <c r="M218" s="14">
        <v>2834.03</v>
      </c>
      <c r="N218" s="14">
        <v>1899.45</v>
      </c>
      <c r="P218" s="14">
        <f>+P217*(1+'SImple Return'!B217)</f>
        <v>189.07864505903598</v>
      </c>
      <c r="Q218" s="14">
        <f>+Q217*(1+'SImple Return'!C217)</f>
        <v>121.07545937878929</v>
      </c>
      <c r="R218" s="14">
        <f>+R217*(1+'SImple Return'!D217)</f>
        <v>286.64051684356235</v>
      </c>
      <c r="S218" s="14">
        <f>+S217*(1+'SImple Return'!E217)</f>
        <v>263.49947612632815</v>
      </c>
      <c r="T218" s="14">
        <f>+T217*(1+'SImple Return'!F217)</f>
        <v>200.0942470056942</v>
      </c>
      <c r="U218" s="14">
        <f>+U217*(1+'SImple Return'!G217)</f>
        <v>253.23652184137808</v>
      </c>
      <c r="V218" s="14">
        <f>+V217*(1+'SImple Return'!H217)</f>
        <v>186.12735769157979</v>
      </c>
      <c r="W218" s="14">
        <f>+W217*(1+'SImple Return'!I217)</f>
        <v>290.31418571955629</v>
      </c>
      <c r="X218" s="14">
        <f>+X217*(1+'SImple Return'!J217)</f>
        <v>239.06075288855746</v>
      </c>
      <c r="Y218" s="14">
        <f>+Y217*(1+'SImple Return'!K217)</f>
        <v>347.60660514813014</v>
      </c>
      <c r="Z218" s="14">
        <f>+Z217*(1+'SImple Return'!L217)</f>
        <v>1004.4840516191862</v>
      </c>
      <c r="AA218" s="14">
        <f>+AA217*(1+'SImple Return'!M217)</f>
        <v>280.37495053423066</v>
      </c>
      <c r="AB218" s="14">
        <f>+AB217*(1+'SImple Return'!N217)</f>
        <v>185.71987289171355</v>
      </c>
    </row>
    <row r="219" spans="1:28">
      <c r="A219" s="8">
        <v>39143</v>
      </c>
      <c r="B219" s="10">
        <v>1470.04</v>
      </c>
      <c r="C219" s="10">
        <v>262.10000000000002</v>
      </c>
      <c r="D219" s="10">
        <v>232.73</v>
      </c>
      <c r="E219" s="35">
        <v>2549.3200000000002</v>
      </c>
      <c r="F219" s="35">
        <v>1960.51</v>
      </c>
      <c r="G219" s="35">
        <v>2510.7800000000002</v>
      </c>
      <c r="H219" s="14">
        <v>1808.51</v>
      </c>
      <c r="I219" s="14">
        <v>2753.96</v>
      </c>
      <c r="J219" s="14">
        <v>2241.25</v>
      </c>
      <c r="K219" s="14">
        <v>3363.12</v>
      </c>
      <c r="L219" s="14">
        <v>9640.89</v>
      </c>
      <c r="M219" s="14">
        <v>2782.77</v>
      </c>
      <c r="N219" s="14">
        <v>1852.03</v>
      </c>
      <c r="P219" s="14">
        <f>+P218*(1+'SImple Return'!B218)</f>
        <v>180.61456426386206</v>
      </c>
      <c r="Q219" s="14">
        <f>+Q218*(1+'SImple Return'!C218)</f>
        <v>122.23673164816714</v>
      </c>
      <c r="R219" s="14">
        <f>+R218*(1+'SImple Return'!D218)</f>
        <v>268.49330872173493</v>
      </c>
      <c r="S219" s="14">
        <f>+S218*(1+'SImple Return'!E218)</f>
        <v>254.38507209499554</v>
      </c>
      <c r="T219" s="14">
        <f>+T218*(1+'SImple Return'!F218)</f>
        <v>192.47103868054202</v>
      </c>
      <c r="U219" s="14">
        <f>+U218*(1+'SImple Return'!G218)</f>
        <v>246.02465361475296</v>
      </c>
      <c r="V219" s="14">
        <f>+V218*(1+'SImple Return'!H218)</f>
        <v>180.19688530633823</v>
      </c>
      <c r="W219" s="14">
        <f>+W218*(1+'SImple Return'!I218)</f>
        <v>274.59692295420342</v>
      </c>
      <c r="X219" s="14">
        <f>+X218*(1+'SImple Return'!J218)</f>
        <v>225.77086963967312</v>
      </c>
      <c r="Y219" s="14">
        <f>+Y218*(1+'SImple Return'!K218)</f>
        <v>326.67508499271486</v>
      </c>
      <c r="Z219" s="14">
        <f>+Z218*(1+'SImple Return'!L218)</f>
        <v>938.97151205259252</v>
      </c>
      <c r="AA219" s="14">
        <f>+AA218*(1+'SImple Return'!M218)</f>
        <v>275.30371982588082</v>
      </c>
      <c r="AB219" s="14">
        <f>+AB218*(1+'SImple Return'!N218)</f>
        <v>181.08335370325105</v>
      </c>
    </row>
    <row r="220" spans="1:28">
      <c r="A220" s="8">
        <v>39150</v>
      </c>
      <c r="B220" s="10">
        <v>1485.23</v>
      </c>
      <c r="C220" s="10">
        <v>261.29000000000002</v>
      </c>
      <c r="D220" s="10">
        <v>235.84</v>
      </c>
      <c r="E220" s="35">
        <v>2584.25</v>
      </c>
      <c r="F220" s="35">
        <v>1969.47</v>
      </c>
      <c r="G220" s="35">
        <v>2526.61</v>
      </c>
      <c r="H220" s="14">
        <v>1830.4</v>
      </c>
      <c r="I220" s="14">
        <v>2801.18</v>
      </c>
      <c r="J220" s="14">
        <v>2271.7600000000002</v>
      </c>
      <c r="K220" s="14">
        <v>3424.66</v>
      </c>
      <c r="L220" s="14">
        <v>9754.86</v>
      </c>
      <c r="M220" s="14">
        <v>2791.58</v>
      </c>
      <c r="N220" s="14">
        <v>1862.44</v>
      </c>
      <c r="P220" s="14">
        <f>+P219*(1+'SImple Return'!B219)</f>
        <v>182.48086397758962</v>
      </c>
      <c r="Q220" s="14">
        <f>+Q219*(1+'SImple Return'!C219)</f>
        <v>121.85896837981529</v>
      </c>
      <c r="R220" s="14">
        <f>+R219*(1+'SImple Return'!D219)</f>
        <v>272.08121827411151</v>
      </c>
      <c r="S220" s="14">
        <f>+S219*(1+'SImple Return'!E219)</f>
        <v>257.87057825674776</v>
      </c>
      <c r="T220" s="14">
        <f>+T219*(1+'SImple Return'!F219)</f>
        <v>193.35067740035353</v>
      </c>
      <c r="U220" s="14">
        <f>+U219*(1+'SImple Return'!G219)</f>
        <v>247.57579320751756</v>
      </c>
      <c r="V220" s="14">
        <f>+V219*(1+'SImple Return'!H219)</f>
        <v>182.37796797624648</v>
      </c>
      <c r="W220" s="14">
        <f>+W219*(1+'SImple Return'!I219)</f>
        <v>279.30522180454886</v>
      </c>
      <c r="X220" s="14">
        <f>+X219*(1+'SImple Return'!J219)</f>
        <v>228.84427476302236</v>
      </c>
      <c r="Y220" s="14">
        <f>+Y219*(1+'SImple Return'!K219)</f>
        <v>332.65274405050991</v>
      </c>
      <c r="Z220" s="14">
        <f>+Z219*(1+'SImple Return'!L219)</f>
        <v>950.07158509861165</v>
      </c>
      <c r="AA220" s="14">
        <f>+AA219*(1+'SImple Return'!M219)</f>
        <v>276.17530668777243</v>
      </c>
      <c r="AB220" s="14">
        <f>+AB219*(1+'SImple Return'!N219)</f>
        <v>182.10119775116112</v>
      </c>
    </row>
    <row r="221" spans="1:28">
      <c r="A221" s="8">
        <v>39157</v>
      </c>
      <c r="B221" s="10">
        <v>1469.67</v>
      </c>
      <c r="C221" s="10">
        <v>262.45999999999998</v>
      </c>
      <c r="D221" s="10">
        <v>231.28</v>
      </c>
      <c r="E221" s="35">
        <v>2596.58</v>
      </c>
      <c r="F221" s="35">
        <v>1971.95</v>
      </c>
      <c r="G221" s="35">
        <v>2590.6799999999998</v>
      </c>
      <c r="H221" s="14">
        <v>1830.74</v>
      </c>
      <c r="I221" s="14">
        <v>2822.58</v>
      </c>
      <c r="J221" s="14">
        <v>2266.62</v>
      </c>
      <c r="K221" s="14">
        <v>3388.3</v>
      </c>
      <c r="L221" s="14">
        <v>9780</v>
      </c>
      <c r="M221" s="14">
        <v>2860.76</v>
      </c>
      <c r="N221" s="14">
        <v>1865.87</v>
      </c>
      <c r="P221" s="14">
        <f>+P220*(1+'SImple Return'!B220)</f>
        <v>180.56910469216496</v>
      </c>
      <c r="Q221" s="14">
        <f>+Q220*(1+'SImple Return'!C220)</f>
        <v>122.40462643410125</v>
      </c>
      <c r="R221" s="14">
        <f>+R220*(1+'SImple Return'!D220)</f>
        <v>266.82048915551434</v>
      </c>
      <c r="S221" s="14">
        <f>+S220*(1+'SImple Return'!E220)</f>
        <v>259.10093299406253</v>
      </c>
      <c r="T221" s="14">
        <f>+T220*(1+'SImple Return'!F220)</f>
        <v>193.59414883172994</v>
      </c>
      <c r="U221" s="14">
        <f>+U220*(1+'SImple Return'!G220)</f>
        <v>253.85384208360273</v>
      </c>
      <c r="V221" s="14">
        <f>+V220*(1+'SImple Return'!H220)</f>
        <v>182.41184500264066</v>
      </c>
      <c r="W221" s="14">
        <f>+W220*(1+'SImple Return'!I220)</f>
        <v>281.43901247370161</v>
      </c>
      <c r="X221" s="14">
        <f>+X220*(1+'SImple Return'!J220)</f>
        <v>228.32650018635846</v>
      </c>
      <c r="Y221" s="14">
        <f>+Y220*(1+'SImple Return'!K220)</f>
        <v>329.12093249150075</v>
      </c>
      <c r="Z221" s="14">
        <f>+Z220*(1+'SImple Return'!L220)</f>
        <v>952.52008765522237</v>
      </c>
      <c r="AA221" s="14">
        <f>+AA220*(1+'SImple Return'!M220)</f>
        <v>283.01939058171786</v>
      </c>
      <c r="AB221" s="14">
        <f>+AB220*(1+'SImple Return'!N220)</f>
        <v>182.43656807626499</v>
      </c>
    </row>
    <row r="222" spans="1:28">
      <c r="A222" s="8">
        <v>39164</v>
      </c>
      <c r="B222" s="10">
        <v>1526.85</v>
      </c>
      <c r="C222" s="10">
        <v>261.95</v>
      </c>
      <c r="D222" s="10">
        <v>240.24</v>
      </c>
      <c r="E222" s="35">
        <v>2691.85</v>
      </c>
      <c r="F222" s="35">
        <v>2054.67</v>
      </c>
      <c r="G222" s="35">
        <v>2641.98</v>
      </c>
      <c r="H222" s="14">
        <v>1895.89</v>
      </c>
      <c r="I222" s="14">
        <v>2950.39</v>
      </c>
      <c r="J222" s="14">
        <v>2374.7399999999998</v>
      </c>
      <c r="K222" s="14">
        <v>3452.61</v>
      </c>
      <c r="L222" s="14">
        <v>10249.9</v>
      </c>
      <c r="M222" s="14">
        <v>2926.04</v>
      </c>
      <c r="N222" s="14">
        <v>1934.37</v>
      </c>
      <c r="P222" s="14">
        <f>+P221*(1+'SImple Return'!B221)</f>
        <v>187.59445147497877</v>
      </c>
      <c r="Q222" s="14">
        <f>+Q221*(1+'SImple Return'!C221)</f>
        <v>122.16677548736121</v>
      </c>
      <c r="R222" s="14">
        <f>+R221*(1+'SImple Return'!D221)</f>
        <v>277.15736040609113</v>
      </c>
      <c r="S222" s="14">
        <f>+S221*(1+'SImple Return'!E221)</f>
        <v>268.60749388814025</v>
      </c>
      <c r="T222" s="14">
        <f>+T221*(1+'SImple Return'!F221)</f>
        <v>201.71509915570402</v>
      </c>
      <c r="U222" s="14">
        <f>+U221*(1+'SImple Return'!G221)</f>
        <v>258.88059262743252</v>
      </c>
      <c r="V222" s="14">
        <f>+V221*(1+'SImple Return'!H221)</f>
        <v>188.90328108964485</v>
      </c>
      <c r="W222" s="14">
        <f>+W221*(1+'SImple Return'!I221)</f>
        <v>294.18292768044995</v>
      </c>
      <c r="X222" s="14">
        <f>+X221*(1+'SImple Return'!J221)</f>
        <v>239.21789847991852</v>
      </c>
      <c r="Y222" s="14">
        <f>+Y221*(1+'SImple Return'!K221)</f>
        <v>335.36765420106849</v>
      </c>
      <c r="Z222" s="14">
        <f>+Z221*(1+'SImple Return'!L221)</f>
        <v>998.28585342098802</v>
      </c>
      <c r="AA222" s="14">
        <f>+AA221*(1+'SImple Return'!M221)</f>
        <v>289.47764147210171</v>
      </c>
      <c r="AB222" s="14">
        <f>+AB221*(1+'SImple Return'!N221)</f>
        <v>189.13419701784409</v>
      </c>
    </row>
    <row r="223" spans="1:28">
      <c r="A223" s="8">
        <v>39171</v>
      </c>
      <c r="B223" s="10">
        <v>1514.18</v>
      </c>
      <c r="C223" s="10">
        <v>261.61</v>
      </c>
      <c r="D223" s="10">
        <v>238.29</v>
      </c>
      <c r="E223" s="35">
        <v>2724.17</v>
      </c>
      <c r="F223" s="35">
        <v>2045.64</v>
      </c>
      <c r="G223" s="35">
        <v>2655.51</v>
      </c>
      <c r="H223" s="14">
        <v>1914.91</v>
      </c>
      <c r="I223" s="14">
        <v>2956.5</v>
      </c>
      <c r="J223" s="14">
        <v>2362.21</v>
      </c>
      <c r="K223" s="14">
        <v>3440.7</v>
      </c>
      <c r="L223" s="14">
        <v>10070.41</v>
      </c>
      <c r="M223" s="14">
        <v>2953.22</v>
      </c>
      <c r="N223" s="14">
        <v>1946.61</v>
      </c>
      <c r="P223" s="14">
        <f>+P222*(1+'SImple Return'!B222)</f>
        <v>186.03776830362077</v>
      </c>
      <c r="Q223" s="14">
        <f>+Q222*(1+'SImple Return'!C222)</f>
        <v>122.00820818953451</v>
      </c>
      <c r="R223" s="14">
        <f>+R222*(1+'SImple Return'!D222)</f>
        <v>274.907706506691</v>
      </c>
      <c r="S223" s="14">
        <f>+S222*(1+'SImple Return'!E222)</f>
        <v>271.83255999600834</v>
      </c>
      <c r="T223" s="14">
        <f>+T222*(1+'SImple Return'!F222)</f>
        <v>200.82858825839401</v>
      </c>
      <c r="U223" s="14">
        <f>+U222*(1+'SImple Return'!G222)</f>
        <v>260.20636133811513</v>
      </c>
      <c r="V223" s="14">
        <f>+V222*(1+'SImple Return'!H222)</f>
        <v>190.79840180146093</v>
      </c>
      <c r="W223" s="14">
        <f>+W222*(1+'SImple Return'!I222)</f>
        <v>294.79215482944636</v>
      </c>
      <c r="X223" s="14">
        <f>+X222*(1+'SImple Return'!J222)</f>
        <v>237.95569703135854</v>
      </c>
      <c r="Y223" s="14">
        <f>+Y222*(1+'SImple Return'!K222)</f>
        <v>334.21078193297711</v>
      </c>
      <c r="Z223" s="14">
        <f>+Z222*(1+'SImple Return'!L222)</f>
        <v>980.80448015583102</v>
      </c>
      <c r="AA223" s="14">
        <f>+AA222*(1+'SImple Return'!M222)</f>
        <v>292.16660071230746</v>
      </c>
      <c r="AB223" s="14">
        <f>+AB222*(1+'SImple Return'!N222)</f>
        <v>190.33097042287955</v>
      </c>
    </row>
    <row r="224" spans="1:28">
      <c r="A224" s="8">
        <v>39178</v>
      </c>
      <c r="B224" s="10">
        <v>1542.02</v>
      </c>
      <c r="C224" s="10">
        <v>261.7</v>
      </c>
      <c r="D224" s="10">
        <v>240.52</v>
      </c>
      <c r="E224" s="35">
        <v>2791.12</v>
      </c>
      <c r="F224" s="35">
        <v>2061.5100000000002</v>
      </c>
      <c r="G224" s="35">
        <v>2703.93</v>
      </c>
      <c r="H224" s="14">
        <v>1954.23</v>
      </c>
      <c r="I224" s="14">
        <v>3023.91</v>
      </c>
      <c r="J224" s="14">
        <v>2418.1799999999998</v>
      </c>
      <c r="K224" s="14">
        <v>3507.52</v>
      </c>
      <c r="L224" s="14">
        <v>10138.15</v>
      </c>
      <c r="M224" s="14">
        <v>3009.42</v>
      </c>
      <c r="N224" s="14">
        <v>1966.59</v>
      </c>
      <c r="P224" s="14">
        <f>+P223*(1+'SImple Return'!B223)</f>
        <v>189.45829391456053</v>
      </c>
      <c r="Q224" s="14">
        <f>+Q223*(1+'SImple Return'!C223)</f>
        <v>122.05018188601804</v>
      </c>
      <c r="R224" s="14">
        <f>+R223*(1+'SImple Return'!D223)</f>
        <v>277.48038763267164</v>
      </c>
      <c r="S224" s="14">
        <f>+S223*(1+'SImple Return'!E223)</f>
        <v>278.51319662725109</v>
      </c>
      <c r="T224" s="14">
        <f>+T223*(1+'SImple Return'!F223)</f>
        <v>202.38660907127445</v>
      </c>
      <c r="U224" s="14">
        <f>+U223*(1+'SImple Return'!G223)</f>
        <v>264.95090834264209</v>
      </c>
      <c r="V224" s="14">
        <f>+V223*(1+'SImple Return'!H223)</f>
        <v>194.71618026563596</v>
      </c>
      <c r="W224" s="14">
        <f>+W223*(1+'SImple Return'!I223)</f>
        <v>301.5135954372775</v>
      </c>
      <c r="X224" s="14">
        <f>+X223*(1+'SImple Return'!J223)</f>
        <v>243.59379879320235</v>
      </c>
      <c r="Y224" s="14">
        <f>+Y223*(1+'SImple Return'!K223)</f>
        <v>340.70131131617285</v>
      </c>
      <c r="Z224" s="14">
        <f>+Z223*(1+'SImple Return'!L223)</f>
        <v>987.40199659118537</v>
      </c>
      <c r="AA224" s="14">
        <f>+AA223*(1+'SImple Return'!M223)</f>
        <v>297.72655322516857</v>
      </c>
      <c r="AB224" s="14">
        <f>+AB223*(1+'SImple Return'!N223)</f>
        <v>192.28452701051094</v>
      </c>
    </row>
    <row r="225" spans="1:28">
      <c r="A225" s="8">
        <v>39185</v>
      </c>
      <c r="B225" s="10">
        <v>1553.66</v>
      </c>
      <c r="C225" s="10">
        <v>261.02</v>
      </c>
      <c r="D225" s="10">
        <v>238.8</v>
      </c>
      <c r="E225" s="35">
        <v>2798.68</v>
      </c>
      <c r="F225" s="35">
        <v>2072.13</v>
      </c>
      <c r="G225" s="35">
        <v>2775.2</v>
      </c>
      <c r="H225" s="14">
        <v>1940.72</v>
      </c>
      <c r="I225" s="14">
        <v>3060.06</v>
      </c>
      <c r="J225" s="14">
        <v>2441.1999999999998</v>
      </c>
      <c r="K225" s="14">
        <v>3461.11</v>
      </c>
      <c r="L225" s="14">
        <v>10322.959999999999</v>
      </c>
      <c r="M225" s="14">
        <v>3058.17</v>
      </c>
      <c r="N225" s="14">
        <v>1975.53</v>
      </c>
      <c r="P225" s="14">
        <f>+P224*(1+'SImple Return'!B224)</f>
        <v>190.88842746741037</v>
      </c>
      <c r="Q225" s="14">
        <f>+Q224*(1+'SImple Return'!C224)</f>
        <v>121.73304729036464</v>
      </c>
      <c r="R225" s="14">
        <f>+R224*(1+'SImple Return'!D224)</f>
        <v>275.49607752653412</v>
      </c>
      <c r="S225" s="14">
        <f>+S224*(1+'SImple Return'!E224)</f>
        <v>279.26757471436378</v>
      </c>
      <c r="T225" s="14">
        <f>+T224*(1+'SImple Return'!F224)</f>
        <v>203.42921657176532</v>
      </c>
      <c r="U225" s="14">
        <f>+U224*(1+'SImple Return'!G224)</f>
        <v>271.9344660669841</v>
      </c>
      <c r="V225" s="14">
        <f>+V224*(1+'SImple Return'!H224)</f>
        <v>193.37006665803156</v>
      </c>
      <c r="W225" s="14">
        <f>+W224*(1+'SImple Return'!I224)</f>
        <v>305.11810631063605</v>
      </c>
      <c r="X225" s="14">
        <f>+X224*(1+'SImple Return'!J224)</f>
        <v>245.91270360931179</v>
      </c>
      <c r="Y225" s="14">
        <f>+Y224*(1+'SImple Return'!K224)</f>
        <v>336.19329771733845</v>
      </c>
      <c r="Z225" s="14">
        <f>+Z224*(1+'SImple Return'!L224)</f>
        <v>1005.4015096177254</v>
      </c>
      <c r="AA225" s="14">
        <f>+AA224*(1+'SImple Return'!M224)</f>
        <v>302.5494657696878</v>
      </c>
      <c r="AB225" s="14">
        <f>+AB224*(1+'SImple Return'!N224)</f>
        <v>193.15864091909077</v>
      </c>
    </row>
    <row r="226" spans="1:28">
      <c r="A226" s="8">
        <v>39192</v>
      </c>
      <c r="B226" s="10">
        <v>1583.14</v>
      </c>
      <c r="C226" s="10">
        <v>262.58999999999997</v>
      </c>
      <c r="D226" s="10">
        <v>241.34</v>
      </c>
      <c r="E226" s="35">
        <v>2804.03</v>
      </c>
      <c r="F226" s="35">
        <v>2095.13</v>
      </c>
      <c r="G226" s="35">
        <v>2770.81</v>
      </c>
      <c r="H226" s="14">
        <v>1945.83</v>
      </c>
      <c r="I226" s="14">
        <v>3049.1</v>
      </c>
      <c r="J226" s="14">
        <v>2432.14</v>
      </c>
      <c r="K226" s="14">
        <v>3527.8</v>
      </c>
      <c r="L226" s="14">
        <v>10406.49</v>
      </c>
      <c r="M226" s="14">
        <v>3063.56</v>
      </c>
      <c r="N226" s="14">
        <v>2003.67</v>
      </c>
      <c r="P226" s="14">
        <f>+P225*(1+'SImple Return'!B225)</f>
        <v>194.51044955830494</v>
      </c>
      <c r="Q226" s="14">
        <f>+Q225*(1+'SImple Return'!C225)</f>
        <v>122.46525510679967</v>
      </c>
      <c r="R226" s="14">
        <f>+R225*(1+'SImple Return'!D225)</f>
        <v>278.42639593908604</v>
      </c>
      <c r="S226" s="14">
        <f>+S225*(1+'SImple Return'!E225)</f>
        <v>279.80142693209569</v>
      </c>
      <c r="T226" s="14">
        <f>+T225*(1+'SImple Return'!F225)</f>
        <v>205.68721774985289</v>
      </c>
      <c r="U226" s="14">
        <f>+U225*(1+'SImple Return'!G225)</f>
        <v>271.50430164422755</v>
      </c>
      <c r="V226" s="14">
        <f>+V225*(1+'SImple Return'!H225)</f>
        <v>193.87921843707363</v>
      </c>
      <c r="W226" s="14">
        <f>+W225*(1+'SImple Return'!I225)</f>
        <v>304.02528641652788</v>
      </c>
      <c r="X226" s="14">
        <f>+X225*(1+'SImple Return'!J225)</f>
        <v>245.00005036717664</v>
      </c>
      <c r="Y226" s="14">
        <f>+Y225*(1+'SImple Return'!K225)</f>
        <v>342.67119961146187</v>
      </c>
      <c r="Z226" s="14">
        <f>+Z225*(1+'SImple Return'!L225)</f>
        <v>1013.5368882395906</v>
      </c>
      <c r="AA226" s="14">
        <f>+AA225*(1+'SImple Return'!M225)</f>
        <v>303.08270676691768</v>
      </c>
      <c r="AB226" s="14">
        <f>+AB225*(1+'SImple Return'!N225)</f>
        <v>195.91004644341248</v>
      </c>
    </row>
    <row r="227" spans="1:28">
      <c r="A227" s="8">
        <v>39199</v>
      </c>
      <c r="B227" s="10">
        <v>1584.09</v>
      </c>
      <c r="C227" s="10">
        <v>262.36</v>
      </c>
      <c r="D227" s="10">
        <v>241.31</v>
      </c>
      <c r="E227" s="35">
        <v>2764.25</v>
      </c>
      <c r="F227" s="35">
        <v>2096.9</v>
      </c>
      <c r="G227" s="35">
        <v>2766.72</v>
      </c>
      <c r="H227" s="14">
        <v>1931.73</v>
      </c>
      <c r="I227" s="14">
        <v>3078.72</v>
      </c>
      <c r="J227" s="14">
        <v>2421.59</v>
      </c>
      <c r="K227" s="14">
        <v>3438.32</v>
      </c>
      <c r="L227" s="14">
        <v>10333.4</v>
      </c>
      <c r="M227" s="14">
        <v>3013.89</v>
      </c>
      <c r="N227" s="14">
        <v>2002.57</v>
      </c>
      <c r="P227" s="14">
        <f>+P226*(1+'SImple Return'!B226)</f>
        <v>194.62717008022997</v>
      </c>
      <c r="Q227" s="14">
        <f>+Q226*(1+'SImple Return'!C226)</f>
        <v>122.35798899356398</v>
      </c>
      <c r="R227" s="14">
        <f>+R226*(1+'SImple Return'!D226)</f>
        <v>278.39178587909527</v>
      </c>
      <c r="S227" s="14">
        <f>+S226*(1+'SImple Return'!E226)</f>
        <v>275.83196128324073</v>
      </c>
      <c r="T227" s="14">
        <f>+T226*(1+'SImple Return'!F226)</f>
        <v>205.86098566660135</v>
      </c>
      <c r="U227" s="14">
        <f>+U226*(1+'SImple Return'!G226)</f>
        <v>271.10353342348168</v>
      </c>
      <c r="V227" s="14">
        <f>+V226*(1+'SImple Return'!H226)</f>
        <v>192.47431822484404</v>
      </c>
      <c r="W227" s="14">
        <f>+W226*(1+'SImple Return'!I226)</f>
        <v>306.97869200626172</v>
      </c>
      <c r="X227" s="14">
        <f>+X226*(1+'SImple Return'!J226)</f>
        <v>243.93730293842106</v>
      </c>
      <c r="Y227" s="14">
        <f>+Y226*(1+'SImple Return'!K226)</f>
        <v>333.97960174842154</v>
      </c>
      <c r="Z227" s="14">
        <f>+Z226*(1+'SImple Return'!L226)</f>
        <v>1006.4183102020936</v>
      </c>
      <c r="AA227" s="14">
        <f>+AA226*(1+'SImple Return'!M226)</f>
        <v>298.16877720617367</v>
      </c>
      <c r="AB227" s="14">
        <f>+AB226*(1+'SImple Return'!N226)</f>
        <v>195.80249327792725</v>
      </c>
    </row>
    <row r="228" spans="1:28">
      <c r="A228" s="8">
        <v>39206</v>
      </c>
      <c r="B228" s="10">
        <v>1597.44</v>
      </c>
      <c r="C228" s="10">
        <v>262.85000000000002</v>
      </c>
      <c r="D228" s="10">
        <v>242.53</v>
      </c>
      <c r="E228" s="35">
        <v>2789.24</v>
      </c>
      <c r="F228" s="35">
        <v>2105.37</v>
      </c>
      <c r="G228" s="35">
        <v>2806.21</v>
      </c>
      <c r="H228" s="14">
        <v>1934.96</v>
      </c>
      <c r="I228" s="14">
        <v>3139.29</v>
      </c>
      <c r="J228" s="14">
        <v>2452.08</v>
      </c>
      <c r="K228" s="14">
        <v>3473.67</v>
      </c>
      <c r="L228" s="14">
        <v>10280.549999999999</v>
      </c>
      <c r="M228" s="14">
        <v>3054.78</v>
      </c>
      <c r="N228" s="14">
        <v>2022.53</v>
      </c>
      <c r="P228" s="14">
        <f>+P227*(1+'SImple Return'!B227)</f>
        <v>196.26740057254489</v>
      </c>
      <c r="Q228" s="14">
        <f>+Q227*(1+'SImple Return'!C227)</f>
        <v>122.58651245219659</v>
      </c>
      <c r="R228" s="14">
        <f>+R227*(1+'SImple Return'!D227)</f>
        <v>279.79926165205325</v>
      </c>
      <c r="S228" s="14">
        <f>+S227*(1+'SImple Return'!E227)</f>
        <v>278.32559996008547</v>
      </c>
      <c r="T228" s="14">
        <f>+T227*(1+'SImple Return'!F227)</f>
        <v>206.69251914392314</v>
      </c>
      <c r="U228" s="14">
        <f>+U227*(1+'SImple Return'!G227)</f>
        <v>274.97305348149024</v>
      </c>
      <c r="V228" s="14">
        <f>+V227*(1+'SImple Return'!H227)</f>
        <v>192.79614997558883</v>
      </c>
      <c r="W228" s="14">
        <f>+W227*(1+'SImple Return'!I227)</f>
        <v>313.01811727871888</v>
      </c>
      <c r="X228" s="14">
        <f>+X227*(1+'SImple Return'!J227)</f>
        <v>247.00869337470152</v>
      </c>
      <c r="Y228" s="14">
        <f>+Y227*(1+'SImple Return'!K227)</f>
        <v>337.41330743079163</v>
      </c>
      <c r="Z228" s="14">
        <f>+Z227*(1+'SImple Return'!L227)</f>
        <v>1001.2710007304597</v>
      </c>
      <c r="AA228" s="14">
        <f>+AA227*(1+'SImple Return'!M227)</f>
        <v>302.21408785120735</v>
      </c>
      <c r="AB228" s="14">
        <f>+AB227*(1+'SImple Return'!N227)</f>
        <v>197.7540943534589</v>
      </c>
    </row>
    <row r="229" spans="1:28">
      <c r="A229" s="8">
        <v>39213</v>
      </c>
      <c r="B229" s="10">
        <v>1593.84</v>
      </c>
      <c r="C229" s="10">
        <v>262.5</v>
      </c>
      <c r="D229" s="10">
        <v>243.08</v>
      </c>
      <c r="E229" s="35">
        <v>2777.32</v>
      </c>
      <c r="F229" s="35">
        <v>2113.15</v>
      </c>
      <c r="G229" s="35">
        <v>2812.88</v>
      </c>
      <c r="H229" s="14">
        <v>1914.1</v>
      </c>
      <c r="I229" s="14">
        <v>3139.18</v>
      </c>
      <c r="J229" s="14">
        <v>2434.62</v>
      </c>
      <c r="K229" s="14">
        <v>3412.68</v>
      </c>
      <c r="L229" s="14">
        <v>10544.1</v>
      </c>
      <c r="M229" s="14">
        <v>3076.98</v>
      </c>
      <c r="N229" s="14">
        <v>2023.14</v>
      </c>
      <c r="P229" s="14">
        <f>+P228*(1+'SImple Return'!B228)</f>
        <v>195.82509122630265</v>
      </c>
      <c r="Q229" s="14">
        <f>+Q228*(1+'SImple Return'!C228)</f>
        <v>122.42328141031615</v>
      </c>
      <c r="R229" s="14">
        <f>+R228*(1+'SImple Return'!D228)</f>
        <v>280.43377941855073</v>
      </c>
      <c r="S229" s="14">
        <f>+S228*(1+'SImple Return'!E228)</f>
        <v>277.13615726188664</v>
      </c>
      <c r="T229" s="14">
        <f>+T228*(1+'SImple Return'!F228)</f>
        <v>207.45631258590237</v>
      </c>
      <c r="U229" s="14">
        <f>+U228*(1+'SImple Return'!G228)</f>
        <v>275.6266290395281</v>
      </c>
      <c r="V229" s="14">
        <f>+V228*(1+'SImple Return'!H228)</f>
        <v>190.71769476799238</v>
      </c>
      <c r="W229" s="14">
        <f>+W228*(1+'SImple Return'!I228)</f>
        <v>313.00714919584004</v>
      </c>
      <c r="X229" s="14">
        <f>+X228*(1+'SImple Return'!J228)</f>
        <v>245.24987156369932</v>
      </c>
      <c r="Y229" s="14">
        <f>+Y228*(1+'SImple Return'!K228)</f>
        <v>331.48907236522581</v>
      </c>
      <c r="Z229" s="14">
        <f>+Z228*(1+'SImple Return'!L228)</f>
        <v>1026.9393718042363</v>
      </c>
      <c r="AA229" s="14">
        <f>+AA228*(1+'SImple Return'!M228)</f>
        <v>304.41036802532682</v>
      </c>
      <c r="AB229" s="14">
        <f>+AB228*(1+'SImple Return'!N228)</f>
        <v>197.81373747250069</v>
      </c>
    </row>
    <row r="230" spans="1:28">
      <c r="A230" s="8">
        <v>39220</v>
      </c>
      <c r="B230" s="10">
        <v>1604.62</v>
      </c>
      <c r="C230" s="10">
        <v>261.12</v>
      </c>
      <c r="D230" s="10">
        <v>235.04</v>
      </c>
      <c r="E230" s="35">
        <v>2811.14</v>
      </c>
      <c r="F230" s="35">
        <v>2138.34</v>
      </c>
      <c r="G230" s="35">
        <v>2861.77</v>
      </c>
      <c r="H230" s="14">
        <v>1910.14</v>
      </c>
      <c r="I230" s="14">
        <v>3241.75</v>
      </c>
      <c r="J230" s="14">
        <v>2464.31</v>
      </c>
      <c r="K230" s="14">
        <v>3460.83</v>
      </c>
      <c r="L230" s="14">
        <v>10773.85</v>
      </c>
      <c r="M230" s="14">
        <v>3118.55</v>
      </c>
      <c r="N230" s="14">
        <v>2061.5</v>
      </c>
      <c r="P230" s="14">
        <f>+P229*(1+'SImple Return'!B229)</f>
        <v>197.14956199088348</v>
      </c>
      <c r="Q230" s="14">
        <f>+Q229*(1+'SImple Return'!C229)</f>
        <v>121.77968473090192</v>
      </c>
      <c r="R230" s="14">
        <f>+R229*(1+'SImple Return'!D229)</f>
        <v>271.15828334102417</v>
      </c>
      <c r="S230" s="14">
        <f>+S229*(1+'SImple Return'!E229)</f>
        <v>280.51090156164213</v>
      </c>
      <c r="T230" s="14">
        <f>+T229*(1+'SImple Return'!F229)</f>
        <v>209.92931474572958</v>
      </c>
      <c r="U230" s="14">
        <f>+U229*(1+'SImple Return'!G229)</f>
        <v>280.41723009387186</v>
      </c>
      <c r="V230" s="14">
        <f>+V229*(1+'SImple Return'!H229)</f>
        <v>190.32312704881301</v>
      </c>
      <c r="W230" s="14">
        <f>+W229*(1+'SImple Return'!I229)</f>
        <v>323.23438793112041</v>
      </c>
      <c r="X230" s="14">
        <f>+X229*(1+'SImple Return'!J229)</f>
        <v>248.24067451723056</v>
      </c>
      <c r="Y230" s="14">
        <f>+Y229*(1+'SImple Return'!K229)</f>
        <v>336.16610004856722</v>
      </c>
      <c r="Z230" s="14">
        <f>+Z229*(1+'SImple Return'!L229)</f>
        <v>1049.3158022887749</v>
      </c>
      <c r="AA230" s="14">
        <f>+AA229*(1+'SImple Return'!M229)</f>
        <v>308.52295211713528</v>
      </c>
      <c r="AB230" s="14">
        <f>+AB229*(1+'SImple Return'!N229)</f>
        <v>201.56440967978497</v>
      </c>
    </row>
    <row r="231" spans="1:28">
      <c r="A231" s="8">
        <v>39227</v>
      </c>
      <c r="B231" s="10">
        <v>1599.4</v>
      </c>
      <c r="C231" s="10">
        <v>260.41000000000003</v>
      </c>
      <c r="D231" s="10">
        <v>232.57</v>
      </c>
      <c r="E231" s="35">
        <v>2828.49</v>
      </c>
      <c r="F231" s="35">
        <v>2100.4</v>
      </c>
      <c r="G231" s="35">
        <v>2834.92</v>
      </c>
      <c r="H231" s="14">
        <v>1885.92</v>
      </c>
      <c r="I231" s="14">
        <v>3185.59</v>
      </c>
      <c r="J231" s="14">
        <v>2546.62</v>
      </c>
      <c r="K231" s="14">
        <v>3513.44</v>
      </c>
      <c r="L231" s="14">
        <v>10830.79</v>
      </c>
      <c r="M231" s="14">
        <v>3095.51</v>
      </c>
      <c r="N231" s="14">
        <v>2027.24</v>
      </c>
      <c r="P231" s="14">
        <f>+P230*(1+'SImple Return'!B230)</f>
        <v>196.50821343883229</v>
      </c>
      <c r="Q231" s="14">
        <f>+Q230*(1+'SImple Return'!C230)</f>
        <v>121.44855890308736</v>
      </c>
      <c r="R231" s="14">
        <f>+R230*(1+'SImple Return'!D230)</f>
        <v>268.30872173511739</v>
      </c>
      <c r="S231" s="14">
        <f>+S230*(1+'SImple Return'!E230)</f>
        <v>282.2421793144735</v>
      </c>
      <c r="T231" s="14">
        <f>+T230*(1+'SImple Return'!F230)</f>
        <v>206.20459454152774</v>
      </c>
      <c r="U231" s="14">
        <f>+U230*(1+'SImple Return'!G230)</f>
        <v>277.78627001391419</v>
      </c>
      <c r="V231" s="14">
        <f>+V230*(1+'SImple Return'!H230)</f>
        <v>187.90988710979164</v>
      </c>
      <c r="W231" s="14">
        <f>+W230*(1+'SImple Return'!I230)</f>
        <v>317.63468307225969</v>
      </c>
      <c r="X231" s="14">
        <f>+X230*(1+'SImple Return'!J230)</f>
        <v>256.53211914859321</v>
      </c>
      <c r="Y231" s="14">
        <f>+Y230*(1+'SImple Return'!K230)</f>
        <v>341.27634774162209</v>
      </c>
      <c r="Z231" s="14">
        <f>+Z230*(1+'SImple Return'!L230)</f>
        <v>1054.8614560506448</v>
      </c>
      <c r="AA231" s="14">
        <f>+AA230*(1+'SImple Return'!M230)</f>
        <v>306.24356944994099</v>
      </c>
      <c r="AB231" s="14">
        <f>+AB230*(1+'SImple Return'!N230)</f>
        <v>198.21461745294556</v>
      </c>
    </row>
    <row r="232" spans="1:28">
      <c r="A232" s="8">
        <v>39234</v>
      </c>
      <c r="B232" s="10">
        <v>1625.22</v>
      </c>
      <c r="C232" s="10">
        <v>259.55</v>
      </c>
      <c r="D232" s="10">
        <v>242.13</v>
      </c>
      <c r="E232" s="35">
        <v>2846.15</v>
      </c>
      <c r="F232" s="35">
        <v>2136.9299999999998</v>
      </c>
      <c r="G232" s="35">
        <v>2889.69</v>
      </c>
      <c r="H232" s="14">
        <v>1907.77</v>
      </c>
      <c r="I232" s="14">
        <v>3252.9</v>
      </c>
      <c r="J232" s="14">
        <v>2537.92</v>
      </c>
      <c r="K232" s="14">
        <v>3506.28</v>
      </c>
      <c r="L232" s="14">
        <v>11212.79</v>
      </c>
      <c r="M232" s="14">
        <v>3105.33</v>
      </c>
      <c r="N232" s="14">
        <v>2057.2800000000002</v>
      </c>
      <c r="P232" s="14">
        <f>+P231*(1+'SImple Return'!B231)</f>
        <v>199.68055436104729</v>
      </c>
      <c r="Q232" s="14">
        <f>+Q231*(1+'SImple Return'!C231)</f>
        <v>121.04747691446688</v>
      </c>
      <c r="R232" s="14">
        <f>+R231*(1+'SImple Return'!D231)</f>
        <v>279.33779418550967</v>
      </c>
      <c r="S232" s="14">
        <f>+S231*(1+'SImple Return'!E231)</f>
        <v>284.00439056029506</v>
      </c>
      <c r="T232" s="14">
        <f>+T231*(1+'SImple Return'!F231)</f>
        <v>209.79088945611636</v>
      </c>
      <c r="U232" s="14">
        <f>+U231*(1+'SImple Return'!G231)</f>
        <v>283.15303662766769</v>
      </c>
      <c r="V232" s="14">
        <f>+V231*(1+'SImple Return'!H231)</f>
        <v>190.08698424718293</v>
      </c>
      <c r="W232" s="14">
        <f>+W231*(1+'SImple Return'!I231)</f>
        <v>324.34615269565563</v>
      </c>
      <c r="X232" s="14">
        <f>+X231*(1+'SImple Return'!J231)</f>
        <v>255.65573027369521</v>
      </c>
      <c r="Y232" s="14">
        <f>+Y231*(1+'SImple Return'!K231)</f>
        <v>340.58086449732872</v>
      </c>
      <c r="Z232" s="14">
        <f>+Z231*(1+'SImple Return'!L231)</f>
        <v>1092.0662283905524</v>
      </c>
      <c r="AA232" s="14">
        <f>+AA231*(1+'SImple Return'!M231)</f>
        <v>307.21507716660102</v>
      </c>
      <c r="AB232" s="14">
        <f>+AB231*(1+'SImple Return'!N231)</f>
        <v>201.15179662674171</v>
      </c>
    </row>
    <row r="233" spans="1:28">
      <c r="A233" s="8">
        <v>39241</v>
      </c>
      <c r="B233" s="10">
        <v>1585.93</v>
      </c>
      <c r="C233" s="10">
        <v>257.70999999999998</v>
      </c>
      <c r="D233" s="10">
        <v>232.23</v>
      </c>
      <c r="E233" s="35">
        <v>2685.91</v>
      </c>
      <c r="F233" s="35">
        <v>2041.45</v>
      </c>
      <c r="G233" s="35">
        <v>2856.77</v>
      </c>
      <c r="H233" s="14">
        <v>1778.96</v>
      </c>
      <c r="I233" s="14">
        <v>3193</v>
      </c>
      <c r="J233" s="14">
        <v>2411.0100000000002</v>
      </c>
      <c r="K233" s="14">
        <v>3328.9</v>
      </c>
      <c r="L233" s="14">
        <v>10810.24</v>
      </c>
      <c r="M233" s="14">
        <v>3020.56</v>
      </c>
      <c r="N233" s="14">
        <v>1960.04</v>
      </c>
      <c r="P233" s="14">
        <f>+P232*(1+'SImple Return'!B232)</f>
        <v>194.85323930164267</v>
      </c>
      <c r="Q233" s="14">
        <f>+Q232*(1+'SImple Return'!C232)</f>
        <v>120.18934800858122</v>
      </c>
      <c r="R233" s="14">
        <f>+R232*(1+'SImple Return'!D232)</f>
        <v>267.91647438855534</v>
      </c>
      <c r="S233" s="14">
        <f>+S232*(1+'SImple Return'!E232)</f>
        <v>268.01476824826591</v>
      </c>
      <c r="T233" s="14">
        <f>+T232*(1+'SImple Return'!F232)</f>
        <v>200.41723934812501</v>
      </c>
      <c r="U233" s="14">
        <f>+U232*(1+'SImple Return'!G232)</f>
        <v>279.9272933936935</v>
      </c>
      <c r="V233" s="14">
        <f>+V232*(1+'SImple Return'!H232)</f>
        <v>177.25257315943145</v>
      </c>
      <c r="W233" s="14">
        <f>+W232*(1+'SImple Return'!I232)</f>
        <v>318.37353301891494</v>
      </c>
      <c r="X233" s="14">
        <f>+X232*(1+'SImple Return'!J232)</f>
        <v>242.87153347906235</v>
      </c>
      <c r="Y233" s="14">
        <f>+Y232*(1+'SImple Return'!K232)</f>
        <v>323.35114133074302</v>
      </c>
      <c r="Z233" s="14">
        <f>+Z232*(1+'SImple Return'!L232)</f>
        <v>1052.8599951302651</v>
      </c>
      <c r="AA233" s="14">
        <f>+AA232*(1+'SImple Return'!M232)</f>
        <v>298.8286505738032</v>
      </c>
      <c r="AB233" s="14">
        <f>+AB232*(1+'SImple Return'!N232)</f>
        <v>191.64409679784902</v>
      </c>
    </row>
    <row r="234" spans="1:28">
      <c r="A234" s="8">
        <v>39248</v>
      </c>
      <c r="B234" s="10">
        <v>1619.22</v>
      </c>
      <c r="C234" s="10">
        <v>257.01</v>
      </c>
      <c r="D234" s="10">
        <v>230.96</v>
      </c>
      <c r="E234" s="35">
        <v>2760.4</v>
      </c>
      <c r="F234" s="35">
        <v>2082.81</v>
      </c>
      <c r="G234" s="35">
        <v>2856.87</v>
      </c>
      <c r="H234" s="14">
        <v>1816.92</v>
      </c>
      <c r="I234" s="14">
        <v>3283.48</v>
      </c>
      <c r="J234" s="14">
        <v>2498.75</v>
      </c>
      <c r="K234" s="14">
        <v>3361.37</v>
      </c>
      <c r="L234" s="14">
        <v>11029.21</v>
      </c>
      <c r="M234" s="14">
        <v>3040.42</v>
      </c>
      <c r="N234" s="14">
        <v>2006.58</v>
      </c>
      <c r="P234" s="14">
        <f>+P233*(1+'SImple Return'!B233)</f>
        <v>198.94337211731025</v>
      </c>
      <c r="Q234" s="14">
        <f>+Q233*(1+'SImple Return'!C233)</f>
        <v>119.86288592482038</v>
      </c>
      <c r="R234" s="14">
        <f>+R233*(1+'SImple Return'!D233)</f>
        <v>266.45131518227942</v>
      </c>
      <c r="S234" s="14">
        <f>+S233*(1+'SImple Return'!E233)</f>
        <v>275.44778725739627</v>
      </c>
      <c r="T234" s="14">
        <f>+T233*(1+'SImple Return'!F233)</f>
        <v>204.47771451011204</v>
      </c>
      <c r="U234" s="14">
        <f>+U233*(1+'SImple Return'!G233)</f>
        <v>279.93709212769704</v>
      </c>
      <c r="V234" s="14">
        <f>+V233*(1+'SImple Return'!H233)</f>
        <v>181.03484351802976</v>
      </c>
      <c r="W234" s="14">
        <f>+W233*(1+'SImple Return'!I233)</f>
        <v>327.3952797359683</v>
      </c>
      <c r="X234" s="14">
        <f>+X233*(1+'SImple Return'!J233)</f>
        <v>251.70996564958543</v>
      </c>
      <c r="Y234" s="14">
        <f>+Y233*(1+'SImple Return'!K233)</f>
        <v>326.50509956289449</v>
      </c>
      <c r="Z234" s="14">
        <f>+Z233*(1+'SImple Return'!L233)</f>
        <v>1074.1865108351592</v>
      </c>
      <c r="AA234" s="14">
        <f>+AA233*(1+'SImple Return'!M233)</f>
        <v>300.79343094578581</v>
      </c>
      <c r="AB234" s="14">
        <f>+AB233*(1+'SImple Return'!N233)</f>
        <v>196.19457345392331</v>
      </c>
    </row>
    <row r="235" spans="1:28">
      <c r="A235" s="8">
        <v>39255</v>
      </c>
      <c r="B235" s="10">
        <v>1598.1</v>
      </c>
      <c r="C235" s="10">
        <v>257.52</v>
      </c>
      <c r="D235" s="10">
        <v>226.69</v>
      </c>
      <c r="E235" s="35">
        <v>2705.35</v>
      </c>
      <c r="F235" s="35">
        <v>2018.55</v>
      </c>
      <c r="G235" s="35">
        <v>2959.56</v>
      </c>
      <c r="H235" s="14">
        <v>1763.26</v>
      </c>
      <c r="I235" s="14">
        <v>3376.42</v>
      </c>
      <c r="J235" s="14">
        <v>2449.25</v>
      </c>
      <c r="K235" s="14">
        <v>3478.59</v>
      </c>
      <c r="L235" s="14">
        <v>10805.88</v>
      </c>
      <c r="M235" s="14">
        <v>3017.16</v>
      </c>
      <c r="N235" s="14">
        <v>1959.38</v>
      </c>
      <c r="P235" s="14">
        <f>+P234*(1+'SImple Return'!B234)</f>
        <v>196.34849061935591</v>
      </c>
      <c r="Q235" s="14">
        <f>+Q234*(1+'SImple Return'!C234)</f>
        <v>120.10073687156041</v>
      </c>
      <c r="R235" s="14">
        <f>+R234*(1+'SImple Return'!D234)</f>
        <v>261.5251499769264</v>
      </c>
      <c r="S235" s="14">
        <f>+S234*(1+'SImple Return'!E234)</f>
        <v>269.95459761512711</v>
      </c>
      <c r="T235" s="14">
        <f>+T234*(1+'SImple Return'!F234)</f>
        <v>198.1690555664639</v>
      </c>
      <c r="U235" s="14">
        <f>+U234*(1+'SImple Return'!G234)</f>
        <v>289.99941207595975</v>
      </c>
      <c r="V235" s="14">
        <f>+V234*(1+'SImple Return'!H234)</f>
        <v>175.68825164652333</v>
      </c>
      <c r="W235" s="14">
        <f>+W234*(1+'SImple Return'!I234)</f>
        <v>336.66231267012989</v>
      </c>
      <c r="X235" s="14">
        <f>+X234*(1+'SImple Return'!J234)</f>
        <v>246.72361515447608</v>
      </c>
      <c r="Y235" s="14">
        <f>+Y234*(1+'SImple Return'!K234)</f>
        <v>337.89120932491488</v>
      </c>
      <c r="Z235" s="14">
        <f>+Z234*(1+'SImple Return'!L234)</f>
        <v>1052.4353542731917</v>
      </c>
      <c r="AA235" s="14">
        <f>+AA234*(1+'SImple Return'!M234)</f>
        <v>298.49228333992903</v>
      </c>
      <c r="AB235" s="14">
        <f>+AB234*(1+'SImple Return'!N234)</f>
        <v>191.57956489855789</v>
      </c>
    </row>
    <row r="236" spans="1:28">
      <c r="A236" s="8">
        <v>39262</v>
      </c>
      <c r="B236" s="10">
        <v>1602.36</v>
      </c>
      <c r="C236" s="10">
        <v>259.14</v>
      </c>
      <c r="D236" s="10">
        <v>223.62</v>
      </c>
      <c r="E236" s="35">
        <v>2723.85</v>
      </c>
      <c r="F236" s="35">
        <v>2036.22</v>
      </c>
      <c r="G236" s="35">
        <v>2930.22</v>
      </c>
      <c r="H236" s="14">
        <v>1799.04</v>
      </c>
      <c r="I236" s="14">
        <v>3359.35</v>
      </c>
      <c r="J236" s="14">
        <v>2382.21</v>
      </c>
      <c r="K236" s="14">
        <v>3521.26</v>
      </c>
      <c r="L236" s="14">
        <v>11001.43</v>
      </c>
      <c r="M236" s="14">
        <v>3028.77</v>
      </c>
      <c r="N236" s="14">
        <v>1968.97</v>
      </c>
      <c r="P236" s="14">
        <f>+P235*(1+'SImple Return'!B235)</f>
        <v>196.87189001240921</v>
      </c>
      <c r="Q236" s="14">
        <f>+Q235*(1+'SImple Return'!C235)</f>
        <v>120.85626340826408</v>
      </c>
      <c r="R236" s="14">
        <f>+R235*(1+'SImple Return'!D235)</f>
        <v>257.98338717120419</v>
      </c>
      <c r="S236" s="14">
        <f>+S235*(1+'SImple Return'!E235)</f>
        <v>271.80062864840556</v>
      </c>
      <c r="T236" s="14">
        <f>+T235*(1+'SImple Return'!F235)</f>
        <v>199.90378951502075</v>
      </c>
      <c r="U236" s="14">
        <f>+U235*(1+'SImple Return'!G235)</f>
        <v>287.12446351931328</v>
      </c>
      <c r="V236" s="14">
        <f>+V235*(1+'SImple Return'!H235)</f>
        <v>179.25331048294709</v>
      </c>
      <c r="W236" s="14">
        <f>+W235*(1+'SImple Return'!I235)</f>
        <v>334.96026562702531</v>
      </c>
      <c r="X236" s="14">
        <f>+X235*(1+'SImple Return'!J235)</f>
        <v>239.97038410008963</v>
      </c>
      <c r="Y236" s="14">
        <f>+Y235*(1+'SImple Return'!K235)</f>
        <v>342.03593977659045</v>
      </c>
      <c r="Z236" s="14">
        <f>+Z235*(1+'SImple Return'!L235)</f>
        <v>1071.4808862916968</v>
      </c>
      <c r="AA236" s="14">
        <f>+AA235*(1+'SImple Return'!M235)</f>
        <v>299.64087851206989</v>
      </c>
      <c r="AB236" s="14">
        <f>+AB235*(1+'SImple Return'!N235)</f>
        <v>192.51723295037894</v>
      </c>
    </row>
    <row r="237" spans="1:28">
      <c r="A237" s="8">
        <v>39269</v>
      </c>
      <c r="B237" s="10">
        <v>1631.37</v>
      </c>
      <c r="C237" s="10">
        <v>258</v>
      </c>
      <c r="D237" s="10">
        <v>228.85</v>
      </c>
      <c r="E237" s="35">
        <v>2748.66</v>
      </c>
      <c r="F237" s="35">
        <v>2072.16</v>
      </c>
      <c r="G237" s="35">
        <v>2950.39</v>
      </c>
      <c r="H237" s="14">
        <v>1791.36</v>
      </c>
      <c r="I237" s="14">
        <v>3491.38</v>
      </c>
      <c r="J237" s="14">
        <v>2417.61</v>
      </c>
      <c r="K237" s="14">
        <v>3706.13</v>
      </c>
      <c r="L237" s="14">
        <v>11304.23</v>
      </c>
      <c r="M237" s="14">
        <v>3062.02</v>
      </c>
      <c r="N237" s="14">
        <v>1997.12</v>
      </c>
      <c r="P237" s="14">
        <f>+P236*(1+'SImple Return'!B236)</f>
        <v>200.43616616087772</v>
      </c>
      <c r="Q237" s="14">
        <f>+Q236*(1+'SImple Return'!C236)</f>
        <v>120.32459658613929</v>
      </c>
      <c r="R237" s="14">
        <f>+R236*(1+'SImple Return'!D236)</f>
        <v>264.01707429626185</v>
      </c>
      <c r="S237" s="14">
        <f>+S236*(1+'SImple Return'!E236)</f>
        <v>274.27630594222381</v>
      </c>
      <c r="T237" s="14">
        <f>+T236*(1+'SImple Return'!F236)</f>
        <v>203.43216179069324</v>
      </c>
      <c r="U237" s="14">
        <f>+U236*(1+'SImple Return'!G236)</f>
        <v>289.10086816783269</v>
      </c>
      <c r="V237" s="14">
        <f>+V236*(1+'SImple Return'!H236)</f>
        <v>178.48808823969009</v>
      </c>
      <c r="W237" s="14">
        <f>+W236*(1+'SImple Return'!I236)</f>
        <v>348.12495637694303</v>
      </c>
      <c r="X237" s="14">
        <f>+X236*(1+'SImple Return'!J236)</f>
        <v>243.53638021174362</v>
      </c>
      <c r="Y237" s="14">
        <f>+Y236*(1+'SImple Return'!K236)</f>
        <v>359.99320058280699</v>
      </c>
      <c r="Z237" s="14">
        <f>+Z236*(1+'SImple Return'!L236)</f>
        <v>1100.9719990260528</v>
      </c>
      <c r="AA237" s="14">
        <f>+AA236*(1+'SImple Return'!M236)</f>
        <v>302.93035219628041</v>
      </c>
      <c r="AB237" s="14">
        <f>+AB236*(1+'SImple Return'!N236)</f>
        <v>195.26961623075044</v>
      </c>
    </row>
    <row r="238" spans="1:28">
      <c r="A238" s="8">
        <v>39276</v>
      </c>
      <c r="B238" s="10">
        <v>1654.8</v>
      </c>
      <c r="C238" s="10">
        <v>259.61</v>
      </c>
      <c r="D238" s="10">
        <v>228.65</v>
      </c>
      <c r="E238" s="35">
        <v>2748.73</v>
      </c>
      <c r="F238" s="35">
        <v>2109.7600000000002</v>
      </c>
      <c r="G238" s="35">
        <v>2985.25</v>
      </c>
      <c r="H238" s="14">
        <v>1796.73</v>
      </c>
      <c r="I238" s="14">
        <v>3519.71</v>
      </c>
      <c r="J238" s="14">
        <v>2436.06</v>
      </c>
      <c r="K238" s="14">
        <v>3792.02</v>
      </c>
      <c r="L238" s="14">
        <v>11540.54</v>
      </c>
      <c r="M238" s="14">
        <v>3090.71</v>
      </c>
      <c r="N238" s="14">
        <v>2024.11</v>
      </c>
      <c r="P238" s="14">
        <f>+P237*(1+'SImple Return'!B237)</f>
        <v>203.31486282267079</v>
      </c>
      <c r="Q238" s="14">
        <f>+Q237*(1+'SImple Return'!C237)</f>
        <v>121.07545937878925</v>
      </c>
      <c r="R238" s="14">
        <f>+R237*(1+'SImple Return'!D237)</f>
        <v>263.78634056299006</v>
      </c>
      <c r="S238" s="14">
        <f>+S237*(1+'SImple Return'!E237)</f>
        <v>274.28329092451196</v>
      </c>
      <c r="T238" s="14">
        <f>+T237*(1+'SImple Return'!F237)</f>
        <v>207.12350284704513</v>
      </c>
      <c r="U238" s="14">
        <f>+U237*(1+'SImple Return'!G237)</f>
        <v>292.51670684147609</v>
      </c>
      <c r="V238" s="14">
        <f>+V237*(1+'SImple Return'!H237)</f>
        <v>179.02314598009244</v>
      </c>
      <c r="W238" s="14">
        <f>+W237*(1+'SImple Return'!I237)</f>
        <v>350.94973626746162</v>
      </c>
      <c r="X238" s="14">
        <f>+X237*(1+'SImple Return'!J237)</f>
        <v>245.39492903264798</v>
      </c>
      <c r="Y238" s="14">
        <f>+Y237*(1+'SImple Return'!K237)</f>
        <v>368.33608547838736</v>
      </c>
      <c r="Z238" s="14">
        <f>+Z237*(1+'SImple Return'!L237)</f>
        <v>1123.9873386900413</v>
      </c>
      <c r="AA238" s="14">
        <f>+AA237*(1+'SImple Return'!M237)</f>
        <v>305.76869806094203</v>
      </c>
      <c r="AB238" s="14">
        <f>+AB237*(1+'SImple Return'!N237)</f>
        <v>197.9085798093376</v>
      </c>
    </row>
    <row r="239" spans="1:28">
      <c r="A239" s="8">
        <v>39283</v>
      </c>
      <c r="B239" s="10">
        <v>1642.2</v>
      </c>
      <c r="C239" s="10">
        <v>261.70999999999998</v>
      </c>
      <c r="D239" s="10">
        <v>225.1</v>
      </c>
      <c r="E239" s="35">
        <v>2782.97</v>
      </c>
      <c r="F239" s="35">
        <v>2110.0300000000002</v>
      </c>
      <c r="G239" s="35">
        <v>2999.43</v>
      </c>
      <c r="H239" s="14">
        <v>1808.39</v>
      </c>
      <c r="I239" s="14">
        <v>3537.65</v>
      </c>
      <c r="J239" s="14">
        <v>2461.33</v>
      </c>
      <c r="K239" s="14">
        <v>3691.46</v>
      </c>
      <c r="L239" s="14">
        <v>11644.41</v>
      </c>
      <c r="M239" s="14">
        <v>3118.37</v>
      </c>
      <c r="N239" s="14">
        <v>2028.75</v>
      </c>
      <c r="P239" s="14">
        <f>+P238*(1+'SImple Return'!B238)</f>
        <v>201.76678011082305</v>
      </c>
      <c r="Q239" s="14">
        <f>+Q238*(1+'SImple Return'!C238)</f>
        <v>122.05484563007177</v>
      </c>
      <c r="R239" s="14">
        <f>+R238*(1+'SImple Return'!D238)</f>
        <v>259.69081679741555</v>
      </c>
      <c r="S239" s="14">
        <f>+S238*(1+'SImple Return'!E238)</f>
        <v>277.69994511799592</v>
      </c>
      <c r="T239" s="14">
        <f>+T238*(1+'SImple Return'!F238)</f>
        <v>207.15000981739658</v>
      </c>
      <c r="U239" s="14">
        <f>+U238*(1+'SImple Return'!G238)</f>
        <v>293.90616732318182</v>
      </c>
      <c r="V239" s="14">
        <f>+V238*(1+'SImple Return'!H238)</f>
        <v>180.18492870878728</v>
      </c>
      <c r="W239" s="14">
        <f>+W238*(1+'SImple Return'!I238)</f>
        <v>352.73853087515323</v>
      </c>
      <c r="X239" s="14">
        <f>+X238*(1+'SImple Return'!J238)</f>
        <v>247.94048614398966</v>
      </c>
      <c r="Y239" s="14">
        <f>+Y238*(1+'SImple Return'!K238)</f>
        <v>358.56823700825623</v>
      </c>
      <c r="Z239" s="14">
        <f>+Z238*(1+'SImple Return'!L238)</f>
        <v>1134.1037253469683</v>
      </c>
      <c r="AA239" s="14">
        <f>+AA238*(1+'SImple Return'!M238)</f>
        <v>308.50514444004767</v>
      </c>
      <c r="AB239" s="14">
        <f>+AB238*(1+'SImple Return'!N238)</f>
        <v>198.36225861647523</v>
      </c>
    </row>
    <row r="240" spans="1:28">
      <c r="A240" s="8">
        <v>39290</v>
      </c>
      <c r="B240" s="10">
        <v>1555.57</v>
      </c>
      <c r="C240" s="10">
        <v>262.95</v>
      </c>
      <c r="D240" s="10">
        <v>208.98</v>
      </c>
      <c r="E240" s="35">
        <v>2642.28</v>
      </c>
      <c r="F240" s="35">
        <v>1976.56</v>
      </c>
      <c r="G240" s="35">
        <v>2846.54</v>
      </c>
      <c r="H240" s="14">
        <v>1736.16</v>
      </c>
      <c r="I240" s="14">
        <v>3399.96</v>
      </c>
      <c r="J240" s="14">
        <v>2307.8000000000002</v>
      </c>
      <c r="K240" s="14">
        <v>3478.3</v>
      </c>
      <c r="L240" s="14">
        <v>10688.67</v>
      </c>
      <c r="M240" s="14">
        <v>2931.57</v>
      </c>
      <c r="N240" s="14">
        <v>1900.91</v>
      </c>
      <c r="P240" s="14">
        <f>+P239*(1+'SImple Return'!B239)</f>
        <v>191.12309714833333</v>
      </c>
      <c r="Q240" s="14">
        <f>+Q239*(1+'SImple Return'!C239)</f>
        <v>122.63314989273383</v>
      </c>
      <c r="R240" s="14">
        <f>+R239*(1+'SImple Return'!D239)</f>
        <v>241.09367789570814</v>
      </c>
      <c r="S240" s="14">
        <f>+S239*(1+'SImple Return'!E239)</f>
        <v>263.66112857356649</v>
      </c>
      <c r="T240" s="14">
        <f>+T239*(1+'SImple Return'!F239)</f>
        <v>194.0467308069901</v>
      </c>
      <c r="U240" s="14">
        <f>+U239*(1+'SImple Return'!G239)</f>
        <v>278.92488290512864</v>
      </c>
      <c r="V240" s="14">
        <f>+V239*(1+'SImple Return'!H239)</f>
        <v>172.98805336628058</v>
      </c>
      <c r="W240" s="14">
        <f>+W239*(1+'SImple Return'!I239)</f>
        <v>339.00948240619789</v>
      </c>
      <c r="X240" s="14">
        <f>+X239*(1+'SImple Return'!J239)</f>
        <v>232.47474086087578</v>
      </c>
      <c r="Y240" s="14">
        <f>+Y239*(1+'SImple Return'!K239)</f>
        <v>337.86304031083029</v>
      </c>
      <c r="Z240" s="14">
        <f>+Z239*(1+'SImple Return'!L239)</f>
        <v>1041.0197224251276</v>
      </c>
      <c r="AA240" s="14">
        <f>+AA239*(1+'SImple Return'!M239)</f>
        <v>290.02473288484384</v>
      </c>
      <c r="AB240" s="14">
        <f>+AB239*(1+'SImple Return'!N239)</f>
        <v>185.86262527499395</v>
      </c>
    </row>
    <row r="241" spans="1:28">
      <c r="A241" s="8">
        <v>39297</v>
      </c>
      <c r="B241" s="10">
        <v>1542.18</v>
      </c>
      <c r="C241" s="10">
        <v>264.25</v>
      </c>
      <c r="D241" s="10">
        <v>209.45</v>
      </c>
      <c r="E241" s="35">
        <v>2667.86</v>
      </c>
      <c r="F241" s="35">
        <v>1963.13</v>
      </c>
      <c r="G241" s="35">
        <v>2858.16</v>
      </c>
      <c r="H241" s="14">
        <v>1753.9</v>
      </c>
      <c r="I241" s="14">
        <v>3429.24</v>
      </c>
      <c r="J241" s="14">
        <v>2367.0100000000002</v>
      </c>
      <c r="K241" s="14">
        <v>3494.51</v>
      </c>
      <c r="L241" s="14">
        <v>10638.15</v>
      </c>
      <c r="M241" s="14">
        <v>2939.4</v>
      </c>
      <c r="N241" s="14">
        <v>1882.51</v>
      </c>
      <c r="P241" s="14">
        <f>+P240*(1+'SImple Return'!B240)</f>
        <v>189.47795210772688</v>
      </c>
      <c r="Q241" s="14">
        <f>+Q240*(1+'SImple Return'!C240)</f>
        <v>123.23943661971826</v>
      </c>
      <c r="R241" s="14">
        <f>+R240*(1+'SImple Return'!D240)</f>
        <v>241.63590216889691</v>
      </c>
      <c r="S241" s="14">
        <f>+S240*(1+'SImple Return'!E240)</f>
        <v>266.21364067255365</v>
      </c>
      <c r="T241" s="14">
        <f>+T240*(1+'SImple Return'!F240)</f>
        <v>192.7282544669155</v>
      </c>
      <c r="U241" s="14">
        <f>+U240*(1+'SImple Return'!G240)</f>
        <v>280.06349579634309</v>
      </c>
      <c r="V241" s="14">
        <f>+V240*(1+'SImple Return'!H240)</f>
        <v>174.75563703755387</v>
      </c>
      <c r="W241" s="14">
        <f>+W240*(1+'SImple Return'!I240)</f>
        <v>341.92898664885178</v>
      </c>
      <c r="X241" s="14">
        <f>+X240*(1+'SImple Return'!J240)</f>
        <v>238.43922192785405</v>
      </c>
      <c r="Y241" s="14">
        <f>+Y240*(1+'SImple Return'!K240)</f>
        <v>339.4375910636229</v>
      </c>
      <c r="Z241" s="14">
        <f>+Z240*(1+'SImple Return'!L240)</f>
        <v>1036.0993425858287</v>
      </c>
      <c r="AA241" s="14">
        <f>+AA240*(1+'SImple Return'!M240)</f>
        <v>290.7993668381481</v>
      </c>
      <c r="AB241" s="14">
        <f>+AB240*(1+'SImple Return'!N240)</f>
        <v>184.0635541432413</v>
      </c>
    </row>
    <row r="242" spans="1:28">
      <c r="A242" s="8">
        <v>39304</v>
      </c>
      <c r="B242" s="10">
        <v>1531.42</v>
      </c>
      <c r="C242" s="10">
        <v>263.52999999999997</v>
      </c>
      <c r="D242" s="10">
        <v>211.59</v>
      </c>
      <c r="E242" s="35">
        <v>2623.65</v>
      </c>
      <c r="F242" s="35">
        <v>2009.46</v>
      </c>
      <c r="G242" s="35">
        <v>2800.35</v>
      </c>
      <c r="H242" s="14">
        <v>1778.92</v>
      </c>
      <c r="I242" s="14">
        <v>3386.3</v>
      </c>
      <c r="J242" s="14">
        <v>2285.21</v>
      </c>
      <c r="K242" s="14">
        <v>3580.93</v>
      </c>
      <c r="L242" s="14">
        <v>10801.2</v>
      </c>
      <c r="M242" s="14">
        <v>2898.19</v>
      </c>
      <c r="N242" s="14">
        <v>1889.44</v>
      </c>
      <c r="P242" s="14">
        <f>+P241*(1+'SImple Return'!B241)</f>
        <v>188.15593861729184</v>
      </c>
      <c r="Q242" s="14">
        <f>+Q241*(1+'SImple Return'!C241)</f>
        <v>122.90364704784996</v>
      </c>
      <c r="R242" s="14">
        <f>+R241*(1+'SImple Return'!D241)</f>
        <v>244.10475311490521</v>
      </c>
      <c r="S242" s="14">
        <f>+S241*(1+'SImple Return'!E241)</f>
        <v>261.80212543032445</v>
      </c>
      <c r="T242" s="14">
        <f>+T241*(1+'SImple Return'!F241)</f>
        <v>197.27665423129798</v>
      </c>
      <c r="U242" s="14">
        <f>+U241*(1+'SImple Return'!G241)</f>
        <v>274.39884766888116</v>
      </c>
      <c r="V242" s="14">
        <f>+V241*(1+'SImple Return'!H241)</f>
        <v>177.24858762691449</v>
      </c>
      <c r="W242" s="14">
        <f>+W241*(1+'SImple Return'!I241)</f>
        <v>337.64744593233689</v>
      </c>
      <c r="X242" s="14">
        <f>+X241*(1+'SImple Return'!J241)</f>
        <v>230.19915181674406</v>
      </c>
      <c r="Y242" s="14">
        <f>+Y241*(1+'SImple Return'!K241)</f>
        <v>347.83195726080601</v>
      </c>
      <c r="Z242" s="14">
        <f>+Z241*(1+'SImple Return'!L241)</f>
        <v>1051.979547114682</v>
      </c>
      <c r="AA242" s="14">
        <f>+AA241*(1+'SImple Return'!M241)</f>
        <v>286.72239810051451</v>
      </c>
      <c r="AB242" s="14">
        <f>+AB241*(1+'SImple Return'!N241)</f>
        <v>184.74113908579815</v>
      </c>
    </row>
    <row r="243" spans="1:28">
      <c r="A243" s="8">
        <v>39311</v>
      </c>
      <c r="B243" s="10">
        <v>1498.24</v>
      </c>
      <c r="C243" s="10">
        <v>265.14999999999998</v>
      </c>
      <c r="D243" s="10">
        <v>200.76</v>
      </c>
      <c r="E243" s="35">
        <v>2525.64</v>
      </c>
      <c r="F243" s="35">
        <v>1948.49</v>
      </c>
      <c r="G243" s="35">
        <v>2504.79</v>
      </c>
      <c r="H243" s="14">
        <v>1737.76</v>
      </c>
      <c r="I243" s="14">
        <v>3019.49</v>
      </c>
      <c r="J243" s="14">
        <v>2228.79</v>
      </c>
      <c r="K243" s="14">
        <v>3135.05</v>
      </c>
      <c r="L243" s="14">
        <v>10409</v>
      </c>
      <c r="M243" s="14">
        <v>2710.87</v>
      </c>
      <c r="N243" s="14">
        <v>1816.86</v>
      </c>
      <c r="P243" s="14">
        <f>+P242*(1+'SImple Return'!B242)</f>
        <v>184.07932080942609</v>
      </c>
      <c r="Q243" s="14">
        <f>+Q242*(1+'SImple Return'!C242)</f>
        <v>123.65917358455363</v>
      </c>
      <c r="R243" s="14">
        <f>+R242*(1+'SImple Return'!D242)</f>
        <v>231.610521458237</v>
      </c>
      <c r="S243" s="14">
        <f>+S242*(1+'SImple Return'!E242)</f>
        <v>252.02215237239898</v>
      </c>
      <c r="T243" s="14">
        <f>+T242*(1+'SImple Return'!F242)</f>
        <v>191.29098763008062</v>
      </c>
      <c r="U243" s="14">
        <f>+U242*(1+'SImple Return'!G242)</f>
        <v>245.43770944793931</v>
      </c>
      <c r="V243" s="14">
        <f>+V242*(1+'SImple Return'!H242)</f>
        <v>173.14747466695911</v>
      </c>
      <c r="W243" s="14">
        <f>+W242*(1+'SImple Return'!I242)</f>
        <v>301.07287792523755</v>
      </c>
      <c r="X243" s="14">
        <f>+X242*(1+'SImple Return'!J242)</f>
        <v>224.51571959585377</v>
      </c>
      <c r="Y243" s="14">
        <f>+Y242*(1+'SImple Return'!K242)</f>
        <v>304.52161243321984</v>
      </c>
      <c r="Z243" s="14">
        <f>+Z242*(1+'SImple Return'!L242)</f>
        <v>1013.7813489164837</v>
      </c>
      <c r="AA243" s="14">
        <f>+AA242*(1+'SImple Return'!M242)</f>
        <v>268.19054214483583</v>
      </c>
      <c r="AB243" s="14">
        <f>+AB242*(1+'SImple Return'!N242)</f>
        <v>177.64458567587391</v>
      </c>
    </row>
    <row r="244" spans="1:28">
      <c r="A244" s="8">
        <v>39318</v>
      </c>
      <c r="B244" s="10">
        <v>1552.63</v>
      </c>
      <c r="C244" s="10">
        <v>265.43</v>
      </c>
      <c r="D244" s="10">
        <v>213.95</v>
      </c>
      <c r="E244" s="35">
        <v>2624.68</v>
      </c>
      <c r="F244" s="35">
        <v>1990.62</v>
      </c>
      <c r="G244" s="35">
        <v>2758.02</v>
      </c>
      <c r="H244" s="14">
        <v>1794.05</v>
      </c>
      <c r="I244" s="14">
        <v>3302.51</v>
      </c>
      <c r="J244" s="14">
        <v>2328.21</v>
      </c>
      <c r="K244" s="14">
        <v>3540.55</v>
      </c>
      <c r="L244" s="14">
        <v>10586.62</v>
      </c>
      <c r="M244" s="14">
        <v>2870.38</v>
      </c>
      <c r="N244" s="14">
        <v>1866.86</v>
      </c>
      <c r="P244" s="14">
        <f>+P243*(1+'SImple Return'!B243)</f>
        <v>190.76187784890223</v>
      </c>
      <c r="Q244" s="14">
        <f>+Q243*(1+'SImple Return'!C243)</f>
        <v>123.78975841805799</v>
      </c>
      <c r="R244" s="14">
        <f>+R243*(1+'SImple Return'!D243)</f>
        <v>246.82741116751248</v>
      </c>
      <c r="S244" s="14">
        <f>+S243*(1+'SImple Return'!E243)</f>
        <v>261.90490445542048</v>
      </c>
      <c r="T244" s="14">
        <f>+T243*(1+'SImple Return'!F243)</f>
        <v>195.42705674455146</v>
      </c>
      <c r="U244" s="14">
        <f>+U243*(1+'SImple Return'!G243)</f>
        <v>270.25104356517136</v>
      </c>
      <c r="V244" s="14">
        <f>+V243*(1+'SImple Return'!H243)</f>
        <v>178.75611530145588</v>
      </c>
      <c r="W244" s="14">
        <f>+W243*(1+'SImple Return'!I243)</f>
        <v>329.29275807400472</v>
      </c>
      <c r="X244" s="14">
        <f>+X243*(1+'SImple Return'!J243)</f>
        <v>234.5307290145158</v>
      </c>
      <c r="Y244" s="14">
        <f>+Y243*(1+'SImple Return'!K243)</f>
        <v>343.90966488586673</v>
      </c>
      <c r="Z244" s="14">
        <f>+Z243*(1+'SImple Return'!L243)</f>
        <v>1031.080594107621</v>
      </c>
      <c r="AA244" s="14">
        <f>+AA243*(1+'SImple Return'!M243)</f>
        <v>283.97111199050266</v>
      </c>
      <c r="AB244" s="14">
        <f>+AB243*(1+'SImple Return'!N243)</f>
        <v>182.53336592520171</v>
      </c>
    </row>
    <row r="245" spans="1:28">
      <c r="A245" s="8">
        <v>39325</v>
      </c>
      <c r="B245" s="10">
        <v>1561.59</v>
      </c>
      <c r="C245" s="10">
        <v>266.43</v>
      </c>
      <c r="D245" s="10">
        <v>216.08</v>
      </c>
      <c r="E245" s="35">
        <v>2687.6</v>
      </c>
      <c r="F245" s="35">
        <v>1973.91</v>
      </c>
      <c r="G245" s="35">
        <v>2806.43</v>
      </c>
      <c r="H245" s="14">
        <v>1799.17</v>
      </c>
      <c r="I245" s="14">
        <v>3364.69</v>
      </c>
      <c r="J245" s="14">
        <v>2417.7600000000002</v>
      </c>
      <c r="K245" s="14">
        <v>3687.72</v>
      </c>
      <c r="L245" s="14">
        <v>10572.29</v>
      </c>
      <c r="M245" s="14">
        <v>2923.2</v>
      </c>
      <c r="N245" s="14">
        <v>1860.21</v>
      </c>
      <c r="P245" s="14">
        <f>+P244*(1+'SImple Return'!B244)</f>
        <v>191.86273666621616</v>
      </c>
      <c r="Q245" s="14">
        <f>+Q244*(1+'SImple Return'!C244)</f>
        <v>124.2561328234306</v>
      </c>
      <c r="R245" s="14">
        <f>+R244*(1+'SImple Return'!D244)</f>
        <v>249.28472542685722</v>
      </c>
      <c r="S245" s="14">
        <f>+S244*(1+'SImple Return'!E244)</f>
        <v>268.18340567779239</v>
      </c>
      <c r="T245" s="14">
        <f>+T244*(1+'SImple Return'!F244)</f>
        <v>193.78656980168873</v>
      </c>
      <c r="U245" s="14">
        <f>+U244*(1+'SImple Return'!G244)</f>
        <v>274.99461069629803</v>
      </c>
      <c r="V245" s="14">
        <f>+V244*(1+'SImple Return'!H244)</f>
        <v>179.26626346362721</v>
      </c>
      <c r="W245" s="14">
        <f>+W244*(1+'SImple Return'!I244)</f>
        <v>335.49271619587006</v>
      </c>
      <c r="X245" s="14">
        <f>+X244*(1+'SImple Return'!J244)</f>
        <v>243.55149036475908</v>
      </c>
      <c r="Y245" s="14">
        <f>+Y244*(1+'SImple Return'!K244)</f>
        <v>358.20495386109735</v>
      </c>
      <c r="Z245" s="14">
        <f>+Z244*(1+'SImple Return'!L244)</f>
        <v>1029.6849281714144</v>
      </c>
      <c r="AA245" s="14">
        <f>+AA244*(1+'SImple Return'!M244)</f>
        <v>289.19667590027706</v>
      </c>
      <c r="AB245" s="14">
        <f>+AB244*(1+'SImple Return'!N244)</f>
        <v>181.88315815204112</v>
      </c>
    </row>
    <row r="246" spans="1:28">
      <c r="A246" s="8">
        <v>39332</v>
      </c>
      <c r="B246" s="10">
        <v>1542.64</v>
      </c>
      <c r="C246" s="10">
        <v>269.69</v>
      </c>
      <c r="D246" s="10">
        <v>211.29</v>
      </c>
      <c r="E246" s="35">
        <v>2626.24</v>
      </c>
      <c r="F246" s="35">
        <v>1951.39</v>
      </c>
      <c r="G246" s="35">
        <v>2836.76</v>
      </c>
      <c r="H246" s="14">
        <v>1775.21</v>
      </c>
      <c r="I246" s="14">
        <v>3428.41</v>
      </c>
      <c r="J246" s="14">
        <v>2343.0500000000002</v>
      </c>
      <c r="K246" s="14">
        <v>3585.07</v>
      </c>
      <c r="L246" s="14">
        <v>10317.07</v>
      </c>
      <c r="M246" s="14">
        <v>2878.86</v>
      </c>
      <c r="N246" s="14">
        <v>1848.48</v>
      </c>
      <c r="P246" s="14">
        <f>+P245*(1+'SImple Return'!B245)</f>
        <v>189.53446941308007</v>
      </c>
      <c r="Q246" s="14">
        <f>+Q245*(1+'SImple Return'!C245)</f>
        <v>125.77651338494539</v>
      </c>
      <c r="R246" s="14">
        <f>+R245*(1+'SImple Return'!D245)</f>
        <v>243.75865251499749</v>
      </c>
      <c r="S246" s="14">
        <f>+S245*(1+'SImple Return'!E245)</f>
        <v>262.06056977498343</v>
      </c>
      <c r="T246" s="14">
        <f>+T245*(1+'SImple Return'!F245)</f>
        <v>191.57569212644822</v>
      </c>
      <c r="U246" s="14">
        <f>+U245*(1+'SImple Return'!G245)</f>
        <v>277.96656671957987</v>
      </c>
      <c r="V246" s="14">
        <f>+V245*(1+'SImple Return'!H245)</f>
        <v>176.8789294859661</v>
      </c>
      <c r="W246" s="14">
        <f>+W245*(1+'SImple Return'!I245)</f>
        <v>341.84622747803894</v>
      </c>
      <c r="X246" s="14">
        <f>+X245*(1+'SImple Return'!J245)</f>
        <v>236.02562681951426</v>
      </c>
      <c r="Y246" s="14">
        <f>+Y245*(1+'SImple Return'!K245)</f>
        <v>348.23409422049514</v>
      </c>
      <c r="Z246" s="14">
        <f>+Z245*(1+'SImple Return'!L245)</f>
        <v>1004.8278548819086</v>
      </c>
      <c r="AA246" s="14">
        <f>+AA245*(1+'SImple Return'!M245)</f>
        <v>284.81005144440053</v>
      </c>
      <c r="AB246" s="14">
        <f>+AB245*(1+'SImple Return'!N245)</f>
        <v>180.73625030554882</v>
      </c>
    </row>
    <row r="247" spans="1:28">
      <c r="A247" s="8">
        <v>39339</v>
      </c>
      <c r="B247" s="10">
        <v>1566.52</v>
      </c>
      <c r="C247" s="10">
        <v>268.43</v>
      </c>
      <c r="D247" s="10">
        <v>217.51</v>
      </c>
      <c r="E247" s="35">
        <v>2661.64</v>
      </c>
      <c r="F247" s="35">
        <v>1998.39</v>
      </c>
      <c r="G247" s="35">
        <v>2905.23</v>
      </c>
      <c r="H247" s="14">
        <v>1817.71</v>
      </c>
      <c r="I247" s="14">
        <v>3412.38</v>
      </c>
      <c r="J247" s="14">
        <v>2391.4899999999998</v>
      </c>
      <c r="K247" s="14">
        <v>3784.23</v>
      </c>
      <c r="L247" s="14">
        <v>10692.89</v>
      </c>
      <c r="M247" s="14">
        <v>2905.34</v>
      </c>
      <c r="N247" s="14">
        <v>1884</v>
      </c>
      <c r="P247" s="14">
        <f>+P246*(1+'SImple Return'!B246)</f>
        <v>192.46845474315342</v>
      </c>
      <c r="Q247" s="14">
        <f>+Q246*(1+'SImple Return'!C246)</f>
        <v>125.18888163417589</v>
      </c>
      <c r="R247" s="14">
        <f>+R246*(1+'SImple Return'!D246)</f>
        <v>250.93447161975058</v>
      </c>
      <c r="S247" s="14">
        <f>+S246*(1+'SImple Return'!E246)</f>
        <v>265.59297510352707</v>
      </c>
      <c r="T247" s="14">
        <f>+T246*(1+'SImple Return'!F246)</f>
        <v>196.18986844688806</v>
      </c>
      <c r="U247" s="14">
        <f>+U246*(1+'SImple Return'!G246)</f>
        <v>284.67575989182205</v>
      </c>
      <c r="V247" s="14">
        <f>+V246*(1+'SImple Return'!H246)</f>
        <v>181.11355778523975</v>
      </c>
      <c r="W247" s="14">
        <f>+W246*(1+'SImple Return'!I246)</f>
        <v>340.24787867306145</v>
      </c>
      <c r="X247" s="14">
        <f>+X246*(1+'SImple Return'!J246)</f>
        <v>240.90519889998083</v>
      </c>
      <c r="Y247" s="14">
        <f>+Y246*(1+'SImple Return'!K246)</f>
        <v>367.57940747935868</v>
      </c>
      <c r="Z247" s="14">
        <f>+Z246*(1+'SImple Return'!L246)</f>
        <v>1041.4307280253224</v>
      </c>
      <c r="AA247" s="14">
        <f>+AA246*(1+'SImple Return'!M246)</f>
        <v>287.42975860704399</v>
      </c>
      <c r="AB247" s="14">
        <f>+AB246*(1+'SImple Return'!N246)</f>
        <v>184.20923979467128</v>
      </c>
    </row>
    <row r="248" spans="1:28">
      <c r="A248" s="8">
        <v>39346</v>
      </c>
      <c r="B248" s="10">
        <v>1614.11</v>
      </c>
      <c r="C248" s="10">
        <v>268.26</v>
      </c>
      <c r="D248" s="10">
        <v>222.53</v>
      </c>
      <c r="E248" s="35">
        <v>2746.68</v>
      </c>
      <c r="F248" s="35">
        <v>2067.46</v>
      </c>
      <c r="G248" s="35">
        <v>2984.77</v>
      </c>
      <c r="H248" s="14">
        <v>1860.29</v>
      </c>
      <c r="I248" s="14">
        <v>3540.03</v>
      </c>
      <c r="J248" s="14">
        <v>2441.25</v>
      </c>
      <c r="K248" s="14">
        <v>4156.51</v>
      </c>
      <c r="L248" s="14">
        <v>11235.48</v>
      </c>
      <c r="M248" s="14">
        <v>2963.14</v>
      </c>
      <c r="N248" s="14">
        <v>1956.37</v>
      </c>
      <c r="P248" s="14">
        <f>+P247*(1+'SImple Return'!B247)</f>
        <v>198.31553857306088</v>
      </c>
      <c r="Q248" s="14">
        <f>+Q247*(1+'SImple Return'!C247)</f>
        <v>125.10959798526252</v>
      </c>
      <c r="R248" s="14">
        <f>+R247*(1+'SImple Return'!D247)</f>
        <v>256.72588832487287</v>
      </c>
      <c r="S248" s="14">
        <f>+S247*(1+'SImple Return'!E247)</f>
        <v>274.07873072893244</v>
      </c>
      <c r="T248" s="14">
        <f>+T247*(1+'SImple Return'!F247)</f>
        <v>202.9707441586493</v>
      </c>
      <c r="U248" s="14">
        <f>+U247*(1+'SImple Return'!G247)</f>
        <v>292.46967291825905</v>
      </c>
      <c r="V248" s="14">
        <f>+V247*(1+'SImple Return'!H247)</f>
        <v>185.3561571495473</v>
      </c>
      <c r="W248" s="14">
        <f>+W247*(1+'SImple Return'!I247)</f>
        <v>352.97584030471336</v>
      </c>
      <c r="X248" s="14">
        <f>+X247*(1+'SImple Return'!J247)</f>
        <v>245.91774032698368</v>
      </c>
      <c r="Y248" s="14">
        <f>+Y247*(1+'SImple Return'!K247)</f>
        <v>403.74065080135966</v>
      </c>
      <c r="Z248" s="14">
        <f>+Z247*(1+'SImple Return'!L247)</f>
        <v>1094.2761139517893</v>
      </c>
      <c r="AA248" s="14">
        <f>+AA247*(1+'SImple Return'!M247)</f>
        <v>293.14800158290467</v>
      </c>
      <c r="AB248" s="14">
        <f>+AB247*(1+'SImple Return'!N247)</f>
        <v>191.28526032754831</v>
      </c>
    </row>
    <row r="249" spans="1:28">
      <c r="A249" s="8">
        <v>39353</v>
      </c>
      <c r="B249" s="10">
        <v>1633.58</v>
      </c>
      <c r="C249" s="10">
        <v>269.76</v>
      </c>
      <c r="D249" s="10">
        <v>230.17</v>
      </c>
      <c r="E249" s="35">
        <v>2802.84</v>
      </c>
      <c r="F249" s="35">
        <v>2066.14</v>
      </c>
      <c r="G249" s="35">
        <v>3102.35</v>
      </c>
      <c r="H249" s="14">
        <v>1898.43</v>
      </c>
      <c r="I249" s="14">
        <v>3643.41</v>
      </c>
      <c r="J249" s="14">
        <v>2455.58</v>
      </c>
      <c r="K249" s="14">
        <v>4215.51</v>
      </c>
      <c r="L249" s="14">
        <v>11636.28</v>
      </c>
      <c r="M249" s="14">
        <v>3027.9</v>
      </c>
      <c r="N249" s="14">
        <v>1943.14</v>
      </c>
      <c r="P249" s="14">
        <f>+P248*(1+'SImple Return'!B248)</f>
        <v>200.70769495398753</v>
      </c>
      <c r="Q249" s="14">
        <f>+Q248*(1+'SImple Return'!C248)</f>
        <v>125.80915959332147</v>
      </c>
      <c r="R249" s="14">
        <f>+R248*(1+'SImple Return'!D248)</f>
        <v>265.53991693585573</v>
      </c>
      <c r="S249" s="14">
        <f>+S248*(1+'SImple Return'!E248)</f>
        <v>279.68268223319831</v>
      </c>
      <c r="T249" s="14">
        <f>+T248*(1+'SImple Return'!F248)</f>
        <v>202.84115452581992</v>
      </c>
      <c r="U249" s="14">
        <f>+U248*(1+'SImple Return'!G248)</f>
        <v>303.99102435965284</v>
      </c>
      <c r="V249" s="14">
        <f>+V248*(1+'SImple Return'!H248)</f>
        <v>189.15636240447196</v>
      </c>
      <c r="W249" s="14">
        <f>+W248*(1+'SImple Return'!I248)</f>
        <v>363.28384401391952</v>
      </c>
      <c r="X249" s="14">
        <f>+X248*(1+'SImple Return'!J248)</f>
        <v>247.36126361172944</v>
      </c>
      <c r="Y249" s="14">
        <f>+Y248*(1+'SImple Return'!K248)</f>
        <v>409.47158814958692</v>
      </c>
      <c r="Z249" s="14">
        <f>+Z248*(1+'SImple Return'!L248)</f>
        <v>1133.3119065010956</v>
      </c>
      <c r="AA249" s="14">
        <f>+AA248*(1+'SImple Return'!M248)</f>
        <v>299.55480807281367</v>
      </c>
      <c r="AB249" s="14">
        <f>+AB248*(1+'SImple Return'!N248)</f>
        <v>189.9916890735762</v>
      </c>
    </row>
    <row r="250" spans="1:28">
      <c r="A250" s="8">
        <v>39360</v>
      </c>
      <c r="B250" s="10">
        <v>1663.74</v>
      </c>
      <c r="C250" s="10">
        <v>269</v>
      </c>
      <c r="D250" s="10">
        <v>236.08</v>
      </c>
      <c r="E250" s="35">
        <v>2833.76</v>
      </c>
      <c r="F250" s="35">
        <v>2101.44</v>
      </c>
      <c r="G250" s="35">
        <v>3091.68</v>
      </c>
      <c r="H250" s="14">
        <v>1908.21</v>
      </c>
      <c r="I250" s="14">
        <v>3636.97</v>
      </c>
      <c r="J250" s="14">
        <v>2541.35</v>
      </c>
      <c r="K250" s="14">
        <v>4126.76</v>
      </c>
      <c r="L250" s="14">
        <v>11398.34</v>
      </c>
      <c r="M250" s="14">
        <v>3114.06</v>
      </c>
      <c r="N250" s="14">
        <v>1982.37</v>
      </c>
      <c r="P250" s="14">
        <f>+P249*(1+'SImple Return'!B249)</f>
        <v>204.41326436583896</v>
      </c>
      <c r="Q250" s="14">
        <f>+Q249*(1+'SImple Return'!C249)</f>
        <v>125.45471504523827</v>
      </c>
      <c r="R250" s="14">
        <f>+R249*(1+'SImple Return'!D249)</f>
        <v>272.3580987540376</v>
      </c>
      <c r="S250" s="14">
        <f>+S249*(1+'SImple Return'!E249)</f>
        <v>282.7680486953048</v>
      </c>
      <c r="T250" s="14">
        <f>+T249*(1+'SImple Return'!F249)</f>
        <v>206.30669546436303</v>
      </c>
      <c r="U250" s="14">
        <f>+U249*(1+'SImple Return'!G249)</f>
        <v>302.94549944147229</v>
      </c>
      <c r="V250" s="14">
        <f>+V249*(1+'SImple Return'!H249)</f>
        <v>190.13082510486953</v>
      </c>
      <c r="W250" s="14">
        <f>+W249*(1+'SImple Return'!I249)</f>
        <v>362.64171261628667</v>
      </c>
      <c r="X250" s="14">
        <f>+X249*(1+'SImple Return'!J249)</f>
        <v>256.00124910598254</v>
      </c>
      <c r="Y250" s="14">
        <f>+Y249*(1+'SImple Return'!K249)</f>
        <v>400.85089849441454</v>
      </c>
      <c r="Z250" s="14">
        <f>+Z249*(1+'SImple Return'!L249)</f>
        <v>1110.1378134891647</v>
      </c>
      <c r="AA250" s="14">
        <f>+AA249*(1+'SImple Return'!M249)</f>
        <v>308.07874950534233</v>
      </c>
      <c r="AB250" s="14">
        <f>+AB249*(1+'SImple Return'!N249)</f>
        <v>193.82742605719875</v>
      </c>
    </row>
    <row r="251" spans="1:28">
      <c r="A251" s="8">
        <v>39367</v>
      </c>
      <c r="B251" s="10">
        <v>1675.29</v>
      </c>
      <c r="C251" s="10">
        <v>268.7</v>
      </c>
      <c r="D251" s="10">
        <v>235.45</v>
      </c>
      <c r="E251" s="35">
        <v>2887.08</v>
      </c>
      <c r="F251" s="35">
        <v>2121.81</v>
      </c>
      <c r="G251" s="35">
        <v>3094.95</v>
      </c>
      <c r="H251" s="14">
        <v>1927.87</v>
      </c>
      <c r="I251" s="14">
        <v>3715.99</v>
      </c>
      <c r="J251" s="14">
        <v>2566.08</v>
      </c>
      <c r="K251" s="14">
        <v>4139.8100000000004</v>
      </c>
      <c r="L251" s="14">
        <v>11490.32</v>
      </c>
      <c r="M251" s="14">
        <v>3121.44</v>
      </c>
      <c r="N251" s="14">
        <v>2020.73</v>
      </c>
      <c r="P251" s="14">
        <f>+P250*(1+'SImple Return'!B250)</f>
        <v>205.83234018503273</v>
      </c>
      <c r="Q251" s="14">
        <f>+Q250*(1+'SImple Return'!C250)</f>
        <v>125.31480272362649</v>
      </c>
      <c r="R251" s="14">
        <f>+R250*(1+'SImple Return'!D250)</f>
        <v>271.6312874942314</v>
      </c>
      <c r="S251" s="14">
        <f>+S250*(1+'SImple Return'!E250)</f>
        <v>288.08860948959705</v>
      </c>
      <c r="T251" s="14">
        <f>+T250*(1+'SImple Return'!F250)</f>
        <v>208.30649911643448</v>
      </c>
      <c r="U251" s="14">
        <f>+U250*(1+'SImple Return'!G250)</f>
        <v>303.26591804338892</v>
      </c>
      <c r="V251" s="14">
        <f>+V250*(1+'SImple Return'!H250)</f>
        <v>192.08971433695706</v>
      </c>
      <c r="W251" s="14">
        <f>+W250*(1+'SImple Return'!I250)</f>
        <v>370.52078451705546</v>
      </c>
      <c r="X251" s="14">
        <f>+X250*(1+'SImple Return'!J250)</f>
        <v>258.49240966646846</v>
      </c>
      <c r="Y251" s="14">
        <f>+Y250*(1+'SImple Return'!K250)</f>
        <v>402.11850412821741</v>
      </c>
      <c r="Z251" s="14">
        <f>+Z250*(1+'SImple Return'!L250)</f>
        <v>1119.0961772583394</v>
      </c>
      <c r="AA251" s="14">
        <f>+AA250*(1+'SImple Return'!M250)</f>
        <v>308.80886426592804</v>
      </c>
      <c r="AB251" s="14">
        <f>+AB250*(1+'SImple Return'!N250)</f>
        <v>197.57809826448303</v>
      </c>
    </row>
    <row r="252" spans="1:28">
      <c r="A252" s="8">
        <v>39374</v>
      </c>
      <c r="B252" s="10">
        <v>1627.42</v>
      </c>
      <c r="C252" s="10">
        <v>272.7</v>
      </c>
      <c r="D252" s="10">
        <v>224.29</v>
      </c>
      <c r="E252" s="35">
        <v>2878.79</v>
      </c>
      <c r="F252" s="35">
        <v>2053.77</v>
      </c>
      <c r="G252" s="35">
        <v>3055.9</v>
      </c>
      <c r="H252" s="14">
        <v>1909.52</v>
      </c>
      <c r="I252" s="14">
        <v>3709.51</v>
      </c>
      <c r="J252" s="14">
        <v>2458.39</v>
      </c>
      <c r="K252" s="14">
        <v>4043.62</v>
      </c>
      <c r="L252" s="14">
        <v>11172.23</v>
      </c>
      <c r="M252" s="14">
        <v>3112.79</v>
      </c>
      <c r="N252" s="14">
        <v>1979.3</v>
      </c>
      <c r="P252" s="14">
        <f>+P251*(1+'SImple Return'!B251)</f>
        <v>199.9508545170842</v>
      </c>
      <c r="Q252" s="14">
        <f>+Q251*(1+'SImple Return'!C251)</f>
        <v>127.180300345117</v>
      </c>
      <c r="R252" s="14">
        <f>+R251*(1+'SImple Return'!D251)</f>
        <v>258.75634517766474</v>
      </c>
      <c r="S252" s="14">
        <f>+S251*(1+'SImple Return'!E251)</f>
        <v>287.26138801576582</v>
      </c>
      <c r="T252" s="14">
        <f>+T251*(1+'SImple Return'!F251)</f>
        <v>201.62674258786583</v>
      </c>
      <c r="U252" s="14">
        <f>+U251*(1+'SImple Return'!G251)</f>
        <v>299.43951241499616</v>
      </c>
      <c r="V252" s="14">
        <f>+V251*(1+'SImple Return'!H251)</f>
        <v>190.26135129480011</v>
      </c>
      <c r="W252" s="14">
        <f>+W251*(1+'SImple Return'!I251)</f>
        <v>369.87466472564847</v>
      </c>
      <c r="X252" s="14">
        <f>+X251*(1+'SImple Return'!J251)</f>
        <v>247.64432714488615</v>
      </c>
      <c r="Y252" s="14">
        <f>+Y251*(1+'SImple Return'!K251)</f>
        <v>392.77513355998036</v>
      </c>
      <c r="Z252" s="14">
        <f>+Z251*(1+'SImple Return'!L251)</f>
        <v>1088.1158996834672</v>
      </c>
      <c r="AA252" s="14">
        <f>+AA251*(1+'SImple Return'!M251)</f>
        <v>307.95310645033641</v>
      </c>
      <c r="AB252" s="14">
        <f>+AB251*(1+'SImple Return'!N251)</f>
        <v>193.52725494989002</v>
      </c>
    </row>
    <row r="253" spans="1:28">
      <c r="A253" s="8">
        <v>39381</v>
      </c>
      <c r="B253" s="10">
        <v>1658.95</v>
      </c>
      <c r="C253" s="10">
        <v>273.54000000000002</v>
      </c>
      <c r="D253" s="10">
        <v>232.35</v>
      </c>
      <c r="E253" s="35">
        <v>2944.9</v>
      </c>
      <c r="F253" s="35">
        <v>2144.8000000000002</v>
      </c>
      <c r="G253" s="35">
        <v>3136.36</v>
      </c>
      <c r="H253" s="14">
        <v>1961.26</v>
      </c>
      <c r="I253" s="14">
        <v>3711.4</v>
      </c>
      <c r="J253" s="14">
        <v>2530.29</v>
      </c>
      <c r="K253" s="14">
        <v>4455.0600000000004</v>
      </c>
      <c r="L253" s="14">
        <v>11971.83</v>
      </c>
      <c r="M253" s="14">
        <v>3184.95</v>
      </c>
      <c r="N253" s="14">
        <v>2043.21</v>
      </c>
      <c r="P253" s="14">
        <f>+P252*(1+'SImple Return'!B252)</f>
        <v>203.82474720792226</v>
      </c>
      <c r="Q253" s="14">
        <f>+Q252*(1+'SImple Return'!C252)</f>
        <v>127.57205484563003</v>
      </c>
      <c r="R253" s="14">
        <f>+R252*(1+'SImple Return'!D252)</f>
        <v>268.05491462851842</v>
      </c>
      <c r="S253" s="14">
        <f>+S252*(1+'SImple Return'!E252)</f>
        <v>293.85820485955168</v>
      </c>
      <c r="T253" s="14">
        <f>+T252*(1+'SImple Return'!F252)</f>
        <v>210.56351855487941</v>
      </c>
      <c r="U253" s="14">
        <f>+U252*(1+'SImple Return'!G252)</f>
        <v>307.32357379426594</v>
      </c>
      <c r="V253" s="14">
        <f>+V252*(1+'SImple Return'!H252)</f>
        <v>195.4166376054923</v>
      </c>
      <c r="W253" s="14">
        <f>+W252*(1+'SImple Return'!I252)</f>
        <v>370.06311633147544</v>
      </c>
      <c r="X253" s="14">
        <f>+X252*(1+'SImple Return'!J252)</f>
        <v>254.88712715697429</v>
      </c>
      <c r="Y253" s="14">
        <f>+Y252*(1+'SImple Return'!K252)</f>
        <v>432.74016512870304</v>
      </c>
      <c r="Z253" s="14">
        <f>+Z252*(1+'SImple Return'!L252)</f>
        <v>1165.9926953981008</v>
      </c>
      <c r="AA253" s="14">
        <f>+AA252*(1+'SImple Return'!M252)</f>
        <v>315.09200633161856</v>
      </c>
      <c r="AB253" s="14">
        <f>+AB252*(1+'SImple Return'!N252)</f>
        <v>199.77609386458082</v>
      </c>
    </row>
    <row r="254" spans="1:28">
      <c r="A254" s="8">
        <v>39388</v>
      </c>
      <c r="B254" s="10">
        <v>1647.07</v>
      </c>
      <c r="C254" s="10">
        <v>274.63</v>
      </c>
      <c r="D254" s="10">
        <v>227.12</v>
      </c>
      <c r="E254" s="35">
        <v>2970.31</v>
      </c>
      <c r="F254" s="35">
        <v>2154.9</v>
      </c>
      <c r="G254" s="35">
        <v>3125.27</v>
      </c>
      <c r="H254" s="14">
        <v>1983.29</v>
      </c>
      <c r="I254" s="14">
        <v>3631.01</v>
      </c>
      <c r="J254" s="14">
        <v>2537.91</v>
      </c>
      <c r="K254" s="14">
        <v>4687.29</v>
      </c>
      <c r="L254" s="14">
        <v>11941.98</v>
      </c>
      <c r="M254" s="14">
        <v>3205.01</v>
      </c>
      <c r="N254" s="14">
        <v>2051.4299999999998</v>
      </c>
      <c r="P254" s="14">
        <f>+P253*(1+'SImple Return'!B253)</f>
        <v>202.36512636532294</v>
      </c>
      <c r="Q254" s="14">
        <f>+Q253*(1+'SImple Return'!C253)</f>
        <v>128.08040294748619</v>
      </c>
      <c r="R254" s="14">
        <f>+R253*(1+'SImple Return'!D253)</f>
        <v>262.02122750346075</v>
      </c>
      <c r="S254" s="14">
        <f>+S253*(1+'SImple Return'!E253)</f>
        <v>296.39375343012489</v>
      </c>
      <c r="T254" s="14">
        <f>+T253*(1+'SImple Return'!F253)</f>
        <v>211.55507559395264</v>
      </c>
      <c r="U254" s="14">
        <f>+U253*(1+'SImple Return'!G253)</f>
        <v>306.23689419327036</v>
      </c>
      <c r="V254" s="14">
        <f>+V253*(1+'SImple Return'!H253)</f>
        <v>197.61166963920991</v>
      </c>
      <c r="W254" s="14">
        <f>+W253*(1+'SImple Return'!I253)</f>
        <v>362.04744194394317</v>
      </c>
      <c r="X254" s="14">
        <f>+X253*(1+'SImple Return'!J253)</f>
        <v>255.65472293016077</v>
      </c>
      <c r="Y254" s="14">
        <f>+Y253*(1+'SImple Return'!K253)</f>
        <v>455.29771733851356</v>
      </c>
      <c r="Z254" s="14">
        <f>+Z253*(1+'SImple Return'!L253)</f>
        <v>1163.0854638422206</v>
      </c>
      <c r="AA254" s="14">
        <f>+AA253*(1+'SImple Return'!M253)</f>
        <v>317.07657301147611</v>
      </c>
      <c r="AB254" s="14">
        <f>+AB253*(1+'SImple Return'!N253)</f>
        <v>200.57980933757025</v>
      </c>
    </row>
    <row r="255" spans="1:28">
      <c r="A255" s="8">
        <v>39395</v>
      </c>
      <c r="B255" s="10">
        <v>1598.08</v>
      </c>
      <c r="C255" s="10">
        <v>276.33</v>
      </c>
      <c r="D255" s="10">
        <v>218.79</v>
      </c>
      <c r="E255" s="35">
        <v>2952.85</v>
      </c>
      <c r="F255" s="35">
        <v>2092.67</v>
      </c>
      <c r="G255" s="35">
        <v>3036.2</v>
      </c>
      <c r="H255" s="14">
        <v>1993.22</v>
      </c>
      <c r="I255" s="14">
        <v>3552.73</v>
      </c>
      <c r="J255" s="14">
        <v>2431.6</v>
      </c>
      <c r="K255" s="14">
        <v>4427.45</v>
      </c>
      <c r="L255" s="14">
        <v>11064.85</v>
      </c>
      <c r="M255" s="14">
        <v>3179.7</v>
      </c>
      <c r="N255" s="14">
        <v>2017.22</v>
      </c>
      <c r="P255" s="14">
        <f>+P254*(1+'SImple Return'!B254)</f>
        <v>196.34603334521015</v>
      </c>
      <c r="Q255" s="14">
        <f>+Q254*(1+'SImple Return'!C254)</f>
        <v>128.87323943661966</v>
      </c>
      <c r="R255" s="14">
        <f>+R254*(1+'SImple Return'!D254)</f>
        <v>252.4111675126901</v>
      </c>
      <c r="S255" s="14">
        <f>+S254*(1+'SImple Return'!E254)</f>
        <v>294.65149927655506</v>
      </c>
      <c r="T255" s="14">
        <f>+T254*(1+'SImple Return'!F254)</f>
        <v>205.44570979776177</v>
      </c>
      <c r="U255" s="14">
        <f>+U254*(1+'SImple Return'!G254)</f>
        <v>297.50916181629344</v>
      </c>
      <c r="V255" s="14">
        <f>+V254*(1+'SImple Return'!H254)</f>
        <v>198.6010780865461</v>
      </c>
      <c r="W255" s="14">
        <f>+W254*(1+'SImple Return'!I254)</f>
        <v>354.24215532799553</v>
      </c>
      <c r="X255" s="14">
        <f>+X254*(1+'SImple Return'!J254)</f>
        <v>244.94565381632088</v>
      </c>
      <c r="Y255" s="14">
        <f>+Y254*(1+'SImple Return'!K254)</f>
        <v>430.05828071879529</v>
      </c>
      <c r="Z255" s="14">
        <f>+Z254*(1+'SImple Return'!L254)</f>
        <v>1077.6576576576579</v>
      </c>
      <c r="AA255" s="14">
        <f>+AA254*(1+'SImple Return'!M254)</f>
        <v>314.5726157499011</v>
      </c>
      <c r="AB255" s="14">
        <f>+AB254*(1+'SImple Return'!N254)</f>
        <v>197.2349058909802</v>
      </c>
    </row>
    <row r="256" spans="1:28">
      <c r="A256" s="8">
        <v>39402</v>
      </c>
      <c r="B256" s="10">
        <v>1581.1</v>
      </c>
      <c r="C256" s="10">
        <v>276.7</v>
      </c>
      <c r="D256" s="10">
        <v>212.6</v>
      </c>
      <c r="E256" s="35">
        <v>2953.78</v>
      </c>
      <c r="F256" s="35">
        <v>2109.34</v>
      </c>
      <c r="G256" s="35">
        <v>2899.07</v>
      </c>
      <c r="H256" s="14">
        <v>1978.33</v>
      </c>
      <c r="I256" s="14">
        <v>3512.79</v>
      </c>
      <c r="J256" s="14">
        <v>2449.86</v>
      </c>
      <c r="K256" s="14">
        <v>4183.5200000000004</v>
      </c>
      <c r="L256" s="14">
        <v>11861.01</v>
      </c>
      <c r="M256" s="14">
        <v>3099.38</v>
      </c>
      <c r="N256" s="14">
        <v>1992.43</v>
      </c>
      <c r="P256" s="14">
        <f>+P255*(1+'SImple Return'!B255)</f>
        <v>194.25980759543438</v>
      </c>
      <c r="Q256" s="14">
        <f>+Q255*(1+'SImple Return'!C255)</f>
        <v>129.04579796660755</v>
      </c>
      <c r="R256" s="14">
        <f>+R255*(1+'SImple Return'!D255)</f>
        <v>245.26995846792778</v>
      </c>
      <c r="S256" s="14">
        <f>+S255*(1+'SImple Return'!E255)</f>
        <v>294.74429975552528</v>
      </c>
      <c r="T256" s="14">
        <f>+T255*(1+'SImple Return'!F255)</f>
        <v>207.08226978205394</v>
      </c>
      <c r="U256" s="14">
        <f>+U255*(1+'SImple Return'!G255)</f>
        <v>284.07215787720241</v>
      </c>
      <c r="V256" s="14">
        <f>+V255*(1+'SImple Return'!H255)</f>
        <v>197.11746360710646</v>
      </c>
      <c r="W256" s="14">
        <f>+W255*(1+'SImple Return'!I255)</f>
        <v>350.25974414453941</v>
      </c>
      <c r="X256" s="14">
        <f>+X255*(1+'SImple Return'!J255)</f>
        <v>246.78506311007234</v>
      </c>
      <c r="Y256" s="14">
        <f>+Y255*(1+'SImple Return'!K255)</f>
        <v>406.3642544924719</v>
      </c>
      <c r="Z256" s="14">
        <f>+Z255*(1+'SImple Return'!L255)</f>
        <v>1155.1994156318483</v>
      </c>
      <c r="AA256" s="14">
        <f>+AA255*(1+'SImple Return'!M255)</f>
        <v>306.62643450732099</v>
      </c>
      <c r="AB256" s="14">
        <f>+AB255*(1+'SImple Return'!N255)</f>
        <v>194.81104864336348</v>
      </c>
    </row>
    <row r="257" spans="1:28">
      <c r="A257" s="8">
        <v>39409</v>
      </c>
      <c r="B257" s="10">
        <v>1566.9</v>
      </c>
      <c r="C257" s="10">
        <v>279.05</v>
      </c>
      <c r="D257" s="10">
        <v>209.5</v>
      </c>
      <c r="E257" s="35">
        <v>2957.75</v>
      </c>
      <c r="F257" s="35">
        <v>2091.87</v>
      </c>
      <c r="G257" s="35">
        <v>2785.47</v>
      </c>
      <c r="H257" s="14">
        <v>1979.69</v>
      </c>
      <c r="I257" s="14">
        <v>3409.82</v>
      </c>
      <c r="J257" s="14">
        <v>2536.25</v>
      </c>
      <c r="K257" s="14">
        <v>3744.72</v>
      </c>
      <c r="L257" s="14">
        <v>11717.3</v>
      </c>
      <c r="M257" s="14">
        <v>3032.17</v>
      </c>
      <c r="N257" s="14">
        <v>1969.01</v>
      </c>
      <c r="P257" s="14">
        <f>+P256*(1+'SImple Return'!B256)</f>
        <v>192.51514295192345</v>
      </c>
      <c r="Q257" s="14">
        <f>+Q256*(1+'SImple Return'!C256)</f>
        <v>130.14177781923323</v>
      </c>
      <c r="R257" s="14">
        <f>+R256*(1+'SImple Return'!D256)</f>
        <v>241.69358560221482</v>
      </c>
      <c r="S257" s="14">
        <f>+S256*(1+'SImple Return'!E256)</f>
        <v>295.14044803672067</v>
      </c>
      <c r="T257" s="14">
        <f>+T256*(1+'SImple Return'!F256)</f>
        <v>205.36717062635</v>
      </c>
      <c r="U257" s="14">
        <f>+U256*(1+'SImple Return'!G256)</f>
        <v>272.94079604915055</v>
      </c>
      <c r="V257" s="14">
        <f>+V256*(1+'SImple Return'!H256)</f>
        <v>197.25297171268326</v>
      </c>
      <c r="W257" s="14">
        <f>+W256*(1+'SImple Return'!I256)</f>
        <v>339.99262147151796</v>
      </c>
      <c r="X257" s="14">
        <f>+X256*(1+'SImple Return'!J256)</f>
        <v>255.48750390345612</v>
      </c>
      <c r="Y257" s="14">
        <f>+Y256*(1+'SImple Return'!K256)</f>
        <v>363.74162214667291</v>
      </c>
      <c r="Z257" s="14">
        <f>+Z256*(1+'SImple Return'!L256)</f>
        <v>1141.2028244460678</v>
      </c>
      <c r="AA257" s="14">
        <f>+AA256*(1+'SImple Return'!M256)</f>
        <v>299.97724574594389</v>
      </c>
      <c r="AB257" s="14">
        <f>+AB256*(1+'SImple Return'!N256)</f>
        <v>192.52114397457834</v>
      </c>
    </row>
    <row r="258" spans="1:28">
      <c r="A258" s="8">
        <v>39416</v>
      </c>
      <c r="B258" s="10">
        <v>1610.94</v>
      </c>
      <c r="C258" s="10">
        <v>278.17</v>
      </c>
      <c r="D258" s="10">
        <v>219.24</v>
      </c>
      <c r="E258" s="35">
        <v>3040.15</v>
      </c>
      <c r="F258" s="35">
        <v>2115.29</v>
      </c>
      <c r="G258" s="35">
        <v>2995.08</v>
      </c>
      <c r="H258" s="14">
        <v>2021.18</v>
      </c>
      <c r="I258" s="14">
        <v>3515.29</v>
      </c>
      <c r="J258" s="14">
        <v>2636.25</v>
      </c>
      <c r="K258" s="14">
        <v>4370.95</v>
      </c>
      <c r="L258" s="14">
        <v>12070.94</v>
      </c>
      <c r="M258" s="14">
        <v>3183.4</v>
      </c>
      <c r="N258" s="14">
        <v>1977.42</v>
      </c>
      <c r="P258" s="14">
        <f>+P257*(1+'SImple Return'!B257)</f>
        <v>197.92606062095319</v>
      </c>
      <c r="Q258" s="14">
        <f>+Q257*(1+'SImple Return'!C257)</f>
        <v>129.73136834250531</v>
      </c>
      <c r="R258" s="14">
        <f>+R257*(1+'SImple Return'!D257)</f>
        <v>252.93031841255169</v>
      </c>
      <c r="S258" s="14">
        <f>+S257*(1+'SImple Return'!E257)</f>
        <v>303.36277004440416</v>
      </c>
      <c r="T258" s="14">
        <f>+T257*(1+'SImple Return'!F257)</f>
        <v>207.66640486942876</v>
      </c>
      <c r="U258" s="14">
        <f>+U257*(1+'SImple Return'!G257)</f>
        <v>293.4799223940268</v>
      </c>
      <c r="V258" s="14">
        <f>+V257*(1+'SImple Return'!H257)</f>
        <v>201.38696531590358</v>
      </c>
      <c r="W258" s="14">
        <f>+W257*(1+'SImple Return'!I257)</f>
        <v>350.50901875542178</v>
      </c>
      <c r="X258" s="14">
        <f>+X257*(1+'SImple Return'!J257)</f>
        <v>265.56093924711138</v>
      </c>
      <c r="Y258" s="14">
        <f>+Y257*(1+'SImple Return'!K257)</f>
        <v>424.57017969888273</v>
      </c>
      <c r="Z258" s="14">
        <f>+Z257*(1+'SImple Return'!L257)</f>
        <v>1175.6454833211592</v>
      </c>
      <c r="AA258" s="14">
        <f>+AA257*(1+'SImple Return'!M257)</f>
        <v>314.93866244558774</v>
      </c>
      <c r="AB258" s="14">
        <f>+AB257*(1+'SImple Return'!N257)</f>
        <v>193.34343681251531</v>
      </c>
    </row>
    <row r="259" spans="1:28">
      <c r="A259" s="8">
        <v>39423</v>
      </c>
      <c r="B259" s="10">
        <v>1630.05</v>
      </c>
      <c r="C259" s="10">
        <v>275.92</v>
      </c>
      <c r="D259" s="10">
        <v>222.6</v>
      </c>
      <c r="E259" s="35">
        <v>3044.79</v>
      </c>
      <c r="F259" s="35">
        <v>2125.4899999999998</v>
      </c>
      <c r="G259" s="35">
        <v>3049.53</v>
      </c>
      <c r="H259" s="14">
        <v>2047.45</v>
      </c>
      <c r="I259" s="14">
        <v>3490.08</v>
      </c>
      <c r="J259" s="14">
        <v>2623.46</v>
      </c>
      <c r="K259" s="14">
        <v>4364.18</v>
      </c>
      <c r="L259" s="14">
        <v>11734.94</v>
      </c>
      <c r="M259" s="14">
        <v>3222.04</v>
      </c>
      <c r="N259" s="14">
        <v>2015.49</v>
      </c>
      <c r="P259" s="14">
        <f>+P258*(1+'SImple Return'!B258)</f>
        <v>200.27398606725561</v>
      </c>
      <c r="Q259" s="14">
        <f>+Q258*(1+'SImple Return'!C258)</f>
        <v>128.6820259304169</v>
      </c>
      <c r="R259" s="14">
        <f>+R258*(1+'SImple Return'!D258)</f>
        <v>256.806645131518</v>
      </c>
      <c r="S259" s="14">
        <f>+S258*(1+'SImple Return'!E258)</f>
        <v>303.82577458464266</v>
      </c>
      <c r="T259" s="14">
        <f>+T258*(1+'SImple Return'!F258)</f>
        <v>208.66777930492847</v>
      </c>
      <c r="U259" s="14">
        <f>+U258*(1+'SImple Return'!G258)</f>
        <v>298.81533305896892</v>
      </c>
      <c r="V259" s="14">
        <f>+V258*(1+'SImple Return'!H258)</f>
        <v>204.00446379641932</v>
      </c>
      <c r="W259" s="14">
        <f>+W258*(1+'SImple Return'!I258)</f>
        <v>347.99533357928436</v>
      </c>
      <c r="X259" s="14">
        <f>+X258*(1+'SImple Return'!J258)</f>
        <v>264.27254686665788</v>
      </c>
      <c r="Y259" s="14">
        <f>+Y258*(1+'SImple Return'!K258)</f>
        <v>423.91257892180653</v>
      </c>
      <c r="Z259" s="14">
        <f>+Z258*(1+'SImple Return'!L258)</f>
        <v>1142.920866812759</v>
      </c>
      <c r="AA259" s="14">
        <f>+AA258*(1+'SImple Return'!M258)</f>
        <v>318.7613771270282</v>
      </c>
      <c r="AB259" s="14">
        <f>+AB258*(1+'SImple Return'!N258)</f>
        <v>197.06575409435348</v>
      </c>
    </row>
    <row r="260" spans="1:28">
      <c r="A260" s="8">
        <v>39430</v>
      </c>
      <c r="B260" s="10">
        <v>1582.12</v>
      </c>
      <c r="C260" s="10">
        <v>274.39999999999998</v>
      </c>
      <c r="D260" s="10">
        <v>208.02</v>
      </c>
      <c r="E260" s="35">
        <v>3024.08</v>
      </c>
      <c r="F260" s="35">
        <v>2071.75</v>
      </c>
      <c r="G260" s="35">
        <v>2898.82</v>
      </c>
      <c r="H260" s="14">
        <v>2048.1999999999998</v>
      </c>
      <c r="I260" s="14">
        <v>3361.94</v>
      </c>
      <c r="J260" s="14">
        <v>2571.09</v>
      </c>
      <c r="K260" s="14">
        <v>4178.66</v>
      </c>
      <c r="L260" s="14">
        <v>11089.32</v>
      </c>
      <c r="M260" s="14">
        <v>3129.53</v>
      </c>
      <c r="N260" s="14">
        <v>1979.33</v>
      </c>
      <c r="P260" s="14">
        <f>+P259*(1+'SImple Return'!B259)</f>
        <v>194.38512857686968</v>
      </c>
      <c r="Q260" s="14">
        <f>+Q259*(1+'SImple Return'!C259)</f>
        <v>127.97313683425048</v>
      </c>
      <c r="R260" s="14">
        <f>+R259*(1+'SImple Return'!D259)</f>
        <v>239.98615597600349</v>
      </c>
      <c r="S260" s="14">
        <f>+S259*(1+'SImple Return'!E259)</f>
        <v>301.75921768198339</v>
      </c>
      <c r="T260" s="14">
        <f>+T259*(1+'SImple Return'!F259)</f>
        <v>203.39191046534475</v>
      </c>
      <c r="U260" s="14">
        <f>+U259*(1+'SImple Return'!G259)</f>
        <v>284.04766104219345</v>
      </c>
      <c r="V260" s="14">
        <f>+V259*(1+'SImple Return'!H259)</f>
        <v>204.07919253111237</v>
      </c>
      <c r="W260" s="14">
        <f>+W259*(1+'SImple Return'!I259)</f>
        <v>335.21851412389958</v>
      </c>
      <c r="X260" s="14">
        <f>+X259*(1+'SImple Return'!J259)</f>
        <v>258.99708877718564</v>
      </c>
      <c r="Y260" s="14">
        <f>+Y259*(1+'SImple Return'!K259)</f>
        <v>405.89218067022807</v>
      </c>
      <c r="Z260" s="14">
        <f>+Z259*(1+'SImple Return'!L259)</f>
        <v>1080.0409057706356</v>
      </c>
      <c r="AA260" s="14">
        <f>+AA259*(1+'SImple Return'!M259)</f>
        <v>309.60922041946986</v>
      </c>
      <c r="AB260" s="14">
        <f>+AB259*(1+'SImple Return'!N259)</f>
        <v>193.5301882180396</v>
      </c>
    </row>
    <row r="261" spans="1:28">
      <c r="A261" s="8">
        <v>39437</v>
      </c>
      <c r="B261" s="10">
        <v>1580.55</v>
      </c>
      <c r="C261" s="10">
        <v>276.89999999999998</v>
      </c>
      <c r="D261" s="10">
        <v>204.4</v>
      </c>
      <c r="E261" s="35">
        <v>2959.23</v>
      </c>
      <c r="F261" s="35">
        <v>2129.9499999999998</v>
      </c>
      <c r="G261" s="35">
        <v>2859.46</v>
      </c>
      <c r="H261" s="14">
        <v>2023.69</v>
      </c>
      <c r="I261" s="14">
        <v>3292.22</v>
      </c>
      <c r="J261" s="14">
        <v>2566.56</v>
      </c>
      <c r="K261" s="14">
        <v>4184.3100000000004</v>
      </c>
      <c r="L261" s="14">
        <v>11494.35</v>
      </c>
      <c r="M261" s="14">
        <v>3082.89</v>
      </c>
      <c r="N261" s="14">
        <v>2013.27</v>
      </c>
      <c r="P261" s="14">
        <f>+P260*(1+'SImple Return'!B260)</f>
        <v>194.19223255642518</v>
      </c>
      <c r="Q261" s="14">
        <f>+Q260*(1+'SImple Return'!C260)</f>
        <v>129.13907284768209</v>
      </c>
      <c r="R261" s="14">
        <f>+R260*(1+'SImple Return'!D260)</f>
        <v>235.80987540378382</v>
      </c>
      <c r="S261" s="14">
        <f>+S260*(1+'SImple Return'!E260)</f>
        <v>295.288130519383</v>
      </c>
      <c r="T261" s="14">
        <f>+T260*(1+'SImple Return'!F260)</f>
        <v>209.10563518554895</v>
      </c>
      <c r="U261" s="14">
        <f>+U260*(1+'SImple Return'!G260)</f>
        <v>280.19087933838961</v>
      </c>
      <c r="V261" s="14">
        <f>+V260*(1+'SImple Return'!H260)</f>
        <v>201.63705748134305</v>
      </c>
      <c r="W261" s="14">
        <f>+W260*(1+'SImple Return'!I260)</f>
        <v>328.26674377561307</v>
      </c>
      <c r="X261" s="14">
        <f>+X260*(1+'SImple Return'!J260)</f>
        <v>258.54076215611803</v>
      </c>
      <c r="Y261" s="14">
        <f>+Y260*(1+'SImple Return'!K260)</f>
        <v>406.44099077221938</v>
      </c>
      <c r="Z261" s="14">
        <f>+Z260*(1+'SImple Return'!L260)</f>
        <v>1119.4886778670566</v>
      </c>
      <c r="AA261" s="14">
        <f>+AA260*(1+'SImple Return'!M260)</f>
        <v>304.99505342303138</v>
      </c>
      <c r="AB261" s="14">
        <f>+AB260*(1+'SImple Return'!N260)</f>
        <v>196.8486922512833</v>
      </c>
    </row>
    <row r="262" spans="1:28">
      <c r="A262" s="8">
        <v>39444</v>
      </c>
      <c r="B262" s="10">
        <v>1594.79</v>
      </c>
      <c r="C262" s="10">
        <v>276.60000000000002</v>
      </c>
      <c r="D262" s="10">
        <v>204.67</v>
      </c>
      <c r="E262" s="34">
        <v>2994.71</v>
      </c>
      <c r="F262" s="34">
        <v>2137.54</v>
      </c>
      <c r="G262" s="34">
        <v>2881.98</v>
      </c>
      <c r="H262" s="14">
        <v>2040.36</v>
      </c>
      <c r="I262" s="14">
        <v>3360</v>
      </c>
      <c r="J262" s="14">
        <v>2563.9</v>
      </c>
      <c r="K262" s="14">
        <v>4246.0600000000004</v>
      </c>
      <c r="L262" s="14">
        <v>11588.9</v>
      </c>
      <c r="M262" s="14">
        <v>3090.73</v>
      </c>
      <c r="N262" s="14">
        <v>2029.36</v>
      </c>
      <c r="P262" s="14">
        <f>+P261*(1+'SImple Return'!B261)</f>
        <v>195.94181174822774</v>
      </c>
      <c r="Q262" s="14">
        <f>+Q261*(1+'SImple Return'!C261)</f>
        <v>128.99916052607031</v>
      </c>
      <c r="R262" s="14">
        <f>+R261*(1+'SImple Return'!D261)</f>
        <v>236.12136594370074</v>
      </c>
      <c r="S262" s="14">
        <f>+S261*(1+'SImple Return'!E261)</f>
        <v>298.82851868482726</v>
      </c>
      <c r="T262" s="14">
        <f>+T261*(1+'SImple Return'!F261)</f>
        <v>209.85077557431785</v>
      </c>
      <c r="U262" s="14">
        <f>+U261*(1+'SImple Return'!G261)</f>
        <v>282.39755423599286</v>
      </c>
      <c r="V262" s="14">
        <f>+V261*(1+'SImple Return'!H261)</f>
        <v>203.29802815778754</v>
      </c>
      <c r="W262" s="14">
        <f>+W261*(1+'SImple Return'!I261)</f>
        <v>335.0250770258549</v>
      </c>
      <c r="X262" s="14">
        <f>+X261*(1+'SImple Return'!J261)</f>
        <v>258.27280877597684</v>
      </c>
      <c r="Y262" s="14">
        <f>+Y261*(1+'SImple Return'!K261)</f>
        <v>412.43904808159289</v>
      </c>
      <c r="Z262" s="14">
        <f>+Z261*(1+'SImple Return'!L261)</f>
        <v>1128.6973459946437</v>
      </c>
      <c r="AA262" s="14">
        <f>+AA261*(1+'SImple Return'!M261)</f>
        <v>305.77067669172948</v>
      </c>
      <c r="AB262" s="14">
        <f>+AB261*(1+'SImple Return'!N261)</f>
        <v>198.421901735517</v>
      </c>
    </row>
    <row r="263" spans="1:28">
      <c r="A263" s="8">
        <v>39451</v>
      </c>
      <c r="B263" s="10">
        <v>1543.31</v>
      </c>
      <c r="C263" s="10">
        <v>281.74</v>
      </c>
      <c r="D263" s="10">
        <v>199.83</v>
      </c>
      <c r="E263" s="35">
        <v>2938.28</v>
      </c>
      <c r="F263" s="35">
        <v>2062.9499999999998</v>
      </c>
      <c r="G263" s="35">
        <v>2845.27</v>
      </c>
      <c r="H263" s="14">
        <v>2003.47</v>
      </c>
      <c r="I263" s="14">
        <v>3343.98</v>
      </c>
      <c r="J263" s="14">
        <v>2509.35</v>
      </c>
      <c r="K263" s="14">
        <v>4202.46</v>
      </c>
      <c r="L263" s="14">
        <v>10842.2</v>
      </c>
      <c r="M263" s="14">
        <v>3036.22</v>
      </c>
      <c r="N263" s="14">
        <v>1979.18</v>
      </c>
      <c r="P263" s="14">
        <f>+P262*(1+'SImple Return'!B262)</f>
        <v>189.61678809696409</v>
      </c>
      <c r="Q263" s="14">
        <f>+Q262*(1+'SImple Return'!C262)</f>
        <v>131.39632496968562</v>
      </c>
      <c r="R263" s="14">
        <f>+R262*(1+'SImple Return'!D262)</f>
        <v>230.53760959852312</v>
      </c>
      <c r="S263" s="14">
        <f>+S262*(1+'SImple Return'!E262)</f>
        <v>293.19762510602175</v>
      </c>
      <c r="T263" s="14">
        <f>+T262*(1+'SImple Return'!F262)</f>
        <v>202.52797957981556</v>
      </c>
      <c r="U263" s="14">
        <f>+U262*(1+'SImple Return'!G262)</f>
        <v>278.80043898328353</v>
      </c>
      <c r="V263" s="14">
        <f>+V262*(1+'SImple Return'!H262)</f>
        <v>199.62237079401802</v>
      </c>
      <c r="W263" s="14">
        <f>+W262*(1+'SImple Return'!I262)</f>
        <v>333.42772531932093</v>
      </c>
      <c r="X263" s="14">
        <f>+X262*(1+'SImple Return'!J262)</f>
        <v>252.77774979601287</v>
      </c>
      <c r="Y263" s="14">
        <f>+Y262*(1+'SImple Return'!K262)</f>
        <v>408.20398251578422</v>
      </c>
      <c r="Z263" s="14">
        <f>+Z262*(1+'SImple Return'!L262)</f>
        <v>1055.9727294862435</v>
      </c>
      <c r="AA263" s="14">
        <f>+AA262*(1+'SImple Return'!M262)</f>
        <v>300.37791848041172</v>
      </c>
      <c r="AB263" s="14">
        <f>+AB262*(1+'SImple Return'!N262)</f>
        <v>193.51552187729163</v>
      </c>
    </row>
    <row r="264" spans="1:28">
      <c r="A264" s="8">
        <v>39458</v>
      </c>
      <c r="B264" s="10">
        <v>1515.93</v>
      </c>
      <c r="C264" s="10">
        <v>282.02</v>
      </c>
      <c r="D264" s="10">
        <v>191.86</v>
      </c>
      <c r="E264" s="35">
        <v>2903.5</v>
      </c>
      <c r="F264" s="35">
        <v>2049.44</v>
      </c>
      <c r="G264" s="35">
        <v>2827.32</v>
      </c>
      <c r="H264" s="14">
        <v>1990.19</v>
      </c>
      <c r="I264" s="14">
        <v>3317.3</v>
      </c>
      <c r="J264" s="14">
        <v>2437.33</v>
      </c>
      <c r="K264" s="14">
        <v>4033.48</v>
      </c>
      <c r="L264" s="14">
        <v>10536.74</v>
      </c>
      <c r="M264" s="14">
        <v>3018.13</v>
      </c>
      <c r="N264" s="14">
        <v>2000.41</v>
      </c>
      <c r="P264" s="14">
        <f>+P263*(1+'SImple Return'!B263)</f>
        <v>186.25277979137749</v>
      </c>
      <c r="Q264" s="14">
        <f>+Q263*(1+'SImple Return'!C263)</f>
        <v>131.52690980318994</v>
      </c>
      <c r="R264" s="14">
        <f>+R263*(1+'SImple Return'!D263)</f>
        <v>221.34287032764172</v>
      </c>
      <c r="S264" s="14">
        <f>+S263*(1+'SImple Return'!E263)</f>
        <v>289.72708676345826</v>
      </c>
      <c r="T264" s="14">
        <f>+T263*(1+'SImple Return'!F263)</f>
        <v>201.20164932259982</v>
      </c>
      <c r="U264" s="14">
        <f>+U263*(1+'SImple Return'!G263)</f>
        <v>277.04156622964331</v>
      </c>
      <c r="V264" s="14">
        <f>+V263*(1+'SImple Return'!H263)</f>
        <v>198.29917399838618</v>
      </c>
      <c r="W264" s="14">
        <f>+W263*(1+'SImple Return'!I263)</f>
        <v>330.76746667198472</v>
      </c>
      <c r="X264" s="14">
        <f>+X263*(1+'SImple Return'!J263)</f>
        <v>245.52286166151237</v>
      </c>
      <c r="Y264" s="14">
        <f>+Y263*(1+'SImple Return'!K263)</f>
        <v>391.79018941233596</v>
      </c>
      <c r="Z264" s="14">
        <f>+Z263*(1+'SImple Return'!L263)</f>
        <v>1026.2225468711958</v>
      </c>
      <c r="AA264" s="14">
        <f>+AA263*(1+'SImple Return'!M263)</f>
        <v>298.58824693312249</v>
      </c>
      <c r="AB264" s="14">
        <f>+AB263*(1+'SImple Return'!N263)</f>
        <v>195.59129797115622</v>
      </c>
    </row>
    <row r="265" spans="1:28">
      <c r="A265" s="8">
        <v>39465</v>
      </c>
      <c r="B265" s="10">
        <v>1437.8</v>
      </c>
      <c r="C265" s="10">
        <v>283.69</v>
      </c>
      <c r="D265" s="10">
        <v>187.84</v>
      </c>
      <c r="E265" s="35">
        <v>2879.44</v>
      </c>
      <c r="F265" s="35">
        <v>1944.46</v>
      </c>
      <c r="G265" s="35">
        <v>2625.54</v>
      </c>
      <c r="H265" s="14">
        <v>1938.39</v>
      </c>
      <c r="I265" s="14">
        <v>3142.94</v>
      </c>
      <c r="J265" s="14">
        <v>2446.7399999999998</v>
      </c>
      <c r="K265" s="14">
        <v>3659.84</v>
      </c>
      <c r="L265" s="14">
        <v>9786.2000000000007</v>
      </c>
      <c r="M265" s="14">
        <v>2925.5</v>
      </c>
      <c r="N265" s="14">
        <v>1922.54</v>
      </c>
      <c r="P265" s="14">
        <f>+P264*(1+'SImple Return'!B264)</f>
        <v>176.65343834084854</v>
      </c>
      <c r="Q265" s="14">
        <f>+Q264*(1+'SImple Return'!C264)</f>
        <v>132.30575506016226</v>
      </c>
      <c r="R265" s="14">
        <f>+R264*(1+'SImple Return'!D264)</f>
        <v>216.70512228887844</v>
      </c>
      <c r="S265" s="14">
        <f>+S264*(1+'SImple Return'!E264)</f>
        <v>287.32624856558368</v>
      </c>
      <c r="T265" s="14">
        <f>+T264*(1+'SImple Return'!F264)</f>
        <v>190.89534655409403</v>
      </c>
      <c r="U265" s="14">
        <f>+U264*(1+'SImple Return'!G264)</f>
        <v>257.26968075724631</v>
      </c>
      <c r="V265" s="14">
        <f>+V264*(1+'SImple Return'!H264)</f>
        <v>193.13790938891856</v>
      </c>
      <c r="W265" s="14">
        <f>+W264*(1+'SImple Return'!I264)</f>
        <v>313.38205821060728</v>
      </c>
      <c r="X265" s="14">
        <f>+X264*(1+'SImple Return'!J264)</f>
        <v>246.47077192735034</v>
      </c>
      <c r="Y265" s="14">
        <f>+Y264*(1+'SImple Return'!K264)</f>
        <v>355.49684312773178</v>
      </c>
      <c r="Z265" s="14">
        <f>+Z264*(1+'SImple Return'!L264)</f>
        <v>953.12393474555677</v>
      </c>
      <c r="AA265" s="14">
        <f>+AA264*(1+'SImple Return'!M264)</f>
        <v>289.42421844083913</v>
      </c>
      <c r="AB265" s="14">
        <f>+AB264*(1+'SImple Return'!N264)</f>
        <v>187.9775116108531</v>
      </c>
    </row>
    <row r="266" spans="1:28">
      <c r="A266" s="8">
        <v>39472</v>
      </c>
      <c r="B266" s="10">
        <v>1438.96</v>
      </c>
      <c r="C266" s="10">
        <v>284.12</v>
      </c>
      <c r="D266" s="10">
        <v>197.26</v>
      </c>
      <c r="E266" s="35">
        <v>2777.61</v>
      </c>
      <c r="F266" s="35">
        <v>1909.47</v>
      </c>
      <c r="G266" s="35">
        <v>2650.05</v>
      </c>
      <c r="H266" s="14">
        <v>1868.48</v>
      </c>
      <c r="I266" s="14">
        <v>3099.73</v>
      </c>
      <c r="J266" s="14">
        <v>2386.9499999999998</v>
      </c>
      <c r="K266" s="14">
        <v>3675.18</v>
      </c>
      <c r="L266" s="14">
        <v>9768.9599999999991</v>
      </c>
      <c r="M266" s="14">
        <v>2870.94</v>
      </c>
      <c r="N266" s="14">
        <v>1874.3</v>
      </c>
      <c r="P266" s="14">
        <f>+P265*(1+'SImple Return'!B265)</f>
        <v>176.79596024130436</v>
      </c>
      <c r="Q266" s="14">
        <f>+Q265*(1+'SImple Return'!C265)</f>
        <v>132.5062960544725</v>
      </c>
      <c r="R266" s="14">
        <f>+R265*(1+'SImple Return'!D265)</f>
        <v>227.57268112598041</v>
      </c>
      <c r="S266" s="14">
        <f>+S265*(1+'SImple Return'!E265)</f>
        <v>277.16509504565153</v>
      </c>
      <c r="T266" s="14">
        <f>+T265*(1+'SImple Return'!F265)</f>
        <v>187.46023954447298</v>
      </c>
      <c r="U266" s="14">
        <f>+U265*(1+'SImple Return'!G265)</f>
        <v>259.67135046152055</v>
      </c>
      <c r="V266" s="14">
        <f>+V265*(1+'SImple Return'!H265)</f>
        <v>186.17219493239571</v>
      </c>
      <c r="W266" s="14">
        <f>+W265*(1+'SImple Return'!I265)</f>
        <v>309.07359583611702</v>
      </c>
      <c r="X266" s="14">
        <f>+X265*(1+'SImple Return'!J265)</f>
        <v>240.44786493537887</v>
      </c>
      <c r="Y266" s="14">
        <f>+Y265*(1+'SImple Return'!K265)</f>
        <v>356.98688683827083</v>
      </c>
      <c r="Z266" s="14">
        <f>+Z265*(1+'SImple Return'!L265)</f>
        <v>951.44485025566132</v>
      </c>
      <c r="AA266" s="14">
        <f>+AA265*(1+'SImple Return'!M265)</f>
        <v>284.02651365255264</v>
      </c>
      <c r="AB266" s="14">
        <f>+AB265*(1+'SImple Return'!N265)</f>
        <v>183.26081642630163</v>
      </c>
    </row>
    <row r="267" spans="1:28">
      <c r="A267" s="8">
        <v>39479</v>
      </c>
      <c r="B267" s="10">
        <v>1487.56</v>
      </c>
      <c r="C267" s="10">
        <v>285.25</v>
      </c>
      <c r="D267" s="10">
        <v>200.6</v>
      </c>
      <c r="E267" s="35">
        <v>2835.71</v>
      </c>
      <c r="F267" s="35">
        <v>2006.16</v>
      </c>
      <c r="G267" s="35">
        <v>2711.47</v>
      </c>
      <c r="H267" s="14">
        <v>1902.28</v>
      </c>
      <c r="I267" s="14">
        <v>3197.1</v>
      </c>
      <c r="J267" s="14">
        <v>2409.92</v>
      </c>
      <c r="K267" s="14">
        <v>3662.69</v>
      </c>
      <c r="L267" s="14">
        <v>10551.64</v>
      </c>
      <c r="M267" s="14">
        <v>2972.65</v>
      </c>
      <c r="N267" s="14">
        <v>1954.27</v>
      </c>
      <c r="P267" s="14">
        <f>+P266*(1+'SImple Return'!B266)</f>
        <v>182.76713641557421</v>
      </c>
      <c r="Q267" s="14">
        <f>+Q266*(1+'SImple Return'!C266)</f>
        <v>133.03329913254359</v>
      </c>
      <c r="R267" s="14">
        <f>+R266*(1+'SImple Return'!D266)</f>
        <v>231.42593447161954</v>
      </c>
      <c r="S267" s="14">
        <f>+S266*(1+'SImple Return'!E266)</f>
        <v>282.96263034475845</v>
      </c>
      <c r="T267" s="14">
        <f>+T266*(1+'SImple Return'!F266)</f>
        <v>196.95268014922462</v>
      </c>
      <c r="U267" s="14">
        <f>+U266*(1+'SImple Return'!G266)</f>
        <v>265.68973288651119</v>
      </c>
      <c r="V267" s="14">
        <f>+V266*(1+'SImple Return'!H266)</f>
        <v>189.53996990922982</v>
      </c>
      <c r="W267" s="14">
        <f>+W266*(1+'SImple Return'!I266)</f>
        <v>318.78234338076214</v>
      </c>
      <c r="X267" s="14">
        <f>+X266*(1+'SImple Return'!J266)</f>
        <v>242.76173303381654</v>
      </c>
      <c r="Y267" s="14">
        <f>+Y266*(1+'SImple Return'!K266)</f>
        <v>355.77367654201055</v>
      </c>
      <c r="Z267" s="14">
        <f>+Z266*(1+'SImple Return'!L266)</f>
        <v>1027.6737277818363</v>
      </c>
      <c r="AA267" s="14">
        <f>+AA266*(1+'SImple Return'!M266)</f>
        <v>294.08884052235874</v>
      </c>
      <c r="AB267" s="14">
        <f>+AB266*(1+'SImple Return'!N266)</f>
        <v>191.07993155707652</v>
      </c>
    </row>
    <row r="268" spans="1:28">
      <c r="A268" s="8">
        <v>39486</v>
      </c>
      <c r="B268" s="10">
        <v>1414.58</v>
      </c>
      <c r="C268" s="10">
        <v>284.04000000000002</v>
      </c>
      <c r="D268" s="10">
        <v>188.13</v>
      </c>
      <c r="E268" s="35">
        <v>2746.08</v>
      </c>
      <c r="F268" s="35">
        <v>1962.33</v>
      </c>
      <c r="G268" s="35">
        <v>2618.19</v>
      </c>
      <c r="H268" s="14">
        <v>1862.8</v>
      </c>
      <c r="I268" s="14">
        <v>3095.12</v>
      </c>
      <c r="J268" s="14">
        <v>2333.9699999999998</v>
      </c>
      <c r="K268" s="14">
        <v>3400.93</v>
      </c>
      <c r="L268" s="14">
        <v>10137.26</v>
      </c>
      <c r="M268" s="14">
        <v>2838.65</v>
      </c>
      <c r="N268" s="14">
        <v>1928.47</v>
      </c>
      <c r="P268" s="14">
        <f>+P267*(1+'SImple Return'!B267)</f>
        <v>173.80054305758622</v>
      </c>
      <c r="Q268" s="14">
        <f>+Q267*(1+'SImple Return'!C267)</f>
        <v>132.46898610204272</v>
      </c>
      <c r="R268" s="14">
        <f>+R267*(1+'SImple Return'!D267)</f>
        <v>217.03968620212257</v>
      </c>
      <c r="S268" s="14">
        <f>+S267*(1+'SImple Return'!E267)</f>
        <v>274.01885945217748</v>
      </c>
      <c r="T268" s="14">
        <f>+T267*(1+'SImple Return'!F267)</f>
        <v>192.64971529550382</v>
      </c>
      <c r="U268" s="14">
        <f>+U267*(1+'SImple Return'!G267)</f>
        <v>256.54947380798416</v>
      </c>
      <c r="V268" s="14">
        <f>+V267*(1+'SImple Return'!H267)</f>
        <v>185.60624931498691</v>
      </c>
      <c r="W268" s="14">
        <f>+W267*(1+'SImple Return'!I267)</f>
        <v>308.61393345365002</v>
      </c>
      <c r="X268" s="14">
        <f>+X267*(1+'SImple Return'!J267)</f>
        <v>235.11095889031034</v>
      </c>
      <c r="Y268" s="14">
        <f>+Y267*(1+'SImple Return'!K267)</f>
        <v>330.34774162214654</v>
      </c>
      <c r="Z268" s="14">
        <f>+Z267*(1+'SImple Return'!L267)</f>
        <v>987.31531531531573</v>
      </c>
      <c r="AA268" s="14">
        <f>+AA267*(1+'SImple Return'!M267)</f>
        <v>280.83201424614191</v>
      </c>
      <c r="AB268" s="14">
        <f>+AB267*(1+'SImple Return'!N267)</f>
        <v>188.55732094842338</v>
      </c>
    </row>
    <row r="269" spans="1:28">
      <c r="A269" s="8">
        <v>39493</v>
      </c>
      <c r="B269" s="10">
        <v>1439.5</v>
      </c>
      <c r="C269" s="10">
        <v>282.12</v>
      </c>
      <c r="D269" s="10">
        <v>191</v>
      </c>
      <c r="E269" s="35">
        <v>2824.25</v>
      </c>
      <c r="F269" s="35">
        <v>1970.35</v>
      </c>
      <c r="G269" s="35">
        <v>2666.66</v>
      </c>
      <c r="H269" s="14">
        <v>1873.61</v>
      </c>
      <c r="I269" s="14">
        <v>3154.34</v>
      </c>
      <c r="J269" s="14">
        <v>2357.5500000000002</v>
      </c>
      <c r="K269" s="14">
        <v>3610.09</v>
      </c>
      <c r="L269" s="14">
        <v>10423.02</v>
      </c>
      <c r="M269" s="14">
        <v>2922.48</v>
      </c>
      <c r="N269" s="14">
        <v>1951.42</v>
      </c>
      <c r="P269" s="14">
        <f>+P268*(1+'SImple Return'!B268)</f>
        <v>176.86230664324066</v>
      </c>
      <c r="Q269" s="14">
        <f>+Q268*(1+'SImple Return'!C268)</f>
        <v>131.57354724372726</v>
      </c>
      <c r="R269" s="14">
        <f>+R268*(1+'SImple Return'!D268)</f>
        <v>220.35071527457293</v>
      </c>
      <c r="S269" s="14">
        <f>+S268*(1+'SImple Return'!E268)</f>
        <v>281.81908895873835</v>
      </c>
      <c r="T269" s="14">
        <f>+T268*(1+'SImple Return'!F268)</f>
        <v>193.43707048890653</v>
      </c>
      <c r="U269" s="14">
        <f>+U268*(1+'SImple Return'!G268)</f>
        <v>261.29892017951295</v>
      </c>
      <c r="V269" s="14">
        <f>+V268*(1+'SImple Return'!H268)</f>
        <v>186.68333947769628</v>
      </c>
      <c r="W269" s="14">
        <f>+W268*(1+'SImple Return'!I268)</f>
        <v>314.51875043623079</v>
      </c>
      <c r="X269" s="14">
        <f>+X268*(1+'SImple Return'!J268)</f>
        <v>237.4862749443443</v>
      </c>
      <c r="Y269" s="14">
        <f>+Y268*(1+'SImple Return'!K268)</f>
        <v>350.66440019426892</v>
      </c>
      <c r="Z269" s="14">
        <f>+Z268*(1+'SImple Return'!L268)</f>
        <v>1015.1468224981744</v>
      </c>
      <c r="AA269" s="14">
        <f>+AA268*(1+'SImple Return'!M268)</f>
        <v>289.12544519192744</v>
      </c>
      <c r="AB269" s="14">
        <f>+AB268*(1+'SImple Return'!N268)</f>
        <v>190.80127108286482</v>
      </c>
    </row>
    <row r="270" spans="1:28">
      <c r="A270" s="8">
        <v>39500</v>
      </c>
      <c r="B270" s="10">
        <v>1448.93</v>
      </c>
      <c r="C270" s="10">
        <v>282.61</v>
      </c>
      <c r="D270" s="10">
        <v>187.02</v>
      </c>
      <c r="E270" s="35">
        <v>2807.15</v>
      </c>
      <c r="F270" s="35">
        <v>1982.42</v>
      </c>
      <c r="G270" s="35">
        <v>2662.33</v>
      </c>
      <c r="H270" s="14">
        <v>1844.18</v>
      </c>
      <c r="I270" s="14">
        <v>3250.59</v>
      </c>
      <c r="J270" s="14">
        <v>2346.7399999999998</v>
      </c>
      <c r="K270" s="14">
        <v>3574.77</v>
      </c>
      <c r="L270" s="14">
        <v>10737.19</v>
      </c>
      <c r="M270" s="14">
        <v>2912.56</v>
      </c>
      <c r="N270" s="14">
        <v>1955.1</v>
      </c>
      <c r="P270" s="14">
        <f>+P269*(1+'SImple Return'!B269)</f>
        <v>178.02091140298069</v>
      </c>
      <c r="Q270" s="14">
        <f>+Q269*(1+'SImple Return'!C269)</f>
        <v>131.80207070235986</v>
      </c>
      <c r="R270" s="14">
        <f>+R269*(1+'SImple Return'!D269)</f>
        <v>215.75911398246404</v>
      </c>
      <c r="S270" s="14">
        <f>+S269*(1+'SImple Return'!E269)</f>
        <v>280.11275757122155</v>
      </c>
      <c r="T270" s="14">
        <f>+T269*(1+'SImple Return'!F269)</f>
        <v>194.62203023758121</v>
      </c>
      <c r="U270" s="14">
        <f>+U269*(1+'SImple Return'!G269)</f>
        <v>260.87463499715852</v>
      </c>
      <c r="V270" s="14">
        <f>+V269*(1+'SImple Return'!H269)</f>
        <v>183.75098392834045</v>
      </c>
      <c r="W270" s="14">
        <f>+W269*(1+'SImple Return'!I269)</f>
        <v>324.1158229552006</v>
      </c>
      <c r="X270" s="14">
        <f>+X269*(1+'SImple Return'!J269)</f>
        <v>236.39733658369514</v>
      </c>
      <c r="Y270" s="14">
        <f>+Y269*(1+'SImple Return'!K269)</f>
        <v>347.23360854783863</v>
      </c>
      <c r="Z270" s="14">
        <f>+Z269*(1+'SImple Return'!L269)</f>
        <v>1045.7453128804484</v>
      </c>
      <c r="AA270" s="14">
        <f>+AA269*(1+'SImple Return'!M269)</f>
        <v>288.14404432132989</v>
      </c>
      <c r="AB270" s="14">
        <f>+AB269*(1+'SImple Return'!N269)</f>
        <v>191.16108530921534</v>
      </c>
    </row>
    <row r="271" spans="1:28">
      <c r="A271" s="8">
        <v>39507</v>
      </c>
      <c r="B271" s="10">
        <v>1455.56</v>
      </c>
      <c r="C271" s="10">
        <v>287.35000000000002</v>
      </c>
      <c r="D271" s="10">
        <v>190.5</v>
      </c>
      <c r="E271" s="35">
        <v>2855.62</v>
      </c>
      <c r="F271" s="35">
        <v>1942.5</v>
      </c>
      <c r="G271" s="35">
        <v>2674.25</v>
      </c>
      <c r="H271" s="14">
        <v>1820.3</v>
      </c>
      <c r="I271" s="14">
        <v>3236.54</v>
      </c>
      <c r="J271" s="14">
        <v>2380.3200000000002</v>
      </c>
      <c r="K271" s="14">
        <v>3703.9</v>
      </c>
      <c r="L271" s="14">
        <v>10424.61</v>
      </c>
      <c r="M271" s="14">
        <v>2968.39</v>
      </c>
      <c r="N271" s="14">
        <v>1957.29</v>
      </c>
      <c r="P271" s="14">
        <f>+P270*(1+'SImple Return'!B270)</f>
        <v>178.83549778231009</v>
      </c>
      <c r="Q271" s="14">
        <f>+Q270*(1+'SImple Return'!C270)</f>
        <v>134.01268538382615</v>
      </c>
      <c r="R271" s="14">
        <f>+R270*(1+'SImple Return'!D270)</f>
        <v>219.7738809413934</v>
      </c>
      <c r="S271" s="14">
        <f>+S270*(1+'SImple Return'!E270)</f>
        <v>284.94935887841103</v>
      </c>
      <c r="T271" s="14">
        <f>+T270*(1+'SImple Return'!F270)</f>
        <v>190.7029255841353</v>
      </c>
      <c r="U271" s="14">
        <f>+U270*(1+'SImple Return'!G270)</f>
        <v>262.04264409038365</v>
      </c>
      <c r="V271" s="14">
        <f>+V270*(1+'SImple Return'!H270)</f>
        <v>181.37162101571326</v>
      </c>
      <c r="W271" s="14">
        <f>+W270*(1+'SImple Return'!I270)</f>
        <v>322.71489964204187</v>
      </c>
      <c r="X271" s="14">
        <f>+X270*(1+'SImple Return'!J270)</f>
        <v>239.77999617209463</v>
      </c>
      <c r="Y271" s="14">
        <f>+Y270*(1+'SImple Return'!K270)</f>
        <v>359.77659057795029</v>
      </c>
      <c r="Z271" s="14">
        <f>+Z270*(1+'SImple Return'!L270)</f>
        <v>1015.3016800584371</v>
      </c>
      <c r="AA271" s="14">
        <f>+AA270*(1+'SImple Return'!M270)</f>
        <v>293.6673921646223</v>
      </c>
      <c r="AB271" s="14">
        <f>+AB270*(1+'SImple Return'!N270)</f>
        <v>191.37521388413592</v>
      </c>
    </row>
    <row r="272" spans="1:28">
      <c r="A272" s="8">
        <v>39514</v>
      </c>
      <c r="B272" s="10">
        <v>1411.27</v>
      </c>
      <c r="C272" s="10">
        <v>286.2</v>
      </c>
      <c r="D272" s="10">
        <v>179.68</v>
      </c>
      <c r="E272" s="35">
        <v>2804.1</v>
      </c>
      <c r="F272" s="35">
        <v>1917.53</v>
      </c>
      <c r="G272" s="35">
        <v>2425.09</v>
      </c>
      <c r="H272" s="14">
        <v>1797.03</v>
      </c>
      <c r="I272" s="14">
        <v>3100.31</v>
      </c>
      <c r="J272" s="14">
        <v>2325.19</v>
      </c>
      <c r="K272" s="14">
        <v>3357.09</v>
      </c>
      <c r="L272" s="14">
        <v>9964.67</v>
      </c>
      <c r="M272" s="14">
        <v>2843.11</v>
      </c>
      <c r="N272" s="14">
        <v>1939.82</v>
      </c>
      <c r="P272" s="14">
        <f>+P271*(1+'SImple Return'!B271)</f>
        <v>173.39386418645796</v>
      </c>
      <c r="Q272" s="14">
        <f>+Q271*(1+'SImple Return'!C271)</f>
        <v>133.4763548176476</v>
      </c>
      <c r="R272" s="14">
        <f>+R271*(1+'SImple Return'!D271)</f>
        <v>207.29118597138881</v>
      </c>
      <c r="S272" s="14">
        <f>+S271*(1+'SImple Return'!E271)</f>
        <v>279.80841191438367</v>
      </c>
      <c r="T272" s="14">
        <f>+T271*(1+'SImple Return'!F271)</f>
        <v>188.25152169644633</v>
      </c>
      <c r="U272" s="14">
        <f>+U271*(1+'SImple Return'!G271)</f>
        <v>237.62811844709677</v>
      </c>
      <c r="V272" s="14">
        <f>+V271*(1+'SImple Return'!H271)</f>
        <v>179.05303747396977</v>
      </c>
      <c r="W272" s="14">
        <f>+W271*(1+'SImple Return'!I271)</f>
        <v>309.1314275458418</v>
      </c>
      <c r="X272" s="14">
        <f>+X271*(1+'SImple Return'!J271)</f>
        <v>234.22651126713748</v>
      </c>
      <c r="Y272" s="14">
        <f>+Y271*(1+'SImple Return'!K271)</f>
        <v>326.08936376881968</v>
      </c>
      <c r="Z272" s="14">
        <f>+Z271*(1+'SImple Return'!L271)</f>
        <v>970.50596542488461</v>
      </c>
      <c r="AA272" s="14">
        <f>+AA271*(1+'SImple Return'!M271)</f>
        <v>281.27324891175329</v>
      </c>
      <c r="AB272" s="14">
        <f>+AB271*(1+'SImple Return'!N271)</f>
        <v>189.66707406502078</v>
      </c>
    </row>
    <row r="273" spans="1:28">
      <c r="A273" s="8">
        <v>39521</v>
      </c>
      <c r="B273" s="10">
        <v>1407.99</v>
      </c>
      <c r="C273" s="10">
        <v>289.2</v>
      </c>
      <c r="D273" s="10">
        <v>178.83</v>
      </c>
      <c r="E273" s="35">
        <v>2829.86</v>
      </c>
      <c r="F273" s="35">
        <v>1911.91</v>
      </c>
      <c r="G273" s="35">
        <v>2405.6999999999998</v>
      </c>
      <c r="H273" s="14">
        <v>1799.97</v>
      </c>
      <c r="I273" s="14">
        <v>3067.38</v>
      </c>
      <c r="J273" s="14">
        <v>2355.56</v>
      </c>
      <c r="K273" s="14">
        <v>3212.58</v>
      </c>
      <c r="L273" s="14">
        <v>9988.9599999999991</v>
      </c>
      <c r="M273" s="14">
        <v>2825.38</v>
      </c>
      <c r="N273" s="14">
        <v>1962.16</v>
      </c>
      <c r="P273" s="14">
        <f>+P272*(1+'SImple Return'!B272)</f>
        <v>172.99087122654839</v>
      </c>
      <c r="Q273" s="14">
        <f>+Q272*(1+'SImple Return'!C272)</f>
        <v>134.87547803376552</v>
      </c>
      <c r="R273" s="14">
        <f>+R272*(1+'SImple Return'!D272)</f>
        <v>206.31056760498367</v>
      </c>
      <c r="S273" s="14">
        <f>+S272*(1+'SImple Return'!E272)</f>
        <v>282.37888539639732</v>
      </c>
      <c r="T273" s="14">
        <f>+T272*(1+'SImple Return'!F272)</f>
        <v>187.69978401727886</v>
      </c>
      <c r="U273" s="14">
        <f>+U272*(1+'SImple Return'!G272)</f>
        <v>235.72814392380513</v>
      </c>
      <c r="V273" s="14">
        <f>+V272*(1+'SImple Return'!H272)</f>
        <v>179.34597411396658</v>
      </c>
      <c r="W273" s="14">
        <f>+W272*(1+'SImple Return'!I272)</f>
        <v>305.84798237129974</v>
      </c>
      <c r="X273" s="14">
        <f>+X272*(1+'SImple Return'!J272)</f>
        <v>237.28581358100556</v>
      </c>
      <c r="Y273" s="14">
        <f>+Y272*(1+'SImple Return'!K272)</f>
        <v>312.05245264691581</v>
      </c>
      <c r="Z273" s="14">
        <f>+Z272*(1+'SImple Return'!L272)</f>
        <v>972.87168249330421</v>
      </c>
      <c r="AA273" s="14">
        <f>+AA272*(1+'SImple Return'!M272)</f>
        <v>279.51919271863892</v>
      </c>
      <c r="AB273" s="14">
        <f>+AB272*(1+'SImple Return'!N272)</f>
        <v>191.85138108042048</v>
      </c>
    </row>
    <row r="274" spans="1:28">
      <c r="A274" s="8">
        <v>39528</v>
      </c>
      <c r="B274" s="10">
        <v>1406.98</v>
      </c>
      <c r="C274" s="10">
        <v>290.48</v>
      </c>
      <c r="D274" s="10">
        <v>182.21</v>
      </c>
      <c r="E274" s="35">
        <v>2719.97</v>
      </c>
      <c r="F274" s="35">
        <v>1889.24</v>
      </c>
      <c r="G274" s="35">
        <v>2286.27</v>
      </c>
      <c r="H274" s="14">
        <v>1756.39</v>
      </c>
      <c r="I274" s="14">
        <v>2923.35</v>
      </c>
      <c r="J274" s="14">
        <v>2326</v>
      </c>
      <c r="K274" s="14">
        <v>3133.05</v>
      </c>
      <c r="L274" s="14">
        <v>10059.73</v>
      </c>
      <c r="M274" s="14">
        <v>2684.35</v>
      </c>
      <c r="N274" s="14">
        <v>1891.16</v>
      </c>
      <c r="P274" s="14">
        <f>+P273*(1+'SImple Return'!B273)</f>
        <v>172.866778882186</v>
      </c>
      <c r="Q274" s="14">
        <f>+Q273*(1+'SImple Return'!C273)</f>
        <v>135.47243727264251</v>
      </c>
      <c r="R274" s="14">
        <f>+R273*(1+'SImple Return'!D273)</f>
        <v>210.20996769727716</v>
      </c>
      <c r="S274" s="14">
        <f>+S273*(1+'SImple Return'!E273)</f>
        <v>271.41346105872327</v>
      </c>
      <c r="T274" s="14">
        <f>+T273*(1+'SImple Return'!F273)</f>
        <v>185.47418024739861</v>
      </c>
      <c r="U274" s="14">
        <f>+U273*(1+'SImple Return'!G273)</f>
        <v>224.02551590334539</v>
      </c>
      <c r="V274" s="14">
        <f>+V273*(1+'SImple Return'!H273)</f>
        <v>175.00373643673493</v>
      </c>
      <c r="W274" s="14">
        <f>+W273*(1+'SImple Return'!I273)</f>
        <v>291.48677348914674</v>
      </c>
      <c r="X274" s="14">
        <f>+X273*(1+'SImple Return'!J273)</f>
        <v>234.30810609342109</v>
      </c>
      <c r="Y274" s="14">
        <f>+Y273*(1+'SImple Return'!K273)</f>
        <v>304.32734337056809</v>
      </c>
      <c r="Z274" s="14">
        <f>+Z273*(1+'SImple Return'!L273)</f>
        <v>979.76430484538616</v>
      </c>
      <c r="AA274" s="14">
        <f>+AA273*(1+'SImple Return'!M273)</f>
        <v>265.56687772061753</v>
      </c>
      <c r="AB274" s="14">
        <f>+AB273*(1+'SImple Return'!N273)</f>
        <v>184.90931312637503</v>
      </c>
    </row>
    <row r="275" spans="1:28">
      <c r="A275" s="8">
        <v>39535</v>
      </c>
      <c r="B275" s="10">
        <v>1435.62</v>
      </c>
      <c r="C275" s="10">
        <v>289.48</v>
      </c>
      <c r="D275" s="10">
        <v>187.72</v>
      </c>
      <c r="E275" s="35">
        <v>2784.66</v>
      </c>
      <c r="F275" s="35">
        <v>1902.52</v>
      </c>
      <c r="G275" s="35">
        <v>2490.08</v>
      </c>
      <c r="H275" s="14">
        <v>1750.6</v>
      </c>
      <c r="I275" s="14">
        <v>3121.7</v>
      </c>
      <c r="J275" s="14">
        <v>2350.69</v>
      </c>
      <c r="K275" s="14">
        <v>3438.76</v>
      </c>
      <c r="L275" s="14">
        <v>10250.44</v>
      </c>
      <c r="M275" s="14">
        <v>2831.38</v>
      </c>
      <c r="N275" s="14">
        <v>1928.51</v>
      </c>
      <c r="P275" s="14">
        <f>+P274*(1+'SImple Return'!B274)</f>
        <v>176.38559545895737</v>
      </c>
      <c r="Q275" s="14">
        <f>+Q274*(1+'SImple Return'!C274)</f>
        <v>135.00606286726989</v>
      </c>
      <c r="R275" s="14">
        <f>+R274*(1+'SImple Return'!D274)</f>
        <v>216.56668204891534</v>
      </c>
      <c r="S275" s="14">
        <f>+S274*(1+'SImple Return'!E274)</f>
        <v>277.86858254752235</v>
      </c>
      <c r="T275" s="14">
        <f>+T274*(1+'SImple Return'!F274)</f>
        <v>186.77793049283352</v>
      </c>
      <c r="U275" s="14">
        <f>+U274*(1+'SImple Return'!G274)</f>
        <v>243.99631567601477</v>
      </c>
      <c r="V275" s="14">
        <f>+V274*(1+'SImple Return'!H274)</f>
        <v>174.42683060490444</v>
      </c>
      <c r="W275" s="14">
        <f>+W274*(1+'SImple Return'!I274)</f>
        <v>311.26422111655097</v>
      </c>
      <c r="X275" s="14">
        <f>+X274*(1+'SImple Return'!J274)</f>
        <v>236.79523727976957</v>
      </c>
      <c r="Y275" s="14">
        <f>+Y274*(1+'SImple Return'!K274)</f>
        <v>334.02234094220478</v>
      </c>
      <c r="Z275" s="14">
        <f>+Z274*(1+'SImple Return'!L274)</f>
        <v>998.33844655466305</v>
      </c>
      <c r="AA275" s="14">
        <f>+AA274*(1+'SImple Return'!M274)</f>
        <v>280.11278195488745</v>
      </c>
      <c r="AB275" s="14">
        <f>+AB274*(1+'SImple Return'!N274)</f>
        <v>188.56123197262286</v>
      </c>
    </row>
    <row r="276" spans="1:28">
      <c r="A276" s="8">
        <v>39542</v>
      </c>
      <c r="B276" s="10">
        <v>1492.57</v>
      </c>
      <c r="C276" s="10">
        <v>287.58999999999997</v>
      </c>
      <c r="D276" s="10">
        <v>199.1</v>
      </c>
      <c r="E276" s="35">
        <v>2852.44</v>
      </c>
      <c r="F276" s="35">
        <v>1979.45</v>
      </c>
      <c r="G276" s="35">
        <v>2585.92</v>
      </c>
      <c r="H276" s="14">
        <v>1827.9</v>
      </c>
      <c r="I276" s="14">
        <v>3157.43</v>
      </c>
      <c r="J276" s="14">
        <v>2405.9899999999998</v>
      </c>
      <c r="K276" s="14">
        <v>3599.53</v>
      </c>
      <c r="L276" s="14">
        <v>10821.2</v>
      </c>
      <c r="M276" s="14">
        <v>2927.24</v>
      </c>
      <c r="N276" s="14">
        <v>1978.14</v>
      </c>
      <c r="P276" s="14">
        <f>+P275*(1+'SImple Return'!B275)</f>
        <v>183.3826835890946</v>
      </c>
      <c r="Q276" s="14">
        <f>+Q275*(1+'SImple Return'!C275)</f>
        <v>134.12461524111558</v>
      </c>
      <c r="R276" s="14">
        <f>+R275*(1+'SImple Return'!D275)</f>
        <v>229.69543147208097</v>
      </c>
      <c r="S276" s="14">
        <f>+S275*(1+'SImple Return'!E275)</f>
        <v>284.63204111160957</v>
      </c>
      <c r="T276" s="14">
        <f>+T275*(1+'SImple Return'!F275)</f>
        <v>194.33045356371514</v>
      </c>
      <c r="U276" s="14">
        <f>+U275*(1+'SImple Return'!G275)</f>
        <v>253.38742234503312</v>
      </c>
      <c r="V276" s="14">
        <f>+V275*(1+'SImple Return'!H275)</f>
        <v>182.12887219393627</v>
      </c>
      <c r="W276" s="14">
        <f>+W275*(1+'SImple Return'!I275)</f>
        <v>314.82685385528123</v>
      </c>
      <c r="X276" s="14">
        <f>+X275*(1+'SImple Return'!J275)</f>
        <v>242.3658470248109</v>
      </c>
      <c r="Y276" s="14">
        <f>+Y275*(1+'SImple Return'!K275)</f>
        <v>349.63865954346755</v>
      </c>
      <c r="Z276" s="14">
        <f>+Z275*(1+'SImple Return'!L275)</f>
        <v>1053.9274409544682</v>
      </c>
      <c r="AA276" s="14">
        <f>+AA275*(1+'SImple Return'!M275)</f>
        <v>289.59635931935122</v>
      </c>
      <c r="AB276" s="14">
        <f>+AB275*(1+'SImple Return'!N275)</f>
        <v>193.41383524810564</v>
      </c>
    </row>
    <row r="277" spans="1:28">
      <c r="A277" s="8">
        <v>39549</v>
      </c>
      <c r="B277" s="10">
        <v>1461.42</v>
      </c>
      <c r="C277" s="10">
        <v>290.29000000000002</v>
      </c>
      <c r="D277" s="10">
        <v>193.06</v>
      </c>
      <c r="E277" s="35">
        <v>2819.56</v>
      </c>
      <c r="F277" s="35">
        <v>1943.6</v>
      </c>
      <c r="G277" s="35">
        <v>2476.4</v>
      </c>
      <c r="H277" s="14">
        <v>1809.15</v>
      </c>
      <c r="I277" s="14">
        <v>3070.02</v>
      </c>
      <c r="J277" s="14">
        <v>2346.36</v>
      </c>
      <c r="K277" s="14">
        <v>3497.17</v>
      </c>
      <c r="L277" s="14">
        <v>10438.33</v>
      </c>
      <c r="M277" s="14">
        <v>2838.13</v>
      </c>
      <c r="N277" s="14">
        <v>1956.18</v>
      </c>
      <c r="P277" s="14">
        <f>+P276*(1+'SImple Return'!B276)</f>
        <v>179.55547910702657</v>
      </c>
      <c r="Q277" s="14">
        <f>+Q276*(1+'SImple Return'!C276)</f>
        <v>135.38382613562172</v>
      </c>
      <c r="R277" s="14">
        <f>+R276*(1+'SImple Return'!D276)</f>
        <v>222.72727272727249</v>
      </c>
      <c r="S277" s="14">
        <f>+S276*(1+'SImple Return'!E276)</f>
        <v>281.35109514543683</v>
      </c>
      <c r="T277" s="14">
        <f>+T276*(1+'SImple Return'!F276)</f>
        <v>190.81091694482643</v>
      </c>
      <c r="U277" s="14">
        <f>+U276*(1+'SImple Return'!G276)</f>
        <v>242.65584886432683</v>
      </c>
      <c r="V277" s="14">
        <f>+V276*(1+'SImple Return'!H276)</f>
        <v>180.26065382660965</v>
      </c>
      <c r="W277" s="14">
        <f>+W276*(1+'SImple Return'!I276)</f>
        <v>306.11121636039138</v>
      </c>
      <c r="X277" s="14">
        <f>+X276*(1+'SImple Return'!J276)</f>
        <v>236.35905752938933</v>
      </c>
      <c r="Y277" s="14">
        <f>+Y276*(1+'SImple Return'!K276)</f>
        <v>339.69596891694982</v>
      </c>
      <c r="Z277" s="14">
        <f>+Z276*(1+'SImple Return'!L276)</f>
        <v>1016.63793523253</v>
      </c>
      <c r="AA277" s="14">
        <f>+AA276*(1+'SImple Return'!M276)</f>
        <v>280.78056984566706</v>
      </c>
      <c r="AB277" s="14">
        <f>+AB276*(1+'SImple Return'!N276)</f>
        <v>191.26668296260087</v>
      </c>
    </row>
    <row r="278" spans="1:28">
      <c r="A278" s="8">
        <v>39556</v>
      </c>
      <c r="B278" s="10">
        <v>1504.56</v>
      </c>
      <c r="C278" s="10">
        <v>286.18</v>
      </c>
      <c r="D278" s="10">
        <v>197.49</v>
      </c>
      <c r="E278" s="35">
        <v>2860.02</v>
      </c>
      <c r="F278" s="35">
        <v>2028.7</v>
      </c>
      <c r="G278" s="35">
        <v>2464.04</v>
      </c>
      <c r="H278" s="14">
        <v>1826.33</v>
      </c>
      <c r="I278" s="14">
        <v>3072.2</v>
      </c>
      <c r="J278" s="14">
        <v>2390.16</v>
      </c>
      <c r="K278" s="14">
        <v>3654.43</v>
      </c>
      <c r="L278" s="14">
        <v>11013.77</v>
      </c>
      <c r="M278" s="14">
        <v>2896.53</v>
      </c>
      <c r="N278" s="14">
        <v>2033.56</v>
      </c>
      <c r="P278" s="14">
        <f>+P277*(1+'SImple Return'!B277)</f>
        <v>184.85581943949575</v>
      </c>
      <c r="Q278" s="14">
        <f>+Q277*(1+'SImple Return'!C277)</f>
        <v>133.4670273295402</v>
      </c>
      <c r="R278" s="14">
        <f>+R277*(1+'SImple Return'!D277)</f>
        <v>227.83802491924297</v>
      </c>
      <c r="S278" s="14">
        <f>+S277*(1+'SImple Return'!E277)</f>
        <v>285.38841490794744</v>
      </c>
      <c r="T278" s="14">
        <f>+T277*(1+'SImple Return'!F277)</f>
        <v>199.16552130375047</v>
      </c>
      <c r="U278" s="14">
        <f>+U277*(1+'SImple Return'!G277)</f>
        <v>241.44472534148596</v>
      </c>
      <c r="V278" s="14">
        <f>+V277*(1+'SImple Return'!H277)</f>
        <v>181.97244004264545</v>
      </c>
      <c r="W278" s="14">
        <f>+W277*(1+'SImple Return'!I277)</f>
        <v>306.32858382108071</v>
      </c>
      <c r="X278" s="14">
        <f>+X277*(1+'SImple Return'!J277)</f>
        <v>240.77122220991029</v>
      </c>
      <c r="Y278" s="14">
        <f>+Y277*(1+'SImple Return'!K277)</f>
        <v>354.97134531325867</v>
      </c>
      <c r="Z278" s="14">
        <f>+Z277*(1+'SImple Return'!L277)</f>
        <v>1072.6827367908452</v>
      </c>
      <c r="AA278" s="14">
        <f>+AA277*(1+'SImple Return'!M277)</f>
        <v>286.55817174515261</v>
      </c>
      <c r="AB278" s="14">
        <f>+AB277*(1+'SImple Return'!N277)</f>
        <v>198.83255927646056</v>
      </c>
    </row>
    <row r="279" spans="1:28">
      <c r="A279" s="8">
        <v>39563</v>
      </c>
      <c r="B279" s="10">
        <v>1514.52</v>
      </c>
      <c r="C279" s="10">
        <v>285.24</v>
      </c>
      <c r="D279" s="10">
        <v>201.82</v>
      </c>
      <c r="E279" s="35">
        <v>2880.77</v>
      </c>
      <c r="F279" s="35">
        <v>2039.31</v>
      </c>
      <c r="G279" s="35">
        <v>2541.9</v>
      </c>
      <c r="H279" s="14">
        <v>1818.56</v>
      </c>
      <c r="I279" s="14">
        <v>3120.49</v>
      </c>
      <c r="J279" s="14">
        <v>2447.09</v>
      </c>
      <c r="K279" s="14">
        <v>3879.88</v>
      </c>
      <c r="L279" s="14">
        <v>11447.17</v>
      </c>
      <c r="M279" s="14">
        <v>2911.77</v>
      </c>
      <c r="N279" s="14">
        <v>2032.81</v>
      </c>
      <c r="P279" s="14">
        <f>+P278*(1+'SImple Return'!B278)</f>
        <v>186.07954196409918</v>
      </c>
      <c r="Q279" s="14">
        <f>+Q278*(1+'SImple Return'!C278)</f>
        <v>133.02863538848993</v>
      </c>
      <c r="R279" s="14">
        <f>+R278*(1+'SImple Return'!D278)</f>
        <v>232.83341024457749</v>
      </c>
      <c r="S279" s="14">
        <f>+S278*(1+'SImple Return'!E278)</f>
        <v>287.45896322905702</v>
      </c>
      <c r="T279" s="14">
        <f>+T278*(1+'SImple Return'!F278)</f>
        <v>200.2071470645987</v>
      </c>
      <c r="U279" s="14">
        <f>+U278*(1+'SImple Return'!G278)</f>
        <v>249.07401963666305</v>
      </c>
      <c r="V279" s="14">
        <f>+V278*(1+'SImple Return'!H278)</f>
        <v>181.19825035122531</v>
      </c>
      <c r="W279" s="14">
        <f>+W278*(1+'SImple Return'!I278)</f>
        <v>311.14357220488381</v>
      </c>
      <c r="X279" s="14">
        <f>+X278*(1+'SImple Return'!J278)</f>
        <v>246.50602895105322</v>
      </c>
      <c r="Y279" s="14">
        <f>+Y278*(1+'SImple Return'!K278)</f>
        <v>376.8703254006798</v>
      </c>
      <c r="Z279" s="14">
        <f>+Z278*(1+'SImple Return'!L278)</f>
        <v>1114.893596299002</v>
      </c>
      <c r="AA279" s="14">
        <f>+AA278*(1+'SImple Return'!M278)</f>
        <v>288.0658884052238</v>
      </c>
      <c r="AB279" s="14">
        <f>+AB278*(1+'SImple Return'!N278)</f>
        <v>198.75922757272065</v>
      </c>
    </row>
    <row r="280" spans="1:28">
      <c r="A280" s="8">
        <v>39570</v>
      </c>
      <c r="B280" s="10">
        <v>1530.19</v>
      </c>
      <c r="C280" s="10">
        <v>285.92</v>
      </c>
      <c r="D280" s="10">
        <v>206.58</v>
      </c>
      <c r="E280" s="35">
        <v>2861.16</v>
      </c>
      <c r="F280" s="35">
        <v>2059.83</v>
      </c>
      <c r="G280" s="35">
        <v>2623.61</v>
      </c>
      <c r="H280" s="14">
        <v>1834.44</v>
      </c>
      <c r="I280" s="14">
        <v>3124.5</v>
      </c>
      <c r="J280" s="14">
        <v>2423.7800000000002</v>
      </c>
      <c r="K280" s="14">
        <v>3831.99</v>
      </c>
      <c r="L280" s="14">
        <v>11552.92</v>
      </c>
      <c r="M280" s="14">
        <v>2970.84</v>
      </c>
      <c r="N280" s="14">
        <v>2043.51</v>
      </c>
      <c r="P280" s="14">
        <f>+P279*(1+'SImple Return'!B279)</f>
        <v>188.0048162573257</v>
      </c>
      <c r="Q280" s="14">
        <f>+Q279*(1+'SImple Return'!C279)</f>
        <v>133.34576998414335</v>
      </c>
      <c r="R280" s="14">
        <f>+R279*(1+'SImple Return'!D279)</f>
        <v>238.32487309644645</v>
      </c>
      <c r="S280" s="14">
        <f>+S279*(1+'SImple Return'!E279)</f>
        <v>285.50217033378186</v>
      </c>
      <c r="T280" s="14">
        <f>+T279*(1+'SImple Return'!F279)</f>
        <v>202.22167681130989</v>
      </c>
      <c r="U280" s="14">
        <f>+U279*(1+'SImple Return'!G279)</f>
        <v>257.08056519097744</v>
      </c>
      <c r="V280" s="14">
        <f>+V279*(1+'SImple Return'!H279)</f>
        <v>182.78050676045979</v>
      </c>
      <c r="W280" s="14">
        <f>+W279*(1+'SImple Return'!I279)</f>
        <v>311.54340868073905</v>
      </c>
      <c r="X280" s="14">
        <f>+X279*(1+'SImple Return'!J279)</f>
        <v>244.15791117244717</v>
      </c>
      <c r="Y280" s="14">
        <f>+Y279*(1+'SImple Return'!K279)</f>
        <v>372.21855269548308</v>
      </c>
      <c r="Z280" s="14">
        <f>+Z279*(1+'SImple Return'!L279)</f>
        <v>1125.1930849768692</v>
      </c>
      <c r="AA280" s="14">
        <f>+AA279*(1+'SImple Return'!M279)</f>
        <v>293.90977443609046</v>
      </c>
      <c r="AB280" s="14">
        <f>+AB279*(1+'SImple Return'!N279)</f>
        <v>199.8054265460768</v>
      </c>
    </row>
    <row r="281" spans="1:28">
      <c r="A281" s="8">
        <v>39577</v>
      </c>
      <c r="B281" s="10">
        <v>1513.69</v>
      </c>
      <c r="C281" s="10">
        <v>287.91000000000003</v>
      </c>
      <c r="D281" s="10">
        <v>199.61</v>
      </c>
      <c r="E281" s="35">
        <v>2823.16</v>
      </c>
      <c r="F281" s="35">
        <v>2081.44</v>
      </c>
      <c r="G281" s="35">
        <v>2547.44</v>
      </c>
      <c r="H281" s="14">
        <v>1803.52</v>
      </c>
      <c r="I281" s="14">
        <v>3030.57</v>
      </c>
      <c r="J281" s="14">
        <v>2332.6</v>
      </c>
      <c r="K281" s="14">
        <v>3603.78</v>
      </c>
      <c r="L281" s="14">
        <v>11614.31</v>
      </c>
      <c r="M281" s="14">
        <v>2936.76</v>
      </c>
      <c r="N281" s="14">
        <v>2098.96</v>
      </c>
      <c r="P281" s="14">
        <f>+P280*(1+'SImple Return'!B280)</f>
        <v>185.97756508704887</v>
      </c>
      <c r="Q281" s="14">
        <f>+Q280*(1+'SImple Return'!C280)</f>
        <v>134.2738550508349</v>
      </c>
      <c r="R281" s="14">
        <f>+R280*(1+'SImple Return'!D280)</f>
        <v>230.28380249192409</v>
      </c>
      <c r="S281" s="14">
        <f>+S280*(1+'SImple Return'!E280)</f>
        <v>281.71032280596665</v>
      </c>
      <c r="T281" s="14">
        <f>+T280*(1+'SImple Return'!F280)</f>
        <v>204.34321617906957</v>
      </c>
      <c r="U281" s="14">
        <f>+U280*(1+'SImple Return'!G280)</f>
        <v>249.61686950046064</v>
      </c>
      <c r="V281" s="14">
        <f>+V280*(1+'SImple Return'!H280)</f>
        <v>179.69969012484705</v>
      </c>
      <c r="W281" s="14">
        <f>+W280*(1+'SImple Return'!I280)</f>
        <v>302.17766300066808</v>
      </c>
      <c r="X281" s="14">
        <f>+X280*(1+'SImple Return'!J280)</f>
        <v>234.97295282610227</v>
      </c>
      <c r="Y281" s="14">
        <f>+Y280*(1+'SImple Return'!K280)</f>
        <v>350.05148130160262</v>
      </c>
      <c r="Z281" s="14">
        <f>+Z280*(1+'SImple Return'!L280)</f>
        <v>1131.1721451180915</v>
      </c>
      <c r="AA281" s="14">
        <f>+AA280*(1+'SImple Return'!M280)</f>
        <v>290.5381875741989</v>
      </c>
      <c r="AB281" s="14">
        <f>+AB280*(1+'SImple Return'!N280)</f>
        <v>205.22708384258132</v>
      </c>
    </row>
    <row r="282" spans="1:28">
      <c r="A282" s="8">
        <v>39584</v>
      </c>
      <c r="B282" s="10">
        <v>1555.61</v>
      </c>
      <c r="C282" s="10">
        <v>286.82</v>
      </c>
      <c r="D282" s="10">
        <v>204.8</v>
      </c>
      <c r="E282" s="35">
        <v>2877.31</v>
      </c>
      <c r="F282" s="35">
        <v>2123.61</v>
      </c>
      <c r="G282" s="35">
        <v>2575.54</v>
      </c>
      <c r="H282" s="14">
        <v>1836.09</v>
      </c>
      <c r="I282" s="14">
        <v>3090.65</v>
      </c>
      <c r="J282" s="14">
        <v>2362.9499999999998</v>
      </c>
      <c r="K282" s="14">
        <v>3663.34</v>
      </c>
      <c r="L282" s="14">
        <v>12065.27</v>
      </c>
      <c r="M282" s="14">
        <v>2977.97</v>
      </c>
      <c r="N282" s="14">
        <v>2131.2600000000002</v>
      </c>
      <c r="P282" s="14">
        <f>+P281*(1+'SImple Return'!B281)</f>
        <v>191.12801169662487</v>
      </c>
      <c r="Q282" s="14">
        <f>+Q281*(1+'SImple Return'!C281)</f>
        <v>133.7655069489787</v>
      </c>
      <c r="R282" s="14">
        <f>+R281*(1+'SImple Return'!D281)</f>
        <v>236.27134287032737</v>
      </c>
      <c r="S282" s="14">
        <f>+S281*(1+'SImple Return'!E281)</f>
        <v>287.11370553310331</v>
      </c>
      <c r="T282" s="14">
        <f>+T281*(1+'SImple Return'!F281)</f>
        <v>208.48321225211103</v>
      </c>
      <c r="U282" s="14">
        <f>+U281*(1+'SImple Return'!G281)</f>
        <v>252.37031375546286</v>
      </c>
      <c r="V282" s="14">
        <f>+V281*(1+'SImple Return'!H281)</f>
        <v>182.94490997678452</v>
      </c>
      <c r="W282" s="14">
        <f>+W281*(1+'SImple Return'!I281)</f>
        <v>308.1682304493923</v>
      </c>
      <c r="X282" s="14">
        <f>+X281*(1+'SImple Return'!J281)</f>
        <v>238.03024045290164</v>
      </c>
      <c r="Y282" s="14">
        <f>+Y281*(1+'SImple Return'!K281)</f>
        <v>355.83681398737235</v>
      </c>
      <c r="Z282" s="14">
        <f>+Z281*(1+'SImple Return'!L281)</f>
        <v>1175.0932554175802</v>
      </c>
      <c r="AA282" s="14">
        <f>+AA281*(1+'SImple Return'!M281)</f>
        <v>294.61515631183238</v>
      </c>
      <c r="AB282" s="14">
        <f>+AB281*(1+'SImple Return'!N281)</f>
        <v>208.38523588364711</v>
      </c>
    </row>
    <row r="283" spans="1:28">
      <c r="A283" s="8">
        <v>39591</v>
      </c>
      <c r="B283" s="10">
        <v>1517.41</v>
      </c>
      <c r="C283" s="10">
        <v>287.3</v>
      </c>
      <c r="D283" s="10">
        <v>196.55</v>
      </c>
      <c r="E283" s="35">
        <v>2905.04</v>
      </c>
      <c r="F283" s="35">
        <v>2097.4</v>
      </c>
      <c r="G283" s="35">
        <v>2526.17</v>
      </c>
      <c r="H283" s="14">
        <v>1856.87</v>
      </c>
      <c r="I283" s="14">
        <v>3007.26</v>
      </c>
      <c r="J283" s="14">
        <v>2368.58</v>
      </c>
      <c r="K283" s="14">
        <v>3559.43</v>
      </c>
      <c r="L283" s="14">
        <v>11578.86</v>
      </c>
      <c r="M283" s="14">
        <v>2984.08</v>
      </c>
      <c r="N283" s="14">
        <v>2126.2399999999998</v>
      </c>
      <c r="P283" s="14">
        <f>+P282*(1+'SImple Return'!B282)</f>
        <v>186.43461807816584</v>
      </c>
      <c r="Q283" s="14">
        <f>+Q282*(1+'SImple Return'!C282)</f>
        <v>133.98936666355758</v>
      </c>
      <c r="R283" s="14">
        <f>+R282*(1+'SImple Return'!D282)</f>
        <v>226.75357637286547</v>
      </c>
      <c r="S283" s="14">
        <f>+S282*(1+'SImple Return'!E282)</f>
        <v>289.8807563737958</v>
      </c>
      <c r="T283" s="14">
        <f>+T282*(1+'SImple Return'!F282)</f>
        <v>205.91007264873386</v>
      </c>
      <c r="U283" s="14">
        <f>+U282*(1+'SImple Return'!G282)</f>
        <v>247.53267877790199</v>
      </c>
      <c r="V283" s="14">
        <f>+V282*(1+'SImple Return'!H282)</f>
        <v>185.01539411934701</v>
      </c>
      <c r="W283" s="14">
        <f>+W282*(1+'SImple Return'!I282)</f>
        <v>299.85342652880121</v>
      </c>
      <c r="X283" s="14">
        <f>+X282*(1+'SImple Return'!J282)</f>
        <v>238.59737486274943</v>
      </c>
      <c r="Y283" s="14">
        <f>+Y282*(1+'SImple Return'!K282)</f>
        <v>345.74356483729946</v>
      </c>
      <c r="Z283" s="14">
        <f>+Z282*(1+'SImple Return'!L282)</f>
        <v>1127.7195032870713</v>
      </c>
      <c r="AA283" s="14">
        <f>+AA282*(1+'SImple Return'!M282)</f>
        <v>295.21962801741216</v>
      </c>
      <c r="AB283" s="14">
        <f>+AB282*(1+'SImple Return'!N282)</f>
        <v>207.89440234661456</v>
      </c>
    </row>
    <row r="284" spans="1:28">
      <c r="A284" s="8">
        <v>39598</v>
      </c>
      <c r="B284" s="10">
        <v>1525.73</v>
      </c>
      <c r="C284" s="10">
        <v>284.06</v>
      </c>
      <c r="D284" s="10">
        <v>197.83</v>
      </c>
      <c r="E284" s="35">
        <v>2944.11</v>
      </c>
      <c r="F284" s="35">
        <v>2127.19</v>
      </c>
      <c r="G284" s="35">
        <v>2420.79</v>
      </c>
      <c r="H284" s="14">
        <v>1881.94</v>
      </c>
      <c r="I284" s="14">
        <v>2917.12</v>
      </c>
      <c r="J284" s="14">
        <v>2463.67</v>
      </c>
      <c r="K284" s="14">
        <v>3574.37</v>
      </c>
      <c r="L284" s="14">
        <v>12048.21</v>
      </c>
      <c r="M284" s="14">
        <v>2927.19</v>
      </c>
      <c r="N284" s="14">
        <v>2128.3200000000002</v>
      </c>
      <c r="P284" s="14">
        <f>+P283*(1+'SImple Return'!B283)</f>
        <v>187.45684412281449</v>
      </c>
      <c r="Q284" s="14">
        <f>+Q283*(1+'SImple Return'!C283)</f>
        <v>132.47831359015024</v>
      </c>
      <c r="R284" s="14">
        <f>+R283*(1+'SImple Return'!D283)</f>
        <v>228.23027226580504</v>
      </c>
      <c r="S284" s="14">
        <f>+S283*(1+'SImple Return'!E283)</f>
        <v>293.77937434515735</v>
      </c>
      <c r="T284" s="14">
        <f>+T283*(1+'SImple Return'!F283)</f>
        <v>208.8346750441786</v>
      </c>
      <c r="U284" s="14">
        <f>+U283*(1+'SImple Return'!G283)</f>
        <v>237.20677288494335</v>
      </c>
      <c r="V284" s="14">
        <f>+V283*(1+'SImple Return'!H283)</f>
        <v>187.51332662435388</v>
      </c>
      <c r="W284" s="14">
        <f>+W283*(1+'SImple Return'!I283)</f>
        <v>290.86558115882781</v>
      </c>
      <c r="X284" s="14">
        <f>+X283*(1+'SImple Return'!J283)</f>
        <v>248.17620453103123</v>
      </c>
      <c r="Y284" s="14">
        <f>+Y283*(1+'SImple Return'!K283)</f>
        <v>347.19475473530821</v>
      </c>
      <c r="Z284" s="14">
        <f>+Z283*(1+'SImple Return'!L283)</f>
        <v>1173.4317019722428</v>
      </c>
      <c r="AA284" s="14">
        <f>+AA283*(1+'SImple Return'!M283)</f>
        <v>289.59141274238249</v>
      </c>
      <c r="AB284" s="14">
        <f>+AB283*(1+'SImple Return'!N283)</f>
        <v>208.09777560498665</v>
      </c>
    </row>
    <row r="285" spans="1:28">
      <c r="A285" s="8">
        <v>39605</v>
      </c>
      <c r="B285" s="10">
        <v>1496.48</v>
      </c>
      <c r="C285" s="10">
        <v>285.27999999999997</v>
      </c>
      <c r="D285" s="10">
        <v>194.48</v>
      </c>
      <c r="E285" s="35">
        <v>2869.11</v>
      </c>
      <c r="F285" s="35">
        <v>2074.11</v>
      </c>
      <c r="G285" s="35">
        <v>2406.83</v>
      </c>
      <c r="H285" s="14">
        <v>1820.85</v>
      </c>
      <c r="I285" s="14">
        <v>2850.24</v>
      </c>
      <c r="J285" s="14">
        <v>2423.96</v>
      </c>
      <c r="K285" s="14">
        <v>3537.81</v>
      </c>
      <c r="L285" s="14">
        <v>11260.76</v>
      </c>
      <c r="M285" s="14">
        <v>2860.86</v>
      </c>
      <c r="N285" s="14">
        <v>2119.19</v>
      </c>
      <c r="P285" s="14">
        <f>+P284*(1+'SImple Return'!B284)</f>
        <v>183.86308068459653</v>
      </c>
      <c r="Q285" s="14">
        <f>+Q284*(1+'SImple Return'!C284)</f>
        <v>133.04729036470485</v>
      </c>
      <c r="R285" s="14">
        <f>+R284*(1+'SImple Return'!D284)</f>
        <v>224.36548223350229</v>
      </c>
      <c r="S285" s="14">
        <f>+S284*(1+'SImple Return'!E284)</f>
        <v>286.2954647507853</v>
      </c>
      <c r="T285" s="14">
        <f>+T284*(1+'SImple Return'!F284)</f>
        <v>203.62360102100953</v>
      </c>
      <c r="U285" s="14">
        <f>+U284*(1+'SImple Return'!G284)</f>
        <v>235.83886961804544</v>
      </c>
      <c r="V285" s="14">
        <f>+V284*(1+'SImple Return'!H284)</f>
        <v>181.42642208782146</v>
      </c>
      <c r="W285" s="14">
        <f>+W284*(1+'SImple Return'!I284)</f>
        <v>284.19698676850362</v>
      </c>
      <c r="X285" s="14">
        <f>+X284*(1+'SImple Return'!J284)</f>
        <v>244.17604335606572</v>
      </c>
      <c r="Y285" s="14">
        <f>+Y284*(1+'SImple Return'!K284)</f>
        <v>343.64351627003384</v>
      </c>
      <c r="Z285" s="14">
        <f>+Z284*(1+'SImple Return'!L284)</f>
        <v>1096.7382517652791</v>
      </c>
      <c r="AA285" s="14">
        <f>+AA284*(1+'SImple Return'!M284)</f>
        <v>283.02928373565516</v>
      </c>
      <c r="AB285" s="14">
        <f>+AB284*(1+'SImple Return'!N284)</f>
        <v>207.20508433145937</v>
      </c>
    </row>
    <row r="286" spans="1:28">
      <c r="A286" s="8">
        <v>39612</v>
      </c>
      <c r="B286" s="10">
        <v>1459.95</v>
      </c>
      <c r="C286" s="10">
        <v>280.18</v>
      </c>
      <c r="D286" s="10">
        <v>184.13</v>
      </c>
      <c r="E286" s="35">
        <v>2743.88</v>
      </c>
      <c r="F286" s="35">
        <v>2090.29</v>
      </c>
      <c r="G286" s="35">
        <v>2242.21</v>
      </c>
      <c r="H286" s="14">
        <v>1801.86</v>
      </c>
      <c r="I286" s="14">
        <v>2656.76</v>
      </c>
      <c r="J286" s="14">
        <v>2390.23</v>
      </c>
      <c r="K286" s="14">
        <v>3277.64</v>
      </c>
      <c r="L286" s="14">
        <v>11550.77</v>
      </c>
      <c r="M286" s="14">
        <v>2678.83</v>
      </c>
      <c r="N286" s="14">
        <v>2094.11</v>
      </c>
      <c r="P286" s="14">
        <f>+P285*(1+'SImple Return'!B285)</f>
        <v>179.37486945731098</v>
      </c>
      <c r="Q286" s="14">
        <f>+Q285*(1+'SImple Return'!C285)</f>
        <v>130.66878089730443</v>
      </c>
      <c r="R286" s="14">
        <f>+R285*(1+'SImple Return'!D285)</f>
        <v>212.42501153668644</v>
      </c>
      <c r="S286" s="14">
        <f>+S285*(1+'SImple Return'!E285)</f>
        <v>273.79933143740908</v>
      </c>
      <c r="T286" s="14">
        <f>+T285*(1+'SImple Return'!F285)</f>
        <v>205.21205576281199</v>
      </c>
      <c r="U286" s="14">
        <f>+U285*(1+'SImple Return'!G285)</f>
        <v>219.70819370137386</v>
      </c>
      <c r="V286" s="14">
        <f>+V285*(1+'SImple Return'!H285)</f>
        <v>179.53429052539309</v>
      </c>
      <c r="W286" s="14">
        <f>+W285*(1+'SImple Return'!I285)</f>
        <v>264.9051260830982</v>
      </c>
      <c r="X286" s="14">
        <f>+X285*(1+'SImple Return'!J285)</f>
        <v>240.7782736146508</v>
      </c>
      <c r="Y286" s="14">
        <f>+Y285*(1+'SImple Return'!K285)</f>
        <v>318.37202525497798</v>
      </c>
      <c r="Z286" s="14">
        <f>+Z285*(1+'SImple Return'!L285)</f>
        <v>1124.9836863890921</v>
      </c>
      <c r="AA286" s="14">
        <f>+AA285*(1+'SImple Return'!M285)</f>
        <v>265.02077562326889</v>
      </c>
      <c r="AB286" s="14">
        <f>+AB285*(1+'SImple Return'!N285)</f>
        <v>204.75287215839654</v>
      </c>
    </row>
    <row r="287" spans="1:28">
      <c r="A287" s="8">
        <v>39619</v>
      </c>
      <c r="B287" s="10">
        <v>1430.44</v>
      </c>
      <c r="C287" s="10">
        <v>282.17</v>
      </c>
      <c r="D287" s="10">
        <v>182.27</v>
      </c>
      <c r="E287" s="35">
        <v>2709.97</v>
      </c>
      <c r="F287" s="35">
        <v>2087.64</v>
      </c>
      <c r="G287" s="35">
        <v>2117.5</v>
      </c>
      <c r="H287" s="14">
        <v>1772.95</v>
      </c>
      <c r="I287" s="14">
        <v>2573.19</v>
      </c>
      <c r="J287" s="14">
        <v>2354.19</v>
      </c>
      <c r="K287" s="14">
        <v>3291.18</v>
      </c>
      <c r="L287" s="14">
        <v>11557.93</v>
      </c>
      <c r="M287" s="14">
        <v>2561.5</v>
      </c>
      <c r="N287" s="14">
        <v>2101.0300000000002</v>
      </c>
      <c r="P287" s="14">
        <f>+P286*(1+'SImple Return'!B286)</f>
        <v>175.74916145519771</v>
      </c>
      <c r="Q287" s="14">
        <f>+Q286*(1+'SImple Return'!C286)</f>
        <v>131.59686596399598</v>
      </c>
      <c r="R287" s="14">
        <f>+R286*(1+'SImple Return'!D286)</f>
        <v>210.2791878172587</v>
      </c>
      <c r="S287" s="14">
        <f>+S286*(1+'SImple Return'!E286)</f>
        <v>270.41560644614032</v>
      </c>
      <c r="T287" s="14">
        <f>+T286*(1+'SImple Return'!F286)</f>
        <v>204.95189475751059</v>
      </c>
      <c r="U287" s="14">
        <f>+U286*(1+'SImple Return'!G286)</f>
        <v>207.48819252552576</v>
      </c>
      <c r="V287" s="14">
        <f>+V286*(1+'SImple Return'!H286)</f>
        <v>176.65374689875779</v>
      </c>
      <c r="W287" s="14">
        <f>+W286*(1+'SImple Return'!I286)</f>
        <v>256.57237439052358</v>
      </c>
      <c r="X287" s="14">
        <f>+X286*(1+'SImple Return'!J286)</f>
        <v>237.14780751679746</v>
      </c>
      <c r="Y287" s="14">
        <f>+Y286*(1+'SImple Return'!K286)</f>
        <v>319.68722680913044</v>
      </c>
      <c r="Z287" s="14">
        <f>+Z286*(1+'SImple Return'!L286)</f>
        <v>1125.6810323837356</v>
      </c>
      <c r="AA287" s="14">
        <f>+AA286*(1+'SImple Return'!M286)</f>
        <v>253.41313810842917</v>
      </c>
      <c r="AB287" s="14">
        <f>+AB286*(1+'SImple Return'!N286)</f>
        <v>205.42947934490351</v>
      </c>
    </row>
    <row r="288" spans="1:28">
      <c r="A288" s="8">
        <v>39626</v>
      </c>
      <c r="B288" s="10">
        <v>1397.59</v>
      </c>
      <c r="C288" s="10">
        <v>283.68</v>
      </c>
      <c r="D288" s="10">
        <v>173.65</v>
      </c>
      <c r="E288" s="35">
        <v>2619.58</v>
      </c>
      <c r="F288" s="35">
        <v>2043.95</v>
      </c>
      <c r="G288" s="35">
        <v>1979.17</v>
      </c>
      <c r="H288" s="14">
        <v>1715.61</v>
      </c>
      <c r="I288" s="14">
        <v>2463.39</v>
      </c>
      <c r="J288" s="14">
        <v>2261.8000000000002</v>
      </c>
      <c r="K288" s="14">
        <v>3164.88</v>
      </c>
      <c r="L288" s="14">
        <v>11015.68</v>
      </c>
      <c r="M288" s="14">
        <v>2400.37</v>
      </c>
      <c r="N288" s="14">
        <v>2099.84</v>
      </c>
      <c r="P288" s="14">
        <f>+P287*(1+'SImple Return'!B287)</f>
        <v>171.71308867073748</v>
      </c>
      <c r="Q288" s="14">
        <f>+Q287*(1+'SImple Return'!C287)</f>
        <v>132.30109131610865</v>
      </c>
      <c r="R288" s="14">
        <f>+R287*(1+'SImple Return'!D287)</f>
        <v>200.33456391324393</v>
      </c>
      <c r="S288" s="14">
        <f>+S287*(1+'SImple Return'!E287)</f>
        <v>261.39599860300308</v>
      </c>
      <c r="T288" s="14">
        <f>+T287*(1+'SImple Return'!F287)</f>
        <v>200.66267425878684</v>
      </c>
      <c r="U288" s="14">
        <f>+U287*(1+'SImple Return'!G287)</f>
        <v>193.9336037783919</v>
      </c>
      <c r="V288" s="14">
        <f>+V287*(1+'SImple Return'!H287)</f>
        <v>170.9404860356907</v>
      </c>
      <c r="W288" s="14">
        <f>+W287*(1+'SImple Return'!I287)</f>
        <v>245.62423348057152</v>
      </c>
      <c r="X288" s="14">
        <f>+X287*(1+'SImple Return'!J287)</f>
        <v>227.84096060279438</v>
      </c>
      <c r="Y288" s="14">
        <f>+Y287*(1+'SImple Return'!K287)</f>
        <v>307.41913550267105</v>
      </c>
      <c r="Z288" s="14">
        <f>+Z287*(1+'SImple Return'!L287)</f>
        <v>1072.868760652545</v>
      </c>
      <c r="AA288" s="14">
        <f>+AA287*(1+'SImple Return'!M287)</f>
        <v>237.47229916897524</v>
      </c>
      <c r="AB288" s="14">
        <f>+AB287*(1+'SImple Return'!N287)</f>
        <v>205.3131263749695</v>
      </c>
    </row>
    <row r="289" spans="1:28">
      <c r="A289" s="8">
        <v>39633</v>
      </c>
      <c r="B289" s="10">
        <v>1367.04</v>
      </c>
      <c r="C289" s="10">
        <v>283.91000000000003</v>
      </c>
      <c r="D289" s="10">
        <v>169.62</v>
      </c>
      <c r="E289" s="35">
        <v>2540.5500000000002</v>
      </c>
      <c r="F289" s="35">
        <v>2001.18</v>
      </c>
      <c r="G289" s="35">
        <v>2019.05</v>
      </c>
      <c r="H289" s="14">
        <v>1709.79</v>
      </c>
      <c r="I289" s="14">
        <v>2419.85</v>
      </c>
      <c r="J289" s="14">
        <v>2249.9</v>
      </c>
      <c r="K289" s="14">
        <v>2955.43</v>
      </c>
      <c r="L289" s="14">
        <v>10574.36</v>
      </c>
      <c r="M289" s="14">
        <v>2314.37</v>
      </c>
      <c r="N289" s="14">
        <v>2062.21</v>
      </c>
      <c r="P289" s="14">
        <f>+P288*(1+'SImple Return'!B288)</f>
        <v>167.95960241304314</v>
      </c>
      <c r="Q289" s="14">
        <f>+Q288*(1+'SImple Return'!C288)</f>
        <v>132.40835742934436</v>
      </c>
      <c r="R289" s="14">
        <f>+R288*(1+'SImple Return'!D288)</f>
        <v>195.68527918781706</v>
      </c>
      <c r="S289" s="14">
        <f>+S288*(1+'SImple Return'!E288)</f>
        <v>253.50995359976008</v>
      </c>
      <c r="T289" s="14">
        <f>+T288*(1+'SImple Return'!F288)</f>
        <v>196.46377380718658</v>
      </c>
      <c r="U289" s="14">
        <f>+U288*(1+'SImple Return'!G288)</f>
        <v>197.84133889901432</v>
      </c>
      <c r="V289" s="14">
        <f>+V288*(1+'SImple Return'!H288)</f>
        <v>170.36059105447251</v>
      </c>
      <c r="W289" s="14">
        <f>+W288*(1+'SImple Return'!I288)</f>
        <v>241.28286685744482</v>
      </c>
      <c r="X289" s="14">
        <f>+X288*(1+'SImple Return'!J288)</f>
        <v>226.64222179689941</v>
      </c>
      <c r="Y289" s="14">
        <f>+Y288*(1+'SImple Return'!K288)</f>
        <v>287.07430791646414</v>
      </c>
      <c r="Z289" s="14">
        <f>+Z288*(1+'SImple Return'!L288)</f>
        <v>1029.8865351838331</v>
      </c>
      <c r="AA289" s="14">
        <f>+AA288*(1+'SImple Return'!M288)</f>
        <v>228.96418678274651</v>
      </c>
      <c r="AB289" s="14">
        <f>+AB288*(1+'SImple Return'!N288)</f>
        <v>201.6338303593254</v>
      </c>
    </row>
    <row r="290" spans="1:28">
      <c r="A290" s="8">
        <v>39640</v>
      </c>
      <c r="B290" s="10">
        <v>1345.47</v>
      </c>
      <c r="C290" s="10">
        <v>286.27999999999997</v>
      </c>
      <c r="D290" s="10">
        <v>167.53</v>
      </c>
      <c r="E290" s="35">
        <v>2483.73</v>
      </c>
      <c r="F290" s="35">
        <v>1999.28</v>
      </c>
      <c r="G290" s="35">
        <v>2104.1999999999998</v>
      </c>
      <c r="H290" s="14">
        <v>1708.74</v>
      </c>
      <c r="I290" s="14">
        <v>2385.5</v>
      </c>
      <c r="J290" s="14">
        <v>2227.9</v>
      </c>
      <c r="K290" s="14">
        <v>2981.05</v>
      </c>
      <c r="L290" s="14">
        <v>10560.99</v>
      </c>
      <c r="M290" s="14">
        <v>2278.63</v>
      </c>
      <c r="N290" s="14">
        <v>2053.5100000000002</v>
      </c>
      <c r="P290" s="14">
        <f>+P289*(1+'SImple Return'!B289)</f>
        <v>165.30943224680854</v>
      </c>
      <c r="Q290" s="14">
        <f>+Q289*(1+'SImple Return'!C289)</f>
        <v>133.51366477007747</v>
      </c>
      <c r="R290" s="14">
        <f>+R289*(1+'SImple Return'!D289)</f>
        <v>193.2741116751267</v>
      </c>
      <c r="S290" s="14">
        <f>+S289*(1+'SImple Return'!E289)</f>
        <v>247.84014369106379</v>
      </c>
      <c r="T290" s="14">
        <f>+T289*(1+'SImple Return'!F289)</f>
        <v>196.27724327508369</v>
      </c>
      <c r="U290" s="14">
        <f>+U289*(1+'SImple Return'!G289)</f>
        <v>206.18496090305138</v>
      </c>
      <c r="V290" s="14">
        <f>+V289*(1+'SImple Return'!H289)</f>
        <v>170.25597082590224</v>
      </c>
      <c r="W290" s="14">
        <f>+W289*(1+'SImple Return'!I289)</f>
        <v>237.85783370392159</v>
      </c>
      <c r="X290" s="14">
        <f>+X289*(1+'SImple Return'!J289)</f>
        <v>224.42606602129524</v>
      </c>
      <c r="Y290" s="14">
        <f>+Y289*(1+'SImple Return'!K289)</f>
        <v>289.56289460903344</v>
      </c>
      <c r="Z290" s="14">
        <f>+Z289*(1+'SImple Return'!L289)</f>
        <v>1028.5843681519361</v>
      </c>
      <c r="AA290" s="14">
        <f>+AA289*(1+'SImple Return'!M289)</f>
        <v>225.42837356549285</v>
      </c>
      <c r="AB290" s="14">
        <f>+AB289*(1+'SImple Return'!N289)</f>
        <v>200.78318259594238</v>
      </c>
    </row>
    <row r="291" spans="1:28">
      <c r="A291" s="8">
        <v>39647</v>
      </c>
      <c r="B291" s="10">
        <v>1362.52</v>
      </c>
      <c r="C291" s="10">
        <v>282.37</v>
      </c>
      <c r="D291" s="10">
        <v>168.84</v>
      </c>
      <c r="E291" s="35">
        <v>2558.02</v>
      </c>
      <c r="F291" s="35">
        <v>1957.59</v>
      </c>
      <c r="G291" s="35">
        <v>2044.98</v>
      </c>
      <c r="H291" s="14">
        <v>1719.43</v>
      </c>
      <c r="I291" s="14">
        <v>2398.89</v>
      </c>
      <c r="J291" s="14">
        <v>2287.7600000000002</v>
      </c>
      <c r="K291" s="14">
        <v>2940.15</v>
      </c>
      <c r="L291" s="14">
        <v>10507.28</v>
      </c>
      <c r="M291" s="14">
        <v>2293.5300000000002</v>
      </c>
      <c r="N291" s="14">
        <v>2005</v>
      </c>
      <c r="P291" s="14">
        <f>+P290*(1+'SImple Return'!B290)</f>
        <v>167.40425845609457</v>
      </c>
      <c r="Q291" s="14">
        <f>+Q290*(1+'SImple Return'!C290)</f>
        <v>131.69014084507049</v>
      </c>
      <c r="R291" s="14">
        <f>+R290*(1+'SImple Return'!D290)</f>
        <v>194.78541762805705</v>
      </c>
      <c r="S291" s="14">
        <f>+S290*(1+'SImple Return'!E290)</f>
        <v>255.2532056079425</v>
      </c>
      <c r="T291" s="14">
        <f>+T290*(1+'SImple Return'!F290)</f>
        <v>192.18437070488929</v>
      </c>
      <c r="U291" s="14">
        <f>+U290*(1+'SImple Return'!G290)</f>
        <v>200.38215062613918</v>
      </c>
      <c r="V291" s="14">
        <f>+V290*(1+'SImple Return'!H290)</f>
        <v>171.32110439106074</v>
      </c>
      <c r="W291" s="14">
        <f>+W290*(1+'SImple Return'!I290)</f>
        <v>239.19294851980737</v>
      </c>
      <c r="X291" s="14">
        <f>+X290*(1+'SImple Return'!J290)</f>
        <v>230.45602441800727</v>
      </c>
      <c r="Y291" s="14">
        <f>+Y290*(1+'SImple Return'!K290)</f>
        <v>285.59009227780467</v>
      </c>
      <c r="Z291" s="14">
        <f>+Z290*(1+'SImple Return'!L290)</f>
        <v>1023.3532992451916</v>
      </c>
      <c r="AA291" s="14">
        <f>+AA290*(1+'SImple Return'!M290)</f>
        <v>226.90245350217666</v>
      </c>
      <c r="AB291" s="14">
        <f>+AB290*(1+'SImple Return'!N290)</f>
        <v>196.04008799804453</v>
      </c>
    </row>
    <row r="292" spans="1:28">
      <c r="A292" s="8">
        <v>39654</v>
      </c>
      <c r="B292" s="10">
        <v>1360.69</v>
      </c>
      <c r="C292" s="10">
        <v>281.94</v>
      </c>
      <c r="D292" s="10">
        <v>174.31</v>
      </c>
      <c r="E292" s="35">
        <v>2571.63</v>
      </c>
      <c r="F292" s="35">
        <v>1986.99</v>
      </c>
      <c r="G292" s="35">
        <v>2213.4499999999998</v>
      </c>
      <c r="H292" s="14">
        <v>1724.04</v>
      </c>
      <c r="I292" s="14">
        <v>2492.71</v>
      </c>
      <c r="J292" s="14">
        <v>2336.63</v>
      </c>
      <c r="K292" s="14">
        <v>3074.44</v>
      </c>
      <c r="L292" s="14">
        <v>10923.65</v>
      </c>
      <c r="M292" s="14">
        <v>2419.13</v>
      </c>
      <c r="N292" s="14">
        <v>2018.35</v>
      </c>
      <c r="P292" s="14">
        <f>+P291*(1+'SImple Return'!B291)</f>
        <v>167.17941787175479</v>
      </c>
      <c r="Q292" s="14">
        <f>+Q291*(1+'SImple Return'!C291)</f>
        <v>131.48959985076027</v>
      </c>
      <c r="R292" s="14">
        <f>+R291*(1+'SImple Return'!D291)</f>
        <v>201.09598523304086</v>
      </c>
      <c r="S292" s="14">
        <f>+S291*(1+'SImple Return'!E291)</f>
        <v>256.61128573566793</v>
      </c>
      <c r="T292" s="14">
        <f>+T291*(1+'SImple Return'!F291)</f>
        <v>195.07068525427081</v>
      </c>
      <c r="U292" s="14">
        <f>+U291*(1+'SImple Return'!G291)</f>
        <v>216.89007780194802</v>
      </c>
      <c r="V292" s="14">
        <f>+V291*(1+'SImple Return'!H291)</f>
        <v>171.78043701364078</v>
      </c>
      <c r="W292" s="14">
        <f>+W291*(1+'SImple Return'!I291)</f>
        <v>248.54772611699954</v>
      </c>
      <c r="X292" s="14">
        <f>+X291*(1+'SImple Return'!J291)</f>
        <v>235.37891227045156</v>
      </c>
      <c r="Y292" s="14">
        <f>+Y291*(1+'SImple Return'!K291)</f>
        <v>298.63428848955795</v>
      </c>
      <c r="Z292" s="14">
        <f>+Z291*(1+'SImple Return'!L291)</f>
        <v>1063.9055271487707</v>
      </c>
      <c r="AA292" s="14">
        <f>+AA291*(1+'SImple Return'!M291)</f>
        <v>239.32825484764558</v>
      </c>
      <c r="AB292" s="14">
        <f>+AB291*(1+'SImple Return'!N291)</f>
        <v>197.34539232461503</v>
      </c>
    </row>
    <row r="293" spans="1:28">
      <c r="A293" s="8">
        <v>39661</v>
      </c>
      <c r="B293" s="10">
        <v>1351.91</v>
      </c>
      <c r="C293" s="10">
        <v>283.89999999999998</v>
      </c>
      <c r="D293" s="10">
        <v>173.08</v>
      </c>
      <c r="E293" s="35">
        <v>2484.9299999999998</v>
      </c>
      <c r="F293" s="35">
        <v>2004.78</v>
      </c>
      <c r="G293" s="35">
        <v>2110.2199999999998</v>
      </c>
      <c r="H293" s="14">
        <v>1692.11</v>
      </c>
      <c r="I293" s="14">
        <v>2457.4699999999998</v>
      </c>
      <c r="J293" s="14">
        <v>2290.2600000000002</v>
      </c>
      <c r="K293" s="14">
        <v>2909.41</v>
      </c>
      <c r="L293" s="14">
        <v>10953.76</v>
      </c>
      <c r="M293" s="14">
        <v>2282.71</v>
      </c>
      <c r="N293" s="14">
        <v>2029.2</v>
      </c>
      <c r="P293" s="14">
        <f>+P292*(1+'SImple Return'!B292)</f>
        <v>166.10067452175295</v>
      </c>
      <c r="Q293" s="14">
        <f>+Q292*(1+'SImple Return'!C292)</f>
        <v>132.40369368529065</v>
      </c>
      <c r="R293" s="14">
        <f>+R292*(1+'SImple Return'!D292)</f>
        <v>199.67697277341927</v>
      </c>
      <c r="S293" s="14">
        <f>+S292*(1+'SImple Return'!E292)</f>
        <v>247.95988624457377</v>
      </c>
      <c r="T293" s="14">
        <f>+T292*(1+'SImple Return'!F292)</f>
        <v>196.8172000785394</v>
      </c>
      <c r="U293" s="14">
        <f>+U292*(1+'SImple Return'!G292)</f>
        <v>206.77484469006609</v>
      </c>
      <c r="V293" s="14">
        <f>+V292*(1+'SImple Return'!H292)</f>
        <v>168.59898568197471</v>
      </c>
      <c r="W293" s="14">
        <f>+W292*(1+'SImple Return'!I292)</f>
        <v>245.03395120200216</v>
      </c>
      <c r="X293" s="14">
        <f>+X292*(1+'SImple Return'!J292)</f>
        <v>230.70786030159863</v>
      </c>
      <c r="Y293" s="14">
        <f>+Y292*(1+'SImple Return'!K292)</f>
        <v>282.60417678484691</v>
      </c>
      <c r="Z293" s="14">
        <f>+Z292*(1+'SImple Return'!L292)</f>
        <v>1066.8380813245681</v>
      </c>
      <c r="AA293" s="14">
        <f>+AA292*(1+'SImple Return'!M292)</f>
        <v>225.83201424614182</v>
      </c>
      <c r="AB293" s="14">
        <f>+AB292*(1+'SImple Return'!N292)</f>
        <v>198.40625763871918</v>
      </c>
    </row>
    <row r="294" spans="1:28">
      <c r="A294" s="8">
        <v>39668</v>
      </c>
      <c r="B294" s="10">
        <v>1357.83</v>
      </c>
      <c r="C294" s="10">
        <v>283.51</v>
      </c>
      <c r="D294" s="10">
        <v>172.41</v>
      </c>
      <c r="E294" s="35">
        <v>2485.52</v>
      </c>
      <c r="F294" s="35">
        <v>2013.24</v>
      </c>
      <c r="G294" s="35">
        <v>2104.19</v>
      </c>
      <c r="H294" s="14">
        <v>1729.23</v>
      </c>
      <c r="I294" s="14">
        <v>2498.9699999999998</v>
      </c>
      <c r="J294" s="14">
        <v>2297.33</v>
      </c>
      <c r="K294" s="14">
        <v>2859.07</v>
      </c>
      <c r="L294" s="14">
        <v>10953.05</v>
      </c>
      <c r="M294" s="14">
        <v>2291.06</v>
      </c>
      <c r="N294" s="14">
        <v>1989.99</v>
      </c>
      <c r="P294" s="14">
        <f>+P293*(1+'SImple Return'!B293)</f>
        <v>166.82802766890677</v>
      </c>
      <c r="Q294" s="14">
        <f>+Q293*(1+'SImple Return'!C293)</f>
        <v>132.22180766719532</v>
      </c>
      <c r="R294" s="14">
        <f>+R293*(1+'SImple Return'!D293)</f>
        <v>198.90401476695871</v>
      </c>
      <c r="S294" s="14">
        <f>+S293*(1+'SImple Return'!E293)</f>
        <v>248.01875966671616</v>
      </c>
      <c r="T294" s="14">
        <f>+T293*(1+'SImple Return'!F293)</f>
        <v>197.64775181621857</v>
      </c>
      <c r="U294" s="14">
        <f>+U293*(1+'SImple Return'!G293)</f>
        <v>206.18398102965105</v>
      </c>
      <c r="V294" s="14">
        <f>+V293*(1+'SImple Return'!H293)</f>
        <v>172.29755985771678</v>
      </c>
      <c r="W294" s="14">
        <f>+W293*(1+'SImple Return'!I293)</f>
        <v>249.17190974264884</v>
      </c>
      <c r="X294" s="14">
        <f>+X293*(1+'SImple Return'!J293)</f>
        <v>231.420052180395</v>
      </c>
      <c r="Y294" s="14">
        <f>+Y293*(1+'SImple Return'!K293)</f>
        <v>277.71442447790179</v>
      </c>
      <c r="Z294" s="14">
        <f>+Z293*(1+'SImple Return'!L293)</f>
        <v>1066.7689310932556</v>
      </c>
      <c r="AA294" s="14">
        <f>+AA293*(1+'SImple Return'!M293)</f>
        <v>226.65809259992099</v>
      </c>
      <c r="AB294" s="14">
        <f>+AB293*(1+'SImple Return'!N293)</f>
        <v>194.57247616719633</v>
      </c>
    </row>
    <row r="295" spans="1:28">
      <c r="A295" s="8">
        <v>39675</v>
      </c>
      <c r="B295" s="10">
        <v>1342.96</v>
      </c>
      <c r="C295" s="10">
        <v>282.57</v>
      </c>
      <c r="D295" s="10">
        <v>168.84</v>
      </c>
      <c r="E295" s="35">
        <v>2464.12</v>
      </c>
      <c r="F295" s="35">
        <v>2004.71</v>
      </c>
      <c r="G295" s="35">
        <v>2025.57</v>
      </c>
      <c r="H295" s="14">
        <v>1720.08</v>
      </c>
      <c r="I295" s="14">
        <v>2381.17</v>
      </c>
      <c r="J295" s="14">
        <v>2261.44</v>
      </c>
      <c r="K295" s="14">
        <v>2874.69</v>
      </c>
      <c r="L295" s="14">
        <v>11047.56</v>
      </c>
      <c r="M295" s="14">
        <v>2244.81</v>
      </c>
      <c r="N295" s="14">
        <v>1973.53</v>
      </c>
      <c r="P295" s="14">
        <f>+P294*(1+'SImple Return'!B294)</f>
        <v>165.00104434151186</v>
      </c>
      <c r="Q295" s="14">
        <f>+Q294*(1+'SImple Return'!C294)</f>
        <v>131.78341572614505</v>
      </c>
      <c r="R295" s="14">
        <f>+R294*(1+'SImple Return'!D294)</f>
        <v>194.78541762805702</v>
      </c>
      <c r="S295" s="14">
        <f>+S294*(1+'SImple Return'!E294)</f>
        <v>245.88335079578866</v>
      </c>
      <c r="T295" s="14">
        <f>+T294*(1+'SImple Return'!F294)</f>
        <v>196.81032790104089</v>
      </c>
      <c r="U295" s="14">
        <f>+U294*(1+'SImple Return'!G294)</f>
        <v>198.48021635604687</v>
      </c>
      <c r="V295" s="14">
        <f>+V294*(1+'SImple Return'!H294)</f>
        <v>171.38586929446137</v>
      </c>
      <c r="W295" s="14">
        <f>+W294*(1+'SImple Return'!I294)</f>
        <v>237.42609007787337</v>
      </c>
      <c r="X295" s="14">
        <f>+X294*(1+'SImple Return'!J294)</f>
        <v>227.80469623555715</v>
      </c>
      <c r="Y295" s="14">
        <f>+Y294*(1+'SImple Return'!K294)</f>
        <v>279.23166585721208</v>
      </c>
      <c r="Z295" s="14">
        <f>+Z294*(1+'SImple Return'!L294)</f>
        <v>1075.9737034331631</v>
      </c>
      <c r="AA295" s="14">
        <f>+AA294*(1+'SImple Return'!M294)</f>
        <v>222.08250890383869</v>
      </c>
      <c r="AB295" s="14">
        <f>+AB294*(1+'SImple Return'!N294)</f>
        <v>192.96308970911761</v>
      </c>
    </row>
    <row r="296" spans="1:28">
      <c r="A296" s="8">
        <v>39682</v>
      </c>
      <c r="B296" s="10">
        <v>1337.53</v>
      </c>
      <c r="C296" s="10">
        <v>283.11</v>
      </c>
      <c r="D296" s="10">
        <v>164.93</v>
      </c>
      <c r="E296" s="35">
        <v>2478.86</v>
      </c>
      <c r="F296" s="35">
        <v>2013.84</v>
      </c>
      <c r="G296" s="35">
        <v>1908.83</v>
      </c>
      <c r="H296" s="14">
        <v>1749.65</v>
      </c>
      <c r="I296" s="14">
        <v>2415.31</v>
      </c>
      <c r="J296" s="14">
        <v>2284.86</v>
      </c>
      <c r="K296" s="14">
        <v>2836.72</v>
      </c>
      <c r="L296" s="14">
        <v>10745.83</v>
      </c>
      <c r="M296" s="14">
        <v>2133.8000000000002</v>
      </c>
      <c r="N296" s="14">
        <v>1998.02</v>
      </c>
      <c r="P296" s="14">
        <f>+P295*(1+'SImple Return'!B295)</f>
        <v>164.33389441092984</v>
      </c>
      <c r="Q296" s="14">
        <f>+Q295*(1+'SImple Return'!C295)</f>
        <v>132.03525790504628</v>
      </c>
      <c r="R296" s="14">
        <f>+R295*(1+'SImple Return'!D295)</f>
        <v>190.27457314259325</v>
      </c>
      <c r="S296" s="14">
        <f>+S295*(1+'SImple Return'!E295)</f>
        <v>247.35418849473595</v>
      </c>
      <c r="T296" s="14">
        <f>+T295*(1+'SImple Return'!F295)</f>
        <v>197.70665619477737</v>
      </c>
      <c r="U296" s="14">
        <f>+U295*(1+'SImple Return'!G295)</f>
        <v>187.04117428028306</v>
      </c>
      <c r="V296" s="14">
        <f>+V295*(1+'SImple Return'!H295)</f>
        <v>174.33217420762662</v>
      </c>
      <c r="W296" s="14">
        <f>+W295*(1+'SImple Return'!I295)</f>
        <v>240.83018416408248</v>
      </c>
      <c r="X296" s="14">
        <f>+X295*(1+'SImple Return'!J295)</f>
        <v>230.16389479304124</v>
      </c>
      <c r="Y296" s="14">
        <f>+Y295*(1+'SImple Return'!K295)</f>
        <v>275.54346770276811</v>
      </c>
      <c r="Z296" s="14">
        <f>+Z295*(1+'SImple Return'!L295)</f>
        <v>1046.5868030192357</v>
      </c>
      <c r="AA296" s="14">
        <f>+AA295*(1+'SImple Return'!M295)</f>
        <v>211.10011871784741</v>
      </c>
      <c r="AB296" s="14">
        <f>+AB295*(1+'SImple Return'!N295)</f>
        <v>195.35761427523838</v>
      </c>
    </row>
    <row r="297" spans="1:28">
      <c r="A297" s="8">
        <v>39689</v>
      </c>
      <c r="B297" s="10">
        <v>1344.86</v>
      </c>
      <c r="C297" s="10">
        <v>284.27</v>
      </c>
      <c r="D297" s="10">
        <v>169.32</v>
      </c>
      <c r="E297" s="35">
        <v>2452.7199999999998</v>
      </c>
      <c r="F297" s="35">
        <v>2023.22</v>
      </c>
      <c r="G297" s="35">
        <v>1950.82</v>
      </c>
      <c r="H297" s="14">
        <v>1724.98</v>
      </c>
      <c r="I297" s="14">
        <v>2486.11</v>
      </c>
      <c r="J297" s="14">
        <v>2209.96</v>
      </c>
      <c r="K297" s="14">
        <v>2925.08</v>
      </c>
      <c r="L297" s="14">
        <v>10815.57</v>
      </c>
      <c r="M297" s="14">
        <v>2148.56</v>
      </c>
      <c r="N297" s="14">
        <v>2020.83</v>
      </c>
      <c r="P297" s="14">
        <f>+P296*(1+'SImple Return'!B296)</f>
        <v>165.23448538536189</v>
      </c>
      <c r="Q297" s="14">
        <f>+Q296*(1+'SImple Return'!C296)</f>
        <v>132.57625221527852</v>
      </c>
      <c r="R297" s="14">
        <f>+R296*(1+'SImple Return'!D296)</f>
        <v>195.33917858790934</v>
      </c>
      <c r="S297" s="14">
        <f>+S296*(1+'SImple Return'!E296)</f>
        <v>244.74579653744411</v>
      </c>
      <c r="T297" s="14">
        <f>+T296*(1+'SImple Return'!F296)</f>
        <v>198.62752797958004</v>
      </c>
      <c r="U297" s="14">
        <f>+U296*(1+'SImple Return'!G296)</f>
        <v>191.15566268838074</v>
      </c>
      <c r="V297" s="14">
        <f>+V296*(1+'SImple Return'!H296)</f>
        <v>171.87409702778942</v>
      </c>
      <c r="W297" s="14">
        <f>+W296*(1+'SImple Return'!I296)</f>
        <v>247.88964114427012</v>
      </c>
      <c r="X297" s="14">
        <f>+X296*(1+'SImple Return'!J296)</f>
        <v>222.61889172064343</v>
      </c>
      <c r="Y297" s="14">
        <f>+Y296*(1+'SImple Return'!K296)</f>
        <v>284.12627489072344</v>
      </c>
      <c r="Z297" s="14">
        <f>+Z296*(1+'SImple Return'!L296)</f>
        <v>1053.3791088385685</v>
      </c>
      <c r="AA297" s="14">
        <f>+AA296*(1+'SImple Return'!M296)</f>
        <v>212.56034823901871</v>
      </c>
      <c r="AB297" s="14">
        <f>+AB296*(1+'SImple Return'!N296)</f>
        <v>197.58787582498169</v>
      </c>
    </row>
    <row r="298" spans="1:28">
      <c r="A298" s="8">
        <v>39696</v>
      </c>
      <c r="B298" s="10">
        <v>1269.1300000000001</v>
      </c>
      <c r="C298" s="10">
        <v>285.24</v>
      </c>
      <c r="D298" s="10">
        <v>161.72999999999999</v>
      </c>
      <c r="E298" s="35">
        <v>2270.62</v>
      </c>
      <c r="F298" s="35">
        <v>1921.92</v>
      </c>
      <c r="G298" s="35">
        <v>1809.08</v>
      </c>
      <c r="H298" s="14">
        <v>1628.3</v>
      </c>
      <c r="I298" s="14">
        <v>2321.56</v>
      </c>
      <c r="J298" s="14">
        <v>2034.5</v>
      </c>
      <c r="K298" s="14">
        <v>2733.93</v>
      </c>
      <c r="L298" s="14">
        <v>10120.56</v>
      </c>
      <c r="M298" s="14">
        <v>2003.82</v>
      </c>
      <c r="N298" s="14">
        <v>1908.15</v>
      </c>
      <c r="P298" s="14">
        <f>+P297*(1+'SImple Return'!B297)</f>
        <v>155.93001683232779</v>
      </c>
      <c r="Q298" s="14">
        <f>+Q297*(1+'SImple Return'!C297)</f>
        <v>133.02863538848999</v>
      </c>
      <c r="R298" s="14">
        <f>+R297*(1+'SImple Return'!D297)</f>
        <v>186.58283341024438</v>
      </c>
      <c r="S298" s="14">
        <f>+S297*(1+'SImple Return'!E297)</f>
        <v>226.57486404230869</v>
      </c>
      <c r="T298" s="14">
        <f>+T297*(1+'SImple Return'!F297)</f>
        <v>188.68250539956827</v>
      </c>
      <c r="U298" s="14">
        <f>+U297*(1+'SImple Return'!G297)</f>
        <v>177.26693711172524</v>
      </c>
      <c r="V298" s="14">
        <f>+V297*(1+'SImple Return'!H297)</f>
        <v>162.2410649342888</v>
      </c>
      <c r="W298" s="14">
        <f>+W297*(1+'SImple Return'!I297)</f>
        <v>231.48238625599498</v>
      </c>
      <c r="X298" s="14">
        <f>+X297*(1+'SImple Return'!J297)</f>
        <v>204.94404206666596</v>
      </c>
      <c r="Y298" s="14">
        <f>+Y297*(1+'SImple Return'!K297)</f>
        <v>265.55900922778022</v>
      </c>
      <c r="Z298" s="14">
        <f>+Z297*(1+'SImple Return'!L297)</f>
        <v>985.68882395909441</v>
      </c>
      <c r="AA298" s="14">
        <f>+AA297*(1+'SImple Return'!M297)</f>
        <v>198.24099722991699</v>
      </c>
      <c r="AB298" s="14">
        <f>+AB297*(1+'SImple Return'!N297)</f>
        <v>186.5705206550966</v>
      </c>
    </row>
    <row r="299" spans="1:28">
      <c r="A299" s="8">
        <v>39703</v>
      </c>
      <c r="B299" s="10">
        <v>1283.1400000000001</v>
      </c>
      <c r="C299" s="10">
        <v>284.44</v>
      </c>
      <c r="D299" s="10">
        <v>168.27</v>
      </c>
      <c r="E299" s="35">
        <v>2320.86</v>
      </c>
      <c r="F299" s="35">
        <v>1948.39</v>
      </c>
      <c r="G299" s="35">
        <v>1826.59</v>
      </c>
      <c r="H299" s="14">
        <v>1696.9</v>
      </c>
      <c r="I299" s="14">
        <v>2314.23</v>
      </c>
      <c r="J299" s="14">
        <v>2079.9</v>
      </c>
      <c r="K299" s="14">
        <v>2582.96</v>
      </c>
      <c r="L299" s="14">
        <v>10094.02</v>
      </c>
      <c r="M299" s="14">
        <v>2045.55</v>
      </c>
      <c r="N299" s="14">
        <v>1907.92</v>
      </c>
      <c r="P299" s="14">
        <f>+P298*(1+'SImple Return'!B298)</f>
        <v>157.65133737145374</v>
      </c>
      <c r="Q299" s="14">
        <f>+Q298*(1+'SImple Return'!C298)</f>
        <v>132.65553586419188</v>
      </c>
      <c r="R299" s="14">
        <f>+R298*(1+'SImple Return'!D298)</f>
        <v>194.12782648823239</v>
      </c>
      <c r="S299" s="14">
        <f>+S298*(1+'SImple Return'!E298)</f>
        <v>231.58808561592542</v>
      </c>
      <c r="T299" s="14">
        <f>+T298*(1+'SImple Return'!F298)</f>
        <v>191.28117023365428</v>
      </c>
      <c r="U299" s="14">
        <f>+U298*(1+'SImple Return'!G298)</f>
        <v>178.9826954357498</v>
      </c>
      <c r="V299" s="14">
        <f>+V298*(1+'SImple Return'!H298)</f>
        <v>169.0762532008811</v>
      </c>
      <c r="W299" s="14">
        <f>+W298*(1+'SImple Return'!I298)</f>
        <v>230.75151309688798</v>
      </c>
      <c r="X299" s="14">
        <f>+X298*(1+'SImple Return'!J298)</f>
        <v>209.51738171268542</v>
      </c>
      <c r="Y299" s="14">
        <f>+Y298*(1+'SImple Return'!K298)</f>
        <v>250.89460903351119</v>
      </c>
      <c r="Z299" s="14">
        <f>+Z298*(1+'SImple Return'!L298)</f>
        <v>983.10396883369879</v>
      </c>
      <c r="AA299" s="14">
        <f>+AA298*(1+'SImple Return'!M298)</f>
        <v>202.36941036802543</v>
      </c>
      <c r="AB299" s="14">
        <f>+AB298*(1+'SImple Return'!N298)</f>
        <v>186.5480322659497</v>
      </c>
    </row>
    <row r="300" spans="1:28">
      <c r="A300" s="8">
        <v>39710</v>
      </c>
      <c r="B300" s="10">
        <v>1286.44</v>
      </c>
      <c r="C300" s="10">
        <v>281.5</v>
      </c>
      <c r="D300" s="10">
        <v>166.07</v>
      </c>
      <c r="E300" s="35">
        <v>2392.67</v>
      </c>
      <c r="F300" s="35">
        <v>1976.19</v>
      </c>
      <c r="G300" s="35">
        <v>1773.1</v>
      </c>
      <c r="H300" s="14">
        <v>1720.85</v>
      </c>
      <c r="I300" s="14">
        <v>2198.79</v>
      </c>
      <c r="J300" s="14">
        <v>2177.2600000000002</v>
      </c>
      <c r="K300" s="14">
        <v>2607.08</v>
      </c>
      <c r="L300" s="14">
        <v>10234.86</v>
      </c>
      <c r="M300" s="14">
        <v>2119.09</v>
      </c>
      <c r="N300" s="14">
        <v>1939.16</v>
      </c>
      <c r="P300" s="14">
        <f>+P299*(1+'SImple Return'!B299)</f>
        <v>158.0567876055091</v>
      </c>
      <c r="Q300" s="14">
        <f>+Q299*(1+'SImple Return'!C299)</f>
        <v>131.28439511239634</v>
      </c>
      <c r="R300" s="14">
        <f>+R299*(1+'SImple Return'!D299)</f>
        <v>191.58975542224252</v>
      </c>
      <c r="S300" s="14">
        <f>+S299*(1+'SImple Return'!E299)</f>
        <v>238.75367958888356</v>
      </c>
      <c r="T300" s="14">
        <f>+T299*(1+'SImple Return'!F299)</f>
        <v>194.01040644021231</v>
      </c>
      <c r="U300" s="14">
        <f>+U299*(1+'SImple Return'!G299)</f>
        <v>173.74135261724197</v>
      </c>
      <c r="V300" s="14">
        <f>+V299*(1+'SImple Return'!H299)</f>
        <v>171.46259079541292</v>
      </c>
      <c r="W300" s="14">
        <f>+W299*(1+'SImple Return'!I299)</f>
        <v>219.2410086647854</v>
      </c>
      <c r="X300" s="14">
        <f>+X299*(1+'SImple Return'!J299)</f>
        <v>219.32487836326817</v>
      </c>
      <c r="Y300" s="14">
        <f>+Y299*(1+'SImple Return'!K299)</f>
        <v>253.23749392909156</v>
      </c>
      <c r="Z300" s="14">
        <f>+Z299*(1+'SImple Return'!L299)</f>
        <v>996.82103725347008</v>
      </c>
      <c r="AA300" s="14">
        <f>+AA299*(1+'SImple Return'!M299)</f>
        <v>209.64483577364476</v>
      </c>
      <c r="AB300" s="14">
        <f>+AB299*(1+'SImple Return'!N299)</f>
        <v>189.60254216572969</v>
      </c>
    </row>
    <row r="301" spans="1:28">
      <c r="A301" s="8">
        <v>39717</v>
      </c>
      <c r="B301" s="10">
        <v>1250.3699999999999</v>
      </c>
      <c r="C301" s="10">
        <v>280.88</v>
      </c>
      <c r="D301" s="10">
        <v>158.91</v>
      </c>
      <c r="E301" s="35">
        <v>2333.14</v>
      </c>
      <c r="F301" s="35">
        <v>1913.18</v>
      </c>
      <c r="G301" s="35">
        <v>1760.29</v>
      </c>
      <c r="H301" s="14">
        <v>1700.72</v>
      </c>
      <c r="I301" s="14">
        <v>2215.4299999999998</v>
      </c>
      <c r="J301" s="14">
        <v>2094.13</v>
      </c>
      <c r="K301" s="14">
        <v>2540.85</v>
      </c>
      <c r="L301" s="14">
        <v>9566.68</v>
      </c>
      <c r="M301" s="14">
        <v>2057.8200000000002</v>
      </c>
      <c r="N301" s="14">
        <v>1905.96</v>
      </c>
      <c r="P301" s="14">
        <f>+P300*(1+'SImple Return'!B300)</f>
        <v>153.62509368357669</v>
      </c>
      <c r="Q301" s="14">
        <f>+Q300*(1+'SImple Return'!C300)</f>
        <v>130.9952429810653</v>
      </c>
      <c r="R301" s="14">
        <f>+R300*(1+'SImple Return'!D300)</f>
        <v>183.32948777111196</v>
      </c>
      <c r="S301" s="14">
        <f>+S300*(1+'SImple Return'!E300)</f>
        <v>232.81345108017726</v>
      </c>
      <c r="T301" s="14">
        <f>+T300*(1+'SImple Return'!F300)</f>
        <v>187.82446495189501</v>
      </c>
      <c r="U301" s="14">
        <f>+U300*(1+'SImple Return'!G300)</f>
        <v>172.48613479138507</v>
      </c>
      <c r="V301" s="14">
        <f>+V300*(1+'SImple Return'!H300)</f>
        <v>169.45687155625109</v>
      </c>
      <c r="W301" s="14">
        <f>+W300*(1+'SImple Return'!I300)</f>
        <v>220.9001804748182</v>
      </c>
      <c r="X301" s="14">
        <f>+X300*(1+'SImple Return'!J300)</f>
        <v>210.95083156208756</v>
      </c>
      <c r="Y301" s="14">
        <f>+Y300*(1+'SImple Return'!K300)</f>
        <v>246.80427391937809</v>
      </c>
      <c r="Z301" s="14">
        <f>+Z300*(1+'SImple Return'!L300)</f>
        <v>931.74385196006847</v>
      </c>
      <c r="AA301" s="14">
        <f>+AA300*(1+'SImple Return'!M300)</f>
        <v>203.58330035615364</v>
      </c>
      <c r="AB301" s="14">
        <f>+AB300*(1+'SImple Return'!N300)</f>
        <v>186.35639208017602</v>
      </c>
    </row>
    <row r="302" spans="1:28">
      <c r="A302" s="8">
        <v>39724</v>
      </c>
      <c r="B302" s="10">
        <v>1138.67</v>
      </c>
      <c r="C302" s="10">
        <v>279.94</v>
      </c>
      <c r="D302" s="10">
        <v>139.79</v>
      </c>
      <c r="E302" s="35">
        <v>2226.36</v>
      </c>
      <c r="F302" s="35">
        <v>1756.84</v>
      </c>
      <c r="G302" s="35">
        <v>1695.59</v>
      </c>
      <c r="H302" s="14">
        <v>1644.44</v>
      </c>
      <c r="I302" s="14">
        <v>2121.33</v>
      </c>
      <c r="J302" s="14">
        <v>1993.39</v>
      </c>
      <c r="K302" s="14">
        <v>2243.63</v>
      </c>
      <c r="L302" s="14">
        <v>8483.91</v>
      </c>
      <c r="M302" s="14">
        <v>1957.4</v>
      </c>
      <c r="N302" s="14">
        <v>1758.32</v>
      </c>
      <c r="P302" s="14">
        <f>+P301*(1+'SImple Return'!B301)</f>
        <v>139.90121757933915</v>
      </c>
      <c r="Q302" s="14">
        <f>+Q301*(1+'SImple Return'!C301)</f>
        <v>130.55685104001503</v>
      </c>
      <c r="R302" s="14">
        <f>+R301*(1+'SImple Return'!D301)</f>
        <v>161.27134287032749</v>
      </c>
      <c r="S302" s="14">
        <f>+S301*(1+'SImple Return'!E301)</f>
        <v>222.15835952701659</v>
      </c>
      <c r="T302" s="14">
        <f>+T301*(1+'SImple Return'!F301)</f>
        <v>172.47594737875539</v>
      </c>
      <c r="U302" s="14">
        <f>+U301*(1+'SImple Return'!G301)</f>
        <v>166.14635389107738</v>
      </c>
      <c r="V302" s="14">
        <f>+V301*(1+'SImple Return'!H301)</f>
        <v>163.84922730488356</v>
      </c>
      <c r="W302" s="14">
        <f>+W301*(1+'SImple Return'!I301)</f>
        <v>211.51748412120722</v>
      </c>
      <c r="X302" s="14">
        <f>+X301*(1+'SImple Return'!J301)</f>
        <v>200.80285279688925</v>
      </c>
      <c r="Y302" s="14">
        <f>+Y301*(1+'SImple Return'!K301)</f>
        <v>217.9339485186982</v>
      </c>
      <c r="Z302" s="14">
        <f>+Z301*(1+'SImple Return'!L301)</f>
        <v>826.28780131482858</v>
      </c>
      <c r="AA302" s="14">
        <f>+AA301*(1+'SImple Return'!M301)</f>
        <v>193.64859517214097</v>
      </c>
      <c r="AB302" s="14">
        <f>+AB301*(1+'SImple Return'!N301)</f>
        <v>171.92080175996091</v>
      </c>
    </row>
    <row r="303" spans="1:28">
      <c r="A303" s="8">
        <v>39731</v>
      </c>
      <c r="B303" s="10">
        <v>910.33</v>
      </c>
      <c r="C303" s="10">
        <v>276.22000000000003</v>
      </c>
      <c r="D303" s="10">
        <v>116.9</v>
      </c>
      <c r="E303" s="35">
        <v>1735.19</v>
      </c>
      <c r="F303" s="35">
        <v>1397.45</v>
      </c>
      <c r="G303" s="35">
        <v>1263.79</v>
      </c>
      <c r="H303" s="14">
        <v>1277.03</v>
      </c>
      <c r="I303" s="14">
        <v>1620.65</v>
      </c>
      <c r="J303" s="14">
        <v>1570.02</v>
      </c>
      <c r="K303" s="14">
        <v>1665.98</v>
      </c>
      <c r="L303" s="14">
        <v>6730.88</v>
      </c>
      <c r="M303" s="14">
        <v>1543.02</v>
      </c>
      <c r="N303" s="14">
        <v>1382.32</v>
      </c>
      <c r="P303" s="14">
        <f>+P302*(1+'SImple Return'!B302)</f>
        <v>111.84651865685387</v>
      </c>
      <c r="Q303" s="14">
        <f>+Q302*(1+'SImple Return'!C302)</f>
        <v>128.82193825202884</v>
      </c>
      <c r="R303" s="14">
        <f>+R302*(1+'SImple Return'!D302)</f>
        <v>134.86386709736954</v>
      </c>
      <c r="S303" s="14">
        <f>+S302*(1+'SImple Return'!E302)</f>
        <v>173.14673452078006</v>
      </c>
      <c r="T303" s="14">
        <f>+T302*(1+'SImple Return'!F302)</f>
        <v>137.19320636167308</v>
      </c>
      <c r="U303" s="14">
        <f>+U302*(1+'SImple Return'!G302)</f>
        <v>123.83542046367617</v>
      </c>
      <c r="V303" s="14">
        <f>+V302*(1+'SImple Return'!H302)</f>
        <v>127.24111475344522</v>
      </c>
      <c r="W303" s="14">
        <f>+W302*(1+'SImple Return'!I302)</f>
        <v>161.59475925058078</v>
      </c>
      <c r="X303" s="14">
        <f>+X302*(1+'SImple Return'!J302)</f>
        <v>158.15494958245606</v>
      </c>
      <c r="Y303" s="14">
        <f>+Y302*(1+'SImple Return'!K302)</f>
        <v>161.82418649829998</v>
      </c>
      <c r="Z303" s="14">
        <f>+Z302*(1+'SImple Return'!L302)</f>
        <v>655.55198441684945</v>
      </c>
      <c r="AA303" s="14">
        <f>+AA302*(1+'SImple Return'!M302)</f>
        <v>152.65334388603091</v>
      </c>
      <c r="AB303" s="14">
        <f>+AB302*(1+'SImple Return'!N302)</f>
        <v>135.15717428501591</v>
      </c>
    </row>
    <row r="304" spans="1:28">
      <c r="A304" s="8">
        <v>39738</v>
      </c>
      <c r="B304" s="10">
        <v>950.77</v>
      </c>
      <c r="C304" s="10">
        <v>273.39</v>
      </c>
      <c r="D304" s="10">
        <v>114.96</v>
      </c>
      <c r="E304" s="35">
        <v>1941.83</v>
      </c>
      <c r="F304" s="35">
        <v>1536.25</v>
      </c>
      <c r="G304" s="35">
        <v>1373.18</v>
      </c>
      <c r="H304" s="14">
        <v>1436.08</v>
      </c>
      <c r="I304" s="14">
        <v>1652.11</v>
      </c>
      <c r="J304" s="14">
        <v>1857.15</v>
      </c>
      <c r="K304" s="14">
        <v>1834.45</v>
      </c>
      <c r="L304" s="14">
        <v>7707.22</v>
      </c>
      <c r="M304" s="14">
        <v>1636.84</v>
      </c>
      <c r="N304" s="14">
        <v>1507.46</v>
      </c>
      <c r="P304" s="14">
        <f>+P303*(1+'SImple Return'!B303)</f>
        <v>116.81512697964139</v>
      </c>
      <c r="Q304" s="14">
        <f>+Q303*(1+'SImple Return'!C303)</f>
        <v>127.50209868482426</v>
      </c>
      <c r="R304" s="14">
        <f>+R303*(1+'SImple Return'!D303)</f>
        <v>132.62574988463302</v>
      </c>
      <c r="S304" s="14">
        <f>+S303*(1+'SImple Return'!E303)</f>
        <v>193.76640223519402</v>
      </c>
      <c r="T304" s="14">
        <f>+T303*(1+'SImple Return'!F303)</f>
        <v>150.81975260161025</v>
      </c>
      <c r="U304" s="14">
        <f>+U303*(1+'SImple Return'!G303)</f>
        <v>134.55425559017786</v>
      </c>
      <c r="V304" s="14">
        <f>+V303*(1+'SImple Return'!H303)</f>
        <v>143.08858842402105</v>
      </c>
      <c r="W304" s="14">
        <f>+W303*(1+'SImple Return'!I303)</f>
        <v>164.73163095392403</v>
      </c>
      <c r="X304" s="14">
        <f>+X303*(1+'SImple Return'!J303)</f>
        <v>187.07880448469336</v>
      </c>
      <c r="Y304" s="14">
        <f>+Y303*(1+'SImple Return'!K303)</f>
        <v>178.18844099077202</v>
      </c>
      <c r="Z304" s="14">
        <f>+Z303*(1+'SImple Return'!L303)</f>
        <v>750.64231799366962</v>
      </c>
      <c r="AA304" s="14">
        <f>+AA303*(1+'SImple Return'!M303)</f>
        <v>161.93510091017018</v>
      </c>
      <c r="AB304" s="14">
        <f>+AB303*(1+'SImple Return'!N303)</f>
        <v>147.39281349303354</v>
      </c>
    </row>
    <row r="305" spans="1:28">
      <c r="A305" s="8">
        <v>39745</v>
      </c>
      <c r="B305" s="10">
        <v>871.64</v>
      </c>
      <c r="C305" s="10">
        <v>276.41000000000003</v>
      </c>
      <c r="D305" s="10">
        <v>101.38</v>
      </c>
      <c r="E305" s="35">
        <v>1760.26</v>
      </c>
      <c r="F305" s="35">
        <v>1460.15</v>
      </c>
      <c r="G305" s="35">
        <v>1183.33</v>
      </c>
      <c r="H305" s="14">
        <v>1367.63</v>
      </c>
      <c r="I305" s="14">
        <v>1491.34</v>
      </c>
      <c r="J305" s="14">
        <v>1589.85</v>
      </c>
      <c r="K305" s="14">
        <v>1378.91</v>
      </c>
      <c r="L305" s="14">
        <v>6660.77</v>
      </c>
      <c r="M305" s="14">
        <v>1491.15</v>
      </c>
      <c r="N305" s="14">
        <v>1460.23</v>
      </c>
      <c r="P305" s="14">
        <f>+P304*(1+'SImple Return'!B304)</f>
        <v>107.09292182182297</v>
      </c>
      <c r="Q305" s="14">
        <f>+Q304*(1+'SImple Return'!C304)</f>
        <v>128.91054938904963</v>
      </c>
      <c r="R305" s="14">
        <f>+R304*(1+'SImple Return'!D304)</f>
        <v>116.95892939547753</v>
      </c>
      <c r="S305" s="14">
        <f>+S304*(1+'SImple Return'!E304)</f>
        <v>175.64835603452551</v>
      </c>
      <c r="T305" s="14">
        <f>+T304*(1+'SImple Return'!F304)</f>
        <v>143.34871392106831</v>
      </c>
      <c r="U305" s="14">
        <f>+U304*(1+'SImple Return'!G304)</f>
        <v>115.95135908440639</v>
      </c>
      <c r="V305" s="14">
        <f>+V304*(1+'SImple Return'!H304)</f>
        <v>136.26834590436741</v>
      </c>
      <c r="W305" s="14">
        <f>+W304*(1+'SImple Return'!I304)</f>
        <v>148.701279277303</v>
      </c>
      <c r="X305" s="14">
        <f>+X304*(1+'SImple Return'!J304)</f>
        <v>160.1525118111029</v>
      </c>
      <c r="Y305" s="14">
        <f>+Y304*(1+'SImple Return'!K304)</f>
        <v>133.93977659057779</v>
      </c>
      <c r="Z305" s="14">
        <f>+Z304*(1+'SImple Return'!L304)</f>
        <v>648.72364256148069</v>
      </c>
      <c r="AA305" s="14">
        <f>+AA304*(1+'SImple Return'!M304)</f>
        <v>147.52176493866247</v>
      </c>
      <c r="AB305" s="14">
        <f>+AB304*(1+'SImple Return'!N304)</f>
        <v>142.77487166951852</v>
      </c>
    </row>
    <row r="306" spans="1:28">
      <c r="A306" s="8">
        <v>39752</v>
      </c>
      <c r="B306" s="10">
        <v>957.25</v>
      </c>
      <c r="C306" s="10">
        <v>272.20999999999998</v>
      </c>
      <c r="D306" s="10">
        <v>111.62</v>
      </c>
      <c r="E306" s="35">
        <v>1908.42</v>
      </c>
      <c r="F306" s="35">
        <v>1637.18</v>
      </c>
      <c r="G306" s="35">
        <v>1273.67</v>
      </c>
      <c r="H306" s="14">
        <v>1497.96</v>
      </c>
      <c r="I306" s="14">
        <v>1533.72</v>
      </c>
      <c r="J306" s="14">
        <v>1859.5</v>
      </c>
      <c r="K306" s="14">
        <v>1526.65</v>
      </c>
      <c r="L306" s="14">
        <v>7572.3</v>
      </c>
      <c r="M306" s="14">
        <v>1585.02</v>
      </c>
      <c r="N306" s="14">
        <v>1605.22</v>
      </c>
      <c r="P306" s="14">
        <f>+P305*(1+'SImple Return'!B305)</f>
        <v>117.61128380287737</v>
      </c>
      <c r="Q306" s="14">
        <f>+Q305*(1+'SImple Return'!C305)</f>
        <v>126.95177688648455</v>
      </c>
      <c r="R306" s="14">
        <f>+R305*(1+'SImple Return'!D305)</f>
        <v>128.77249653899389</v>
      </c>
      <c r="S306" s="14">
        <f>+S305*(1+'SImple Return'!E305)</f>
        <v>190.43256997455444</v>
      </c>
      <c r="T306" s="14">
        <f>+T305*(1+'SImple Return'!F305)</f>
        <v>160.72845081484411</v>
      </c>
      <c r="U306" s="14">
        <f>+U305*(1+'SImple Return'!G305)</f>
        <v>124.80353538322861</v>
      </c>
      <c r="V306" s="14">
        <f>+V305*(1+'SImple Return'!H305)</f>
        <v>149.25420722776349</v>
      </c>
      <c r="W306" s="14">
        <f>+W305*(1+'SImple Return'!I305)</f>
        <v>152.92698248098031</v>
      </c>
      <c r="X306" s="14">
        <f>+X305*(1+'SImple Return'!J305)</f>
        <v>187.31553021526926</v>
      </c>
      <c r="Y306" s="14">
        <f>+Y305*(1+'SImple Return'!K305)</f>
        <v>148.29043224866422</v>
      </c>
      <c r="Z306" s="14">
        <f>+Z305*(1+'SImple Return'!L305)</f>
        <v>737.50182615047504</v>
      </c>
      <c r="AA306" s="14">
        <f>+AA305*(1+'SImple Return'!M305)</f>
        <v>156.8084685397705</v>
      </c>
      <c r="AB306" s="14">
        <f>+AB305*(1+'SImple Return'!N305)</f>
        <v>156.95135663651925</v>
      </c>
    </row>
    <row r="307" spans="1:28">
      <c r="A307" s="8">
        <v>39759</v>
      </c>
      <c r="B307" s="10">
        <v>939.28</v>
      </c>
      <c r="C307" s="10">
        <v>276.55</v>
      </c>
      <c r="D307" s="10">
        <v>109.94</v>
      </c>
      <c r="E307" s="35">
        <v>1917.48</v>
      </c>
      <c r="F307" s="35">
        <v>1569.82</v>
      </c>
      <c r="G307" s="35">
        <v>1305.3699999999999</v>
      </c>
      <c r="H307" s="14">
        <v>1489.68</v>
      </c>
      <c r="I307" s="14">
        <v>1582.27</v>
      </c>
      <c r="J307" s="14">
        <v>1839.93</v>
      </c>
      <c r="K307" s="14">
        <v>1521.25</v>
      </c>
      <c r="L307" s="14">
        <v>6947.68</v>
      </c>
      <c r="M307" s="14">
        <v>1664.72</v>
      </c>
      <c r="N307" s="14">
        <v>1556.67</v>
      </c>
      <c r="P307" s="14">
        <f>+P306*(1+'SImple Return'!B306)</f>
        <v>115.40342298288498</v>
      </c>
      <c r="Q307" s="14">
        <f>+Q306*(1+'SImple Return'!C306)</f>
        <v>128.97584180580179</v>
      </c>
      <c r="R307" s="14">
        <f>+R306*(1+'SImple Return'!D306)</f>
        <v>126.83433317951074</v>
      </c>
      <c r="S307" s="14">
        <f>+S306*(1+'SImple Return'!E306)</f>
        <v>191.33662625355458</v>
      </c>
      <c r="T307" s="14">
        <f>+T306*(1+'SImple Return'!F306)</f>
        <v>154.11545258197546</v>
      </c>
      <c r="U307" s="14">
        <f>+U306*(1+'SImple Return'!G306)</f>
        <v>127.90973406235923</v>
      </c>
      <c r="V307" s="14">
        <f>+V306*(1+'SImple Return'!H306)</f>
        <v>148.42920199675206</v>
      </c>
      <c r="W307" s="14">
        <f>+W306*(1+'SImple Return'!I306)</f>
        <v>157.76789542431521</v>
      </c>
      <c r="X307" s="14">
        <f>+X306*(1+'SImple Return'!J306)</f>
        <v>185.34415891851594</v>
      </c>
      <c r="Y307" s="14">
        <f>+Y306*(1+'SImple Return'!K306)</f>
        <v>147.76590577950441</v>
      </c>
      <c r="Z307" s="14">
        <f>+Z306*(1+'SImple Return'!L306)</f>
        <v>676.66715364012691</v>
      </c>
      <c r="AA307" s="14">
        <f>+AA306*(1+'SImple Return'!M306)</f>
        <v>164.69331222793829</v>
      </c>
      <c r="AB307" s="14">
        <f>+AB306*(1+'SImple Return'!N306)</f>
        <v>152.20435101442197</v>
      </c>
    </row>
    <row r="308" spans="1:28">
      <c r="A308" s="8">
        <v>39766</v>
      </c>
      <c r="B308" s="10">
        <v>879.42</v>
      </c>
      <c r="C308" s="10">
        <v>277.74</v>
      </c>
      <c r="D308" s="10">
        <v>95.62</v>
      </c>
      <c r="E308" s="35">
        <v>1818.87</v>
      </c>
      <c r="F308" s="35">
        <v>1476.94</v>
      </c>
      <c r="G308" s="35">
        <v>1196.5</v>
      </c>
      <c r="H308" s="14">
        <v>1443.13</v>
      </c>
      <c r="I308" s="14">
        <v>1469.67</v>
      </c>
      <c r="J308" s="14">
        <v>1712.01</v>
      </c>
      <c r="K308" s="14">
        <v>1364.75</v>
      </c>
      <c r="L308" s="14">
        <v>6252.76</v>
      </c>
      <c r="M308" s="14">
        <v>1557.89</v>
      </c>
      <c r="N308" s="14">
        <v>1478.88</v>
      </c>
      <c r="P308" s="14">
        <f>+P307*(1+'SImple Return'!B307)</f>
        <v>108.04880146453529</v>
      </c>
      <c r="Q308" s="14">
        <f>+Q307*(1+'SImple Return'!C307)</f>
        <v>129.53082734819523</v>
      </c>
      <c r="R308" s="14">
        <f>+R307*(1+'SImple Return'!D307)</f>
        <v>110.31379787724956</v>
      </c>
      <c r="S308" s="14">
        <f>+S307*(1+'SImple Return'!E307)</f>
        <v>181.49678191887415</v>
      </c>
      <c r="T308" s="14">
        <f>+T307*(1+'SImple Return'!F307)</f>
        <v>144.99705478107225</v>
      </c>
      <c r="U308" s="14">
        <f>+U307*(1+'SImple Return'!G307)</f>
        <v>117.24185235267612</v>
      </c>
      <c r="V308" s="14">
        <f>+V307*(1+'SImple Return'!H307)</f>
        <v>143.79103853013586</v>
      </c>
      <c r="W308" s="14">
        <f>+W307*(1+'SImple Return'!I307)</f>
        <v>146.54056695017496</v>
      </c>
      <c r="X308" s="14">
        <f>+X307*(1+'SImple Return'!J307)</f>
        <v>172.45822042691213</v>
      </c>
      <c r="Y308" s="14">
        <f>+Y307*(1+'SImple Return'!K307)</f>
        <v>132.56435162700322</v>
      </c>
      <c r="Z308" s="14">
        <f>+Z307*(1+'SImple Return'!L307)</f>
        <v>608.98563428293187</v>
      </c>
      <c r="AA308" s="14">
        <f>+AA307*(1+'SImple Return'!M307)</f>
        <v>154.12445587653346</v>
      </c>
      <c r="AB308" s="14">
        <f>+AB307*(1+'SImple Return'!N307)</f>
        <v>144.59838670251779</v>
      </c>
    </row>
    <row r="309" spans="1:28">
      <c r="A309" s="8">
        <v>39773</v>
      </c>
      <c r="B309" s="10">
        <v>794.84</v>
      </c>
      <c r="C309" s="10">
        <v>280.17</v>
      </c>
      <c r="D309" s="10">
        <v>81.8</v>
      </c>
      <c r="E309" s="35">
        <v>1625.36</v>
      </c>
      <c r="F309" s="35">
        <v>1370.82</v>
      </c>
      <c r="G309" s="35">
        <v>1064.6199999999999</v>
      </c>
      <c r="H309" s="14">
        <v>1353.65</v>
      </c>
      <c r="I309" s="14">
        <v>1350.56</v>
      </c>
      <c r="J309" s="14">
        <v>1551.59</v>
      </c>
      <c r="K309" s="14">
        <v>1164.51</v>
      </c>
      <c r="L309" s="14">
        <v>5156.26</v>
      </c>
      <c r="M309" s="14">
        <v>1371.32</v>
      </c>
      <c r="N309" s="14">
        <v>1389.67</v>
      </c>
      <c r="P309" s="14">
        <f>+P308*(1+'SImple Return'!B308)</f>
        <v>97.656989101989083</v>
      </c>
      <c r="Q309" s="14">
        <f>+Q308*(1+'SImple Return'!C308)</f>
        <v>130.66411715325074</v>
      </c>
      <c r="R309" s="14">
        <f>+R308*(1+'SImple Return'!D308)</f>
        <v>94.370096908167881</v>
      </c>
      <c r="S309" s="14">
        <f>+S308*(1+'SImple Return'!E308)</f>
        <v>162.18729731078156</v>
      </c>
      <c r="T309" s="14">
        <f>+T308*(1+'SImple Return'!F308)</f>
        <v>134.57883369330469</v>
      </c>
      <c r="U309" s="14">
        <f>+U308*(1+'SImple Return'!G308)</f>
        <v>104.31928194877229</v>
      </c>
      <c r="V309" s="14">
        <f>+V308*(1+'SImple Return'!H308)</f>
        <v>134.87540228968868</v>
      </c>
      <c r="W309" s="14">
        <f>+W308*(1+'SImple Return'!I308)</f>
        <v>134.66412738929711</v>
      </c>
      <c r="X309" s="14">
        <f>+X308*(1+'SImple Return'!J308)</f>
        <v>156.29841544862037</v>
      </c>
      <c r="Y309" s="14">
        <f>+Y308*(1+'SImple Return'!K308)</f>
        <v>113.11413307430776</v>
      </c>
      <c r="Z309" s="14">
        <f>+Z308*(1+'SImple Return'!L308)</f>
        <v>502.19235451667907</v>
      </c>
      <c r="AA309" s="14">
        <f>+AA308*(1+'SImple Return'!M308)</f>
        <v>135.66679857538585</v>
      </c>
      <c r="AB309" s="14">
        <f>+AB308*(1+'SImple Return'!N308)</f>
        <v>135.87582498166714</v>
      </c>
    </row>
    <row r="310" spans="1:28">
      <c r="A310" s="8">
        <v>39780</v>
      </c>
      <c r="B310" s="10">
        <v>892.93</v>
      </c>
      <c r="C310" s="10">
        <v>283.72000000000003</v>
      </c>
      <c r="D310" s="10">
        <v>96.67</v>
      </c>
      <c r="E310" s="35">
        <v>1752.4</v>
      </c>
      <c r="F310" s="35">
        <v>1506.42</v>
      </c>
      <c r="G310" s="35">
        <v>1135.46</v>
      </c>
      <c r="H310" s="14">
        <v>1440.59</v>
      </c>
      <c r="I310" s="14">
        <v>1498.35</v>
      </c>
      <c r="J310" s="14">
        <v>1631.53</v>
      </c>
      <c r="K310" s="14">
        <v>1338.3</v>
      </c>
      <c r="L310" s="14">
        <v>6348.16</v>
      </c>
      <c r="M310" s="14">
        <v>1478.85</v>
      </c>
      <c r="N310" s="14">
        <v>1482.52</v>
      </c>
      <c r="P310" s="14">
        <f>+P309*(1+'SImple Return'!B309)</f>
        <v>109.70869015001649</v>
      </c>
      <c r="Q310" s="14">
        <f>+Q309*(1+'SImple Return'!C309)</f>
        <v>132.3197462923236</v>
      </c>
      <c r="R310" s="14">
        <f>+R309*(1+'SImple Return'!D309)</f>
        <v>111.52514997692653</v>
      </c>
      <c r="S310" s="14">
        <f>+S309*(1+'SImple Return'!E309)</f>
        <v>174.86404230903531</v>
      </c>
      <c r="T310" s="14">
        <f>+T309*(1+'SImple Return'!F309)</f>
        <v>147.89122324759492</v>
      </c>
      <c r="U310" s="14">
        <f>+U309*(1+'SImple Return'!G309)</f>
        <v>111.26070511689899</v>
      </c>
      <c r="V310" s="14">
        <f>+V309*(1+'SImple Return'!H309)</f>
        <v>143.53795721530869</v>
      </c>
      <c r="W310" s="14">
        <f>+W309*(1+'SImple Return'!I309)</f>
        <v>149.40024528621706</v>
      </c>
      <c r="X310" s="14">
        <f>+X309*(1+'SImple Return'!J309)</f>
        <v>164.35111966233839</v>
      </c>
      <c r="Y310" s="14">
        <f>+Y309*(1+'SImple Return'!K309)</f>
        <v>129.99514327343351</v>
      </c>
      <c r="Z310" s="14">
        <f>+Z309*(1+'SImple Return'!L309)</f>
        <v>618.27708789870985</v>
      </c>
      <c r="AA310" s="14">
        <f>+AA309*(1+'SImple Return'!M309)</f>
        <v>146.30490700435303</v>
      </c>
      <c r="AB310" s="14">
        <f>+AB309*(1+'SImple Return'!N309)</f>
        <v>144.95428990466883</v>
      </c>
    </row>
    <row r="311" spans="1:28">
      <c r="A311" s="8">
        <v>39787</v>
      </c>
      <c r="B311" s="10">
        <v>848.4</v>
      </c>
      <c r="C311" s="10">
        <v>286.39999999999998</v>
      </c>
      <c r="D311" s="10">
        <v>91.61</v>
      </c>
      <c r="E311" s="35">
        <v>1606.31</v>
      </c>
      <c r="F311" s="35">
        <v>1463.63</v>
      </c>
      <c r="G311" s="35">
        <v>1043.99</v>
      </c>
      <c r="H311" s="14">
        <v>1332.57</v>
      </c>
      <c r="I311" s="14">
        <v>1392.44</v>
      </c>
      <c r="J311" s="14">
        <v>1478.03</v>
      </c>
      <c r="K311" s="14">
        <v>1246.8499999999999</v>
      </c>
      <c r="L311" s="14">
        <v>6811</v>
      </c>
      <c r="M311" s="14">
        <v>1375.67</v>
      </c>
      <c r="N311" s="14">
        <v>1388.54</v>
      </c>
      <c r="P311" s="14">
        <f>+P310*(1+'SImple Return'!B310)</f>
        <v>104.23756926441489</v>
      </c>
      <c r="Q311" s="14">
        <f>+Q310*(1+'SImple Return'!C310)</f>
        <v>133.56962969872225</v>
      </c>
      <c r="R311" s="14">
        <f>+R310*(1+'SImple Return'!D310)</f>
        <v>105.68758652514988</v>
      </c>
      <c r="S311" s="14">
        <f>+S310*(1+'SImple Return'!E310)</f>
        <v>160.28638427381105</v>
      </c>
      <c r="T311" s="14">
        <f>+T310*(1+'SImple Return'!F310)</f>
        <v>143.69035931670939</v>
      </c>
      <c r="U311" s="14">
        <f>+U310*(1+'SImple Return'!G310)</f>
        <v>102.29780312383649</v>
      </c>
      <c r="V311" s="14">
        <f>+V310*(1+'SImple Return'!H310)</f>
        <v>132.77502665324894</v>
      </c>
      <c r="W311" s="14">
        <f>+W310*(1+'SImple Return'!I310)</f>
        <v>138.83997567079794</v>
      </c>
      <c r="X311" s="14">
        <f>+X310*(1+'SImple Return'!J310)</f>
        <v>148.88839640982761</v>
      </c>
      <c r="Y311" s="14">
        <f>+Y310*(1+'SImple Return'!K310)</f>
        <v>121.11219038368122</v>
      </c>
      <c r="Z311" s="14">
        <f>+Z310*(1+'SImple Return'!L310)</f>
        <v>663.35524713903123</v>
      </c>
      <c r="AA311" s="14">
        <f>+AA310*(1+'SImple Return'!M310)</f>
        <v>136.09715077166607</v>
      </c>
      <c r="AB311" s="14">
        <f>+AB310*(1+'SImple Return'!N310)</f>
        <v>135.7653385480323</v>
      </c>
    </row>
    <row r="312" spans="1:28">
      <c r="A312" s="8">
        <v>39794</v>
      </c>
      <c r="B312" s="10">
        <v>885.37</v>
      </c>
      <c r="C312" s="10">
        <v>289.8</v>
      </c>
      <c r="D312" s="10">
        <v>97.08</v>
      </c>
      <c r="E312" s="35">
        <v>1748.07</v>
      </c>
      <c r="F312" s="35">
        <v>1475.35</v>
      </c>
      <c r="G312" s="35">
        <v>1121.8699999999999</v>
      </c>
      <c r="H312" s="14">
        <v>1397.71</v>
      </c>
      <c r="I312" s="14">
        <v>1540.69</v>
      </c>
      <c r="J312" s="14">
        <v>1549.85</v>
      </c>
      <c r="K312" s="14">
        <v>1370.06</v>
      </c>
      <c r="L312" s="14">
        <v>6670.02</v>
      </c>
      <c r="M312" s="14">
        <v>1491.95</v>
      </c>
      <c r="N312" s="14">
        <v>1446.64</v>
      </c>
      <c r="P312" s="14">
        <f>+P311*(1+'SImple Return'!B311)</f>
        <v>108.77984052290783</v>
      </c>
      <c r="Q312" s="14">
        <f>+Q311*(1+'SImple Return'!C311)</f>
        <v>135.15530267698921</v>
      </c>
      <c r="R312" s="14">
        <f>+R311*(1+'SImple Return'!D311)</f>
        <v>111.99815413013373</v>
      </c>
      <c r="S312" s="14">
        <f>+S311*(1+'SImple Return'!E311)</f>
        <v>174.43197126178688</v>
      </c>
      <c r="T312" s="14">
        <f>+T311*(1+'SImple Return'!F311)</f>
        <v>144.84095817789139</v>
      </c>
      <c r="U312" s="14">
        <f>+U311*(1+'SImple Return'!G311)</f>
        <v>109.92905716581426</v>
      </c>
      <c r="V312" s="14">
        <f>+V311*(1+'SImple Return'!H311)</f>
        <v>139.2654663571239</v>
      </c>
      <c r="W312" s="14">
        <f>+W311*(1+'SImple Return'!I311)</f>
        <v>153.62196009612023</v>
      </c>
      <c r="X312" s="14">
        <f>+X311*(1+'SImple Return'!J311)</f>
        <v>156.1231376736408</v>
      </c>
      <c r="Y312" s="14">
        <f>+Y311*(1+'SImple Return'!K311)</f>
        <v>133.08013598834367</v>
      </c>
      <c r="Z312" s="14">
        <f>+Z311*(1+'SImple Return'!L311)</f>
        <v>649.62454346238167</v>
      </c>
      <c r="AA312" s="14">
        <f>+AA311*(1+'SImple Return'!M311)</f>
        <v>147.60091017016231</v>
      </c>
      <c r="AB312" s="14">
        <f>+AB311*(1+'SImple Return'!N311)</f>
        <v>141.4461011977512</v>
      </c>
    </row>
    <row r="313" spans="1:28">
      <c r="A313" s="8">
        <v>39801</v>
      </c>
      <c r="B313" s="10">
        <v>906.92</v>
      </c>
      <c r="C313" s="10">
        <v>297.08999999999997</v>
      </c>
      <c r="D313" s="10">
        <v>105.06</v>
      </c>
      <c r="E313" s="35">
        <v>1837.19</v>
      </c>
      <c r="F313" s="35">
        <v>1484.74</v>
      </c>
      <c r="G313" s="35">
        <v>1200.45</v>
      </c>
      <c r="H313" s="14">
        <v>1417.81</v>
      </c>
      <c r="I313" s="14">
        <v>1631.45</v>
      </c>
      <c r="J313" s="14">
        <v>1576.72</v>
      </c>
      <c r="K313" s="14">
        <v>1423</v>
      </c>
      <c r="L313" s="14">
        <v>7116.28</v>
      </c>
      <c r="M313" s="14">
        <v>1621.74</v>
      </c>
      <c r="N313" s="14">
        <v>1462.58</v>
      </c>
      <c r="P313" s="14">
        <f>+P312*(1+'SImple Return'!B312)</f>
        <v>111.42755341499662</v>
      </c>
      <c r="Q313" s="14">
        <f>+Q312*(1+'SImple Return'!C312)</f>
        <v>138.55517209215569</v>
      </c>
      <c r="R313" s="14">
        <f>+R312*(1+'SImple Return'!D312)</f>
        <v>121.20443008767872</v>
      </c>
      <c r="S313" s="14">
        <f>+S312*(1+'SImple Return'!E312)</f>
        <v>183.32485156912611</v>
      </c>
      <c r="T313" s="14">
        <f>+T312*(1+'SImple Return'!F312)</f>
        <v>145.76281170233671</v>
      </c>
      <c r="U313" s="14">
        <f>+U312*(1+'SImple Return'!G312)</f>
        <v>117.62890234581704</v>
      </c>
      <c r="V313" s="14">
        <f>+V312*(1+'SImple Return'!H312)</f>
        <v>141.268196446898</v>
      </c>
      <c r="W313" s="14">
        <f>+W312*(1+'SImple Return'!I312)</f>
        <v>162.67162556959241</v>
      </c>
      <c r="X313" s="14">
        <f>+X312*(1+'SImple Return'!J312)</f>
        <v>158.82986975048098</v>
      </c>
      <c r="Y313" s="14">
        <f>+Y312*(1+'SImple Return'!K312)</f>
        <v>138.2224380767361</v>
      </c>
      <c r="Z313" s="14">
        <f>+Z312*(1+'SImple Return'!L312)</f>
        <v>693.08789870952069</v>
      </c>
      <c r="AA313" s="14">
        <f>+AA312*(1+'SImple Return'!M312)</f>
        <v>160.44123466561146</v>
      </c>
      <c r="AB313" s="14">
        <f>+AB312*(1+'SImple Return'!N312)</f>
        <v>143.00464434123688</v>
      </c>
    </row>
    <row r="314" spans="1:28">
      <c r="A314" s="8">
        <v>39808</v>
      </c>
      <c r="B314" s="10">
        <v>893.42</v>
      </c>
      <c r="C314" s="10">
        <v>297.49</v>
      </c>
      <c r="D314" s="10">
        <v>102.64</v>
      </c>
      <c r="E314" s="34">
        <v>1807.24</v>
      </c>
      <c r="F314" s="34">
        <v>1465.06</v>
      </c>
      <c r="G314" s="34">
        <v>1165.0999999999999</v>
      </c>
      <c r="H314" s="14">
        <v>1405.74</v>
      </c>
      <c r="I314" s="14">
        <v>1614.57</v>
      </c>
      <c r="J314" s="14">
        <v>1569.87</v>
      </c>
      <c r="K314" s="14">
        <v>1397.17</v>
      </c>
      <c r="L314" s="14">
        <v>6881.45</v>
      </c>
      <c r="M314" s="14">
        <v>1549.59</v>
      </c>
      <c r="N314" s="14">
        <v>1448.67</v>
      </c>
      <c r="P314" s="14">
        <f>+P313*(1+'SImple Return'!B313)</f>
        <v>109.76889336658833</v>
      </c>
      <c r="Q314" s="14">
        <f>+Q313*(1+'SImple Return'!C313)</f>
        <v>138.74172185430476</v>
      </c>
      <c r="R314" s="14">
        <f>+R313*(1+'SImple Return'!D313)</f>
        <v>118.41255191508988</v>
      </c>
      <c r="S314" s="14">
        <f>+S313*(1+'SImple Return'!E313)</f>
        <v>180.33627700444018</v>
      </c>
      <c r="T314" s="14">
        <f>+T313*(1+'SImple Return'!F313)</f>
        <v>143.83074808560784</v>
      </c>
      <c r="U314" s="14">
        <f>+U313*(1+'SImple Return'!G313)</f>
        <v>114.16504987555618</v>
      </c>
      <c r="V314" s="14">
        <f>+V313*(1+'SImple Return'!H313)</f>
        <v>140.06556200990428</v>
      </c>
      <c r="W314" s="14">
        <f>+W313*(1+'SImple Return'!I313)</f>
        <v>160.9885233969149</v>
      </c>
      <c r="X314" s="14">
        <f>+X313*(1+'SImple Return'!J313)</f>
        <v>158.13983942944057</v>
      </c>
      <c r="Y314" s="14">
        <f>+Y313*(1+'SImple Return'!K313)</f>
        <v>135.71345313258848</v>
      </c>
      <c r="Z314" s="14">
        <f>+Z313*(1+'SImple Return'!L313)</f>
        <v>670.21670318967654</v>
      </c>
      <c r="AA314" s="14">
        <f>+AA313*(1+'SImple Return'!M313)</f>
        <v>153.30332409972306</v>
      </c>
      <c r="AB314" s="14">
        <f>+AB313*(1+'SImple Return'!N313)</f>
        <v>141.64458567587391</v>
      </c>
    </row>
    <row r="315" spans="1:28">
      <c r="A315" s="8">
        <v>39815</v>
      </c>
      <c r="B315" s="10">
        <v>945.97</v>
      </c>
      <c r="C315" s="10">
        <v>296.13</v>
      </c>
      <c r="D315" s="10">
        <v>104.63</v>
      </c>
      <c r="E315" s="35">
        <v>1849.52</v>
      </c>
      <c r="F315" s="35">
        <v>1545.96</v>
      </c>
      <c r="G315" s="35">
        <v>1230.6300000000001</v>
      </c>
      <c r="H315" s="14">
        <v>1445.34</v>
      </c>
      <c r="I315" s="14">
        <v>1699.12</v>
      </c>
      <c r="J315" s="14">
        <v>1630.83</v>
      </c>
      <c r="K315" s="14">
        <v>1494.43</v>
      </c>
      <c r="L315" s="14">
        <v>7296.64</v>
      </c>
      <c r="M315" s="14">
        <v>1612.06</v>
      </c>
      <c r="N315" s="14">
        <v>1519.8</v>
      </c>
      <c r="P315" s="14">
        <f>+P314*(1+'SImple Return'!B314)</f>
        <v>116.22538118465175</v>
      </c>
      <c r="Q315" s="14">
        <f>+Q314*(1+'SImple Return'!C314)</f>
        <v>138.10745266299799</v>
      </c>
      <c r="R315" s="14">
        <f>+R314*(1+'SImple Return'!D314)</f>
        <v>120.70835256114432</v>
      </c>
      <c r="S315" s="14">
        <f>+S314*(1+'SImple Return'!E314)</f>
        <v>184.55520630644085</v>
      </c>
      <c r="T315" s="14">
        <f>+T314*(1+'SImple Return'!F314)</f>
        <v>151.77302179462023</v>
      </c>
      <c r="U315" s="14">
        <f>+U314*(1+'SImple Return'!G314)</f>
        <v>120.58616026809348</v>
      </c>
      <c r="V315" s="14">
        <f>+V314*(1+'SImple Return'!H314)</f>
        <v>144.01123920169809</v>
      </c>
      <c r="W315" s="14">
        <f>+W314*(1+'SImple Return'!I314)</f>
        <v>169.41899073695538</v>
      </c>
      <c r="X315" s="14">
        <f>+X314*(1+'SImple Return'!J314)</f>
        <v>164.2806056149328</v>
      </c>
      <c r="Y315" s="14">
        <f>+Y314*(1+'SImple Return'!K314)</f>
        <v>145.16075764934416</v>
      </c>
      <c r="Z315" s="14">
        <f>+Z314*(1+'SImple Return'!L314)</f>
        <v>710.65400535670847</v>
      </c>
      <c r="AA315" s="14">
        <f>+AA314*(1+'SImple Return'!M314)</f>
        <v>159.48357736446388</v>
      </c>
      <c r="AB315" s="14">
        <f>+AB314*(1+'SImple Return'!N314)</f>
        <v>148.59936445856761</v>
      </c>
    </row>
    <row r="316" spans="1:28">
      <c r="A316" s="8">
        <v>39822</v>
      </c>
      <c r="B316" s="10">
        <v>922.63</v>
      </c>
      <c r="C316" s="10">
        <v>297.64</v>
      </c>
      <c r="D316" s="10">
        <v>103.43</v>
      </c>
      <c r="E316" s="35">
        <v>1837.23</v>
      </c>
      <c r="F316" s="35">
        <v>1524.06</v>
      </c>
      <c r="G316" s="35">
        <v>1242.43</v>
      </c>
      <c r="H316" s="14">
        <v>1450.46</v>
      </c>
      <c r="I316" s="14">
        <v>1671.87</v>
      </c>
      <c r="J316" s="14">
        <v>1634.87</v>
      </c>
      <c r="K316" s="14">
        <v>1430.22</v>
      </c>
      <c r="L316" s="14">
        <v>7131.12</v>
      </c>
      <c r="M316" s="14">
        <v>1574.56</v>
      </c>
      <c r="N316" s="14">
        <v>1493.4</v>
      </c>
      <c r="P316" s="14">
        <f>+P315*(1+'SImple Return'!B315)</f>
        <v>113.35774225651474</v>
      </c>
      <c r="Q316" s="14">
        <f>+Q315*(1+'SImple Return'!C315)</f>
        <v>138.81167801511066</v>
      </c>
      <c r="R316" s="14">
        <f>+R315*(1+'SImple Return'!D315)</f>
        <v>119.32395016151352</v>
      </c>
      <c r="S316" s="14">
        <f>+S315*(1+'SImple Return'!E315)</f>
        <v>183.32884298757642</v>
      </c>
      <c r="T316" s="14">
        <f>+T315*(1+'SImple Return'!F315)</f>
        <v>149.6230119772238</v>
      </c>
      <c r="U316" s="14">
        <f>+U315*(1+'SImple Return'!G315)</f>
        <v>121.74241088051436</v>
      </c>
      <c r="V316" s="14">
        <f>+V315*(1+'SImple Return'!H315)</f>
        <v>144.52138736386939</v>
      </c>
      <c r="W316" s="14">
        <f>+W315*(1+'SImple Return'!I315)</f>
        <v>166.70189747833797</v>
      </c>
      <c r="X316" s="14">
        <f>+X315*(1+'SImple Return'!J315)</f>
        <v>164.68757240281647</v>
      </c>
      <c r="Y316" s="14">
        <f>+Y315*(1+'SImple Return'!K315)</f>
        <v>138.923749392909</v>
      </c>
      <c r="Z316" s="14">
        <f>+Z315*(1+'SImple Return'!L315)</f>
        <v>694.53323593864161</v>
      </c>
      <c r="AA316" s="14">
        <f>+AA315*(1+'SImple Return'!M315)</f>
        <v>155.77364463791065</v>
      </c>
      <c r="AB316" s="14">
        <f>+AB315*(1+'SImple Return'!N315)</f>
        <v>146.01808848692255</v>
      </c>
    </row>
    <row r="317" spans="1:28">
      <c r="A317" s="8">
        <v>39829</v>
      </c>
      <c r="B317" s="10">
        <v>865.83</v>
      </c>
      <c r="C317" s="10">
        <v>297.10000000000002</v>
      </c>
      <c r="D317" s="10">
        <v>94.4</v>
      </c>
      <c r="E317" s="35">
        <v>1716.45</v>
      </c>
      <c r="F317" s="35">
        <v>1499.92</v>
      </c>
      <c r="G317" s="35">
        <v>1177.03</v>
      </c>
      <c r="H317" s="14">
        <v>1386.5</v>
      </c>
      <c r="I317" s="14">
        <v>1527.46</v>
      </c>
      <c r="J317" s="14">
        <v>1566.9</v>
      </c>
      <c r="K317" s="14">
        <v>1237.07</v>
      </c>
      <c r="L317" s="14">
        <v>7098.63</v>
      </c>
      <c r="M317" s="14">
        <v>1446.45</v>
      </c>
      <c r="N317" s="14">
        <v>1457.85</v>
      </c>
      <c r="P317" s="14">
        <f>+P316*(1+'SImple Return'!B316)</f>
        <v>106.37908368247093</v>
      </c>
      <c r="Q317" s="14">
        <f>+Q316*(1+'SImple Return'!C316)</f>
        <v>138.55983583620946</v>
      </c>
      <c r="R317" s="14">
        <f>+R316*(1+'SImple Return'!D316)</f>
        <v>108.90632210429156</v>
      </c>
      <c r="S317" s="14">
        <f>+S316*(1+'SImple Return'!E316)</f>
        <v>171.27675497679959</v>
      </c>
      <c r="T317" s="14">
        <f>+T316*(1+'SImple Return'!F316)</f>
        <v>147.25309247987451</v>
      </c>
      <c r="U317" s="14">
        <f>+U316*(1+'SImple Return'!G316)</f>
        <v>115.33403884218168</v>
      </c>
      <c r="V317" s="14">
        <f>+V316*(1+'SImple Return'!H316)</f>
        <v>138.14852086924486</v>
      </c>
      <c r="W317" s="14">
        <f>+W316*(1+'SImple Return'!I316)</f>
        <v>152.30279885533093</v>
      </c>
      <c r="X317" s="14">
        <f>+X316*(1+'SImple Return'!J316)</f>
        <v>157.84065839973402</v>
      </c>
      <c r="Y317" s="14">
        <f>+Y316*(1+'SImple Return'!K316)</f>
        <v>120.16221466731406</v>
      </c>
      <c r="Z317" s="14">
        <f>+Z316*(1+'SImple Return'!L316)</f>
        <v>691.36888239590974</v>
      </c>
      <c r="AA317" s="14">
        <f>+AA316*(1+'SImple Return'!M316)</f>
        <v>143.09952512861108</v>
      </c>
      <c r="AB317" s="14">
        <f>+AB316*(1+'SImple Return'!N316)</f>
        <v>142.54216572965049</v>
      </c>
    </row>
    <row r="318" spans="1:28">
      <c r="A318" s="8">
        <v>39836</v>
      </c>
      <c r="B318" s="10">
        <v>825.38</v>
      </c>
      <c r="C318" s="10">
        <v>292.98</v>
      </c>
      <c r="D318" s="10">
        <v>90.47</v>
      </c>
      <c r="E318" s="35">
        <v>1591.72</v>
      </c>
      <c r="F318" s="35">
        <v>1491.37</v>
      </c>
      <c r="G318" s="35">
        <v>1128.0999999999999</v>
      </c>
      <c r="H318" s="14">
        <v>1333.75</v>
      </c>
      <c r="I318" s="14">
        <v>1388.55</v>
      </c>
      <c r="J318" s="14">
        <v>1476.68</v>
      </c>
      <c r="K318" s="14">
        <v>1096.71</v>
      </c>
      <c r="L318" s="14">
        <v>7156.64</v>
      </c>
      <c r="M318" s="14">
        <v>1350.25</v>
      </c>
      <c r="N318" s="14">
        <v>1425.68</v>
      </c>
      <c r="P318" s="14">
        <f>+P317*(1+'SImple Return'!B317)</f>
        <v>101.4092467226105</v>
      </c>
      <c r="Q318" s="14">
        <f>+Q317*(1+'SImple Return'!C317)</f>
        <v>136.6383732860742</v>
      </c>
      <c r="R318" s="14">
        <f>+R317*(1+'SImple Return'!D317)</f>
        <v>104.3724042455006</v>
      </c>
      <c r="S318" s="14">
        <f>+S317*(1+'SImple Return'!E317)</f>
        <v>158.83051439405253</v>
      </c>
      <c r="T318" s="14">
        <f>+T317*(1+'SImple Return'!F317)</f>
        <v>146.41370508541149</v>
      </c>
      <c r="U318" s="14">
        <f>+U317*(1+'SImple Return'!G317)</f>
        <v>110.53951829423646</v>
      </c>
      <c r="V318" s="14">
        <f>+V317*(1+'SImple Return'!H317)</f>
        <v>132.89259986249934</v>
      </c>
      <c r="W318" s="14">
        <f>+W317*(1+'SImple Return'!I317)</f>
        <v>138.452104376265</v>
      </c>
      <c r="X318" s="14">
        <f>+X317*(1+'SImple Return'!J317)</f>
        <v>148.75240503268827</v>
      </c>
      <c r="Y318" s="14">
        <f>+Y317*(1+'SImple Return'!K317)</f>
        <v>106.52841185041268</v>
      </c>
      <c r="Z318" s="14">
        <f>+Z317*(1+'SImple Return'!L317)</f>
        <v>697.01874847820818</v>
      </c>
      <c r="AA318" s="14">
        <f>+AA317*(1+'SImple Return'!M317)</f>
        <v>133.58231104075986</v>
      </c>
      <c r="AB318" s="14">
        <f>+AB317*(1+'SImple Return'!N317)</f>
        <v>139.396724517233</v>
      </c>
    </row>
    <row r="319" spans="1:28">
      <c r="A319" s="8">
        <v>39843</v>
      </c>
      <c r="B319" s="10">
        <v>838.83</v>
      </c>
      <c r="C319" s="10">
        <v>292.86</v>
      </c>
      <c r="D319" s="10">
        <v>91.59</v>
      </c>
      <c r="E319" s="35">
        <v>1636.58</v>
      </c>
      <c r="F319" s="35">
        <v>1514.07</v>
      </c>
      <c r="G319" s="35">
        <v>1161.18</v>
      </c>
      <c r="H319" s="14">
        <v>1376.88</v>
      </c>
      <c r="I319" s="14">
        <v>1462.4</v>
      </c>
      <c r="J319" s="14">
        <v>1485.14</v>
      </c>
      <c r="K319" s="14">
        <v>1156.3699999999999</v>
      </c>
      <c r="L319" s="14">
        <v>7262.33</v>
      </c>
      <c r="M319" s="14">
        <v>1385.23</v>
      </c>
      <c r="N319" s="14">
        <v>1442.54</v>
      </c>
      <c r="P319" s="14">
        <f>+P318*(1+'SImple Return'!B318)</f>
        <v>103.06176358565433</v>
      </c>
      <c r="Q319" s="14">
        <f>+Q318*(1+'SImple Return'!C318)</f>
        <v>136.58240835742947</v>
      </c>
      <c r="R319" s="14">
        <f>+R318*(1+'SImple Return'!D318)</f>
        <v>105.66451315182272</v>
      </c>
      <c r="S319" s="14">
        <f>+S318*(1+'SImple Return'!E318)</f>
        <v>163.30689018609959</v>
      </c>
      <c r="T319" s="14">
        <f>+T318*(1+'SImple Return'!F318)</f>
        <v>148.64225407421966</v>
      </c>
      <c r="U319" s="14">
        <f>+U318*(1+'SImple Return'!G318)</f>
        <v>113.78093950261636</v>
      </c>
      <c r="V319" s="14">
        <f>+V318*(1+'SImple Return'!H318)</f>
        <v>137.19000029891515</v>
      </c>
      <c r="W319" s="14">
        <f>+W318*(1+'SImple Return'!I318)</f>
        <v>145.81567638172911</v>
      </c>
      <c r="X319" s="14">
        <f>+X318*(1+'SImple Return'!J318)</f>
        <v>149.60461766276151</v>
      </c>
      <c r="Y319" s="14">
        <f>+Y318*(1+'SImple Return'!K318)</f>
        <v>112.32345798931505</v>
      </c>
      <c r="Z319" s="14">
        <f>+Z318*(1+'SImple Return'!L318)</f>
        <v>707.31239347455573</v>
      </c>
      <c r="AA319" s="14">
        <f>+AA318*(1+'SImple Return'!M318)</f>
        <v>137.04293628808873</v>
      </c>
      <c r="AB319" s="14">
        <f>+AB318*(1+'SImple Return'!N318)</f>
        <v>141.04522121730631</v>
      </c>
    </row>
    <row r="320" spans="1:28">
      <c r="A320" s="8">
        <v>39850</v>
      </c>
      <c r="B320" s="10">
        <v>870.74</v>
      </c>
      <c r="C320" s="10">
        <v>291.89</v>
      </c>
      <c r="D320" s="10">
        <v>90.22</v>
      </c>
      <c r="E320" s="35">
        <v>1693.66</v>
      </c>
      <c r="F320" s="35">
        <v>1567.99</v>
      </c>
      <c r="G320" s="35">
        <v>1140.9000000000001</v>
      </c>
      <c r="H320" s="14">
        <v>1425.36</v>
      </c>
      <c r="I320" s="14">
        <v>1468.54</v>
      </c>
      <c r="J320" s="14">
        <v>1545.39</v>
      </c>
      <c r="K320" s="14">
        <v>1165.53</v>
      </c>
      <c r="L320" s="14">
        <v>7327.26</v>
      </c>
      <c r="M320" s="14">
        <v>1401.23</v>
      </c>
      <c r="N320" s="14">
        <v>1488.31</v>
      </c>
      <c r="P320" s="14">
        <f>+P319*(1+'SImple Return'!B319)</f>
        <v>106.98234448526237</v>
      </c>
      <c r="Q320" s="14">
        <f>+Q319*(1+'SImple Return'!C319)</f>
        <v>136.130025184218</v>
      </c>
      <c r="R320" s="14">
        <f>+R319*(1+'SImple Return'!D319)</f>
        <v>104.08398707891085</v>
      </c>
      <c r="S320" s="14">
        <f>+S319*(1+'SImple Return'!E319)</f>
        <v>169.00264431472306</v>
      </c>
      <c r="T320" s="14">
        <f>+T319*(1+'SImple Return'!F319)</f>
        <v>153.93579422737108</v>
      </c>
      <c r="U320" s="14">
        <f>+U319*(1+'SImple Return'!G319)</f>
        <v>111.79375624669302</v>
      </c>
      <c r="V320" s="14">
        <f>+V319*(1+'SImple Return'!H319)</f>
        <v>142.02046570947479</v>
      </c>
      <c r="W320" s="14">
        <f>+W319*(1+'SImple Return'!I319)</f>
        <v>146.4278948260561</v>
      </c>
      <c r="X320" s="14">
        <f>+X319*(1+'SImple Return'!J319)</f>
        <v>155.67386245731382</v>
      </c>
      <c r="Y320" s="14">
        <f>+Y319*(1+'SImple Return'!K319)</f>
        <v>113.21321029626017</v>
      </c>
      <c r="Z320" s="14">
        <f>+Z319*(1+'SImple Return'!L319)</f>
        <v>713.63623082542006</v>
      </c>
      <c r="AA320" s="14">
        <f>+AA319*(1+'SImple Return'!M319)</f>
        <v>138.62584091808478</v>
      </c>
      <c r="AB320" s="14">
        <f>+AB319*(1+'SImple Return'!N319)</f>
        <v>145.52041065754096</v>
      </c>
    </row>
    <row r="321" spans="1:28">
      <c r="A321" s="8">
        <v>39857</v>
      </c>
      <c r="B321" s="10">
        <v>837.02</v>
      </c>
      <c r="C321" s="10">
        <v>293.61</v>
      </c>
      <c r="D321" s="10">
        <v>84.59</v>
      </c>
      <c r="E321" s="35">
        <v>1650.17</v>
      </c>
      <c r="F321" s="35">
        <v>1502.34</v>
      </c>
      <c r="G321" s="35">
        <v>1156.71</v>
      </c>
      <c r="H321" s="14">
        <v>1369.87</v>
      </c>
      <c r="I321" s="14">
        <v>1459.87</v>
      </c>
      <c r="J321" s="14">
        <v>1507.05</v>
      </c>
      <c r="K321" s="14">
        <v>1192.0999999999999</v>
      </c>
      <c r="L321" s="14">
        <v>7097.49</v>
      </c>
      <c r="M321" s="14">
        <v>1406.33</v>
      </c>
      <c r="N321" s="14">
        <v>1436.91</v>
      </c>
      <c r="P321" s="14">
        <f>+P320*(1+'SImple Return'!B320)</f>
        <v>102.83938027546031</v>
      </c>
      <c r="Q321" s="14">
        <f>+Q320*(1+'SImple Return'!C320)</f>
        <v>136.93218916145895</v>
      </c>
      <c r="R321" s="14">
        <f>+R320*(1+'SImple Return'!D320)</f>
        <v>97.588832487309574</v>
      </c>
      <c r="S321" s="14">
        <f>+S320*(1+'SImple Return'!E320)</f>
        <v>164.66297460459984</v>
      </c>
      <c r="T321" s="14">
        <f>+T320*(1+'SImple Return'!F320)</f>
        <v>147.49067347339502</v>
      </c>
      <c r="U321" s="14">
        <f>+U320*(1+'SImple Return'!G320)</f>
        <v>113.34293609265691</v>
      </c>
      <c r="V321" s="14">
        <f>+V320*(1+'SImple Return'!H320)</f>
        <v>136.49153572531728</v>
      </c>
      <c r="W321" s="14">
        <f>+W320*(1+'SImple Return'!I320)</f>
        <v>145.56341047551618</v>
      </c>
      <c r="X321" s="14">
        <f>+X320*(1+'SImple Return'!J320)</f>
        <v>151.81170734655637</v>
      </c>
      <c r="Y321" s="14">
        <f>+Y320*(1+'SImple Return'!K320)</f>
        <v>115.79407479358896</v>
      </c>
      <c r="Z321" s="14">
        <f>+Z320*(1+'SImple Return'!L320)</f>
        <v>691.25785244704161</v>
      </c>
      <c r="AA321" s="14">
        <f>+AA320*(1+'SImple Return'!M320)</f>
        <v>139.130391768896</v>
      </c>
      <c r="AB321" s="14">
        <f>+AB320*(1+'SImple Return'!N320)</f>
        <v>140.49474456123201</v>
      </c>
    </row>
    <row r="322" spans="1:28">
      <c r="A322" s="8">
        <v>39864</v>
      </c>
      <c r="B322" s="10">
        <v>772.84</v>
      </c>
      <c r="C322" s="10">
        <v>292.02999999999997</v>
      </c>
      <c r="D322" s="10">
        <v>77.540000000000006</v>
      </c>
      <c r="E322" s="35">
        <v>1565.61</v>
      </c>
      <c r="F322" s="35">
        <v>1390.15</v>
      </c>
      <c r="G322" s="35">
        <v>1075.54</v>
      </c>
      <c r="H322" s="14">
        <v>1310.6199999999999</v>
      </c>
      <c r="I322" s="14">
        <v>1297.9000000000001</v>
      </c>
      <c r="J322" s="14">
        <v>1420.92</v>
      </c>
      <c r="K322" s="14">
        <v>1089.96</v>
      </c>
      <c r="L322" s="14">
        <v>6596.87</v>
      </c>
      <c r="M322" s="14">
        <v>1277.28</v>
      </c>
      <c r="N322" s="14">
        <v>1345.97</v>
      </c>
      <c r="P322" s="14">
        <f>+P321*(1+'SImple Return'!B321)</f>
        <v>94.953987541619981</v>
      </c>
      <c r="Q322" s="14">
        <f>+Q321*(1+'SImple Return'!C321)</f>
        <v>136.19531760097018</v>
      </c>
      <c r="R322" s="14">
        <f>+R321*(1+'SImple Return'!D321)</f>
        <v>89.455468389478483</v>
      </c>
      <c r="S322" s="14">
        <f>+S321*(1+'SImple Return'!E321)</f>
        <v>156.22511600059843</v>
      </c>
      <c r="T322" s="14">
        <f>+T321*(1+'SImple Return'!F321)</f>
        <v>136.4765364225409</v>
      </c>
      <c r="U322" s="14">
        <f>+U321*(1+'SImple Return'!G321)</f>
        <v>105.38930370196178</v>
      </c>
      <c r="V322" s="14">
        <f>+V321*(1+'SImple Return'!H321)</f>
        <v>130.58796568456521</v>
      </c>
      <c r="W322" s="14">
        <f>+W321*(1+'SImple Return'!I321)</f>
        <v>129.41340698567166</v>
      </c>
      <c r="X322" s="14">
        <f>+X321*(1+'SImple Return'!J321)</f>
        <v>143.13545748506613</v>
      </c>
      <c r="Y322" s="14">
        <f>+Y321*(1+'SImple Return'!K321)</f>
        <v>105.87275376396296</v>
      </c>
      <c r="Z322" s="14">
        <f>+Z321*(1+'SImple Return'!L321)</f>
        <v>642.50012174336496</v>
      </c>
      <c r="AA322" s="14">
        <f>+AA321*(1+'SImple Return'!M321)</f>
        <v>126.36327661258417</v>
      </c>
      <c r="AB322" s="14">
        <f>+AB321*(1+'SImple Return'!N321)</f>
        <v>131.60303104375461</v>
      </c>
    </row>
    <row r="323" spans="1:28">
      <c r="A323" s="8">
        <v>39871</v>
      </c>
      <c r="B323" s="10">
        <v>750.86</v>
      </c>
      <c r="C323" s="10">
        <v>288.61</v>
      </c>
      <c r="D323" s="10">
        <v>75.069999999999993</v>
      </c>
      <c r="E323" s="35">
        <v>1544.78</v>
      </c>
      <c r="F323" s="35">
        <v>1372.72</v>
      </c>
      <c r="G323" s="35">
        <v>1029.51</v>
      </c>
      <c r="H323" s="14">
        <v>1278.93</v>
      </c>
      <c r="I323" s="14">
        <v>1253.1300000000001</v>
      </c>
      <c r="J323" s="14">
        <v>1384.43</v>
      </c>
      <c r="K323" s="14">
        <v>1033.8</v>
      </c>
      <c r="L323" s="14">
        <v>7019.34</v>
      </c>
      <c r="M323" s="14">
        <v>1206.07</v>
      </c>
      <c r="N323" s="14">
        <v>1318.41</v>
      </c>
      <c r="P323" s="14">
        <f>+P322*(1+'SImple Return'!B322)</f>
        <v>92.253443255396689</v>
      </c>
      <c r="Q323" s="14">
        <f>+Q322*(1+'SImple Return'!C322)</f>
        <v>134.6003171345958</v>
      </c>
      <c r="R323" s="14">
        <f>+R322*(1+'SImple Return'!D322)</f>
        <v>86.605906783571683</v>
      </c>
      <c r="S323" s="14">
        <f>+S322*(1+'SImple Return'!E322)</f>
        <v>154.14658484258817</v>
      </c>
      <c r="T323" s="14">
        <f>+T322*(1+'SImple Return'!F322)</f>
        <v>134.76536422540758</v>
      </c>
      <c r="U323" s="14">
        <f>+U322*(1+'SImple Return'!G322)</f>
        <v>100.87894644012</v>
      </c>
      <c r="V323" s="14">
        <f>+V322*(1+'SImple Return'!H322)</f>
        <v>127.43042754800094</v>
      </c>
      <c r="W323" s="14">
        <f>+W322*(1+'SImple Return'!I322)</f>
        <v>124.94939725399085</v>
      </c>
      <c r="X323" s="14">
        <f>+X322*(1+'SImple Return'!J322)</f>
        <v>139.45966092816633</v>
      </c>
      <c r="Y323" s="14">
        <f>+Y322*(1+'SImple Return'!K322)</f>
        <v>100.41767848470118</v>
      </c>
      <c r="Z323" s="14">
        <f>+Z322*(1+'SImple Return'!L322)</f>
        <v>683.64645726807885</v>
      </c>
      <c r="AA323" s="14">
        <f>+AA322*(1+'SImple Return'!M322)</f>
        <v>119.31836169370803</v>
      </c>
      <c r="AB323" s="14">
        <f>+AB322*(1+'SImple Return'!N322)</f>
        <v>128.90833537032515</v>
      </c>
    </row>
    <row r="324" spans="1:28">
      <c r="A324" s="8">
        <v>39878</v>
      </c>
      <c r="B324" s="10">
        <v>697.5</v>
      </c>
      <c r="C324" s="10">
        <v>288.77</v>
      </c>
      <c r="D324" s="10">
        <v>67.930000000000007</v>
      </c>
      <c r="E324" s="35">
        <v>1428.86</v>
      </c>
      <c r="F324" s="35">
        <v>1263.1500000000001</v>
      </c>
      <c r="G324" s="35">
        <v>963.12</v>
      </c>
      <c r="H324" s="14">
        <v>1163.6600000000001</v>
      </c>
      <c r="I324" s="14">
        <v>1168.19</v>
      </c>
      <c r="J324" s="14">
        <v>1281.17</v>
      </c>
      <c r="K324" s="14">
        <v>1028.6199999999999</v>
      </c>
      <c r="L324" s="14">
        <v>6662.51</v>
      </c>
      <c r="M324" s="14">
        <v>1114.3</v>
      </c>
      <c r="N324" s="14">
        <v>1217.2</v>
      </c>
      <c r="P324" s="14">
        <f>+P323*(1+'SImple Return'!B323)</f>
        <v>85.697435834428774</v>
      </c>
      <c r="Q324" s="14">
        <f>+Q323*(1+'SImple Return'!C323)</f>
        <v>134.67493703945541</v>
      </c>
      <c r="R324" s="14">
        <f>+R323*(1+'SImple Return'!D323)</f>
        <v>78.368712505768286</v>
      </c>
      <c r="S324" s="14">
        <f>+S323*(1+'SImple Return'!E323)</f>
        <v>142.57945417352667</v>
      </c>
      <c r="T324" s="14">
        <f>+T323*(1+'SImple Return'!F323)</f>
        <v>124.00844296092691</v>
      </c>
      <c r="U324" s="14">
        <f>+U323*(1+'SImple Return'!G323)</f>
        <v>94.373566935152041</v>
      </c>
      <c r="V324" s="14">
        <f>+V323*(1+'SImple Return'!H323)</f>
        <v>115.94511921724158</v>
      </c>
      <c r="W324" s="14">
        <f>+W323*(1+'SImple Return'!I323)</f>
        <v>116.48004307465273</v>
      </c>
      <c r="X324" s="14">
        <f>+X323*(1+'SImple Return'!J323)</f>
        <v>129.05783159230793</v>
      </c>
      <c r="Y324" s="14">
        <f>+Y323*(1+'SImple Return'!K323)</f>
        <v>99.914521612433091</v>
      </c>
      <c r="Z324" s="14">
        <f>+Z323*(1+'SImple Return'!L323)</f>
        <v>648.89310932554179</v>
      </c>
      <c r="AA324" s="14">
        <f>+AA323*(1+'SImple Return'!M323)</f>
        <v>110.23941432528697</v>
      </c>
      <c r="AB324" s="14">
        <f>+AB323*(1+'SImple Return'!N323)</f>
        <v>119.01246638963582</v>
      </c>
    </row>
    <row r="325" spans="1:28">
      <c r="A325" s="8">
        <v>39885</v>
      </c>
      <c r="B325" s="10">
        <v>756.41</v>
      </c>
      <c r="C325" s="10">
        <v>288.8</v>
      </c>
      <c r="D325" s="10">
        <v>75.81</v>
      </c>
      <c r="E325" s="35">
        <v>1430.88</v>
      </c>
      <c r="F325" s="35">
        <v>1343.13</v>
      </c>
      <c r="G325" s="35">
        <v>1018.8</v>
      </c>
      <c r="H325" s="14">
        <v>1164.3800000000001</v>
      </c>
      <c r="I325" s="14">
        <v>1291.8699999999999</v>
      </c>
      <c r="J325" s="14">
        <v>1293.06</v>
      </c>
      <c r="K325" s="14">
        <v>1068.21</v>
      </c>
      <c r="L325" s="14">
        <v>7218.52</v>
      </c>
      <c r="M325" s="14">
        <v>1182.24</v>
      </c>
      <c r="N325" s="14">
        <v>1268.3900000000001</v>
      </c>
      <c r="P325" s="14">
        <f>+P324*(1+'SImple Return'!B324)</f>
        <v>92.935336830853444</v>
      </c>
      <c r="Q325" s="14">
        <f>+Q324*(1+'SImple Return'!C324)</f>
        <v>134.68892827161662</v>
      </c>
      <c r="R325" s="14">
        <f>+R324*(1+'SImple Return'!D324)</f>
        <v>87.459621596677366</v>
      </c>
      <c r="S325" s="14">
        <f>+S324*(1+'SImple Return'!E324)</f>
        <v>142.78102080526844</v>
      </c>
      <c r="T325" s="14">
        <f>+T324*(1+'SImple Return'!F324)</f>
        <v>131.86039662281578</v>
      </c>
      <c r="U325" s="14">
        <f>+U324*(1+'SImple Return'!G324)</f>
        <v>99.829502028337998</v>
      </c>
      <c r="V325" s="14">
        <f>+V324*(1+'SImple Return'!H324)</f>
        <v>116.01685880254693</v>
      </c>
      <c r="W325" s="14">
        <f>+W324*(1+'SImple Return'!I324)</f>
        <v>128.81215662422343</v>
      </c>
      <c r="X325" s="14">
        <f>+X324*(1+'SImple Return'!J324)</f>
        <v>130.25556305466856</v>
      </c>
      <c r="Y325" s="14">
        <f>+Y324*(1+'SImple Return'!K324)</f>
        <v>103.76007770762494</v>
      </c>
      <c r="Z325" s="14">
        <f>+Z324*(1+'SImple Return'!L324)</f>
        <v>703.04553201850501</v>
      </c>
      <c r="AA325" s="14">
        <f>+AA324*(1+'SImple Return'!M324)</f>
        <v>116.96082311040767</v>
      </c>
      <c r="AB325" s="14">
        <f>+AB324*(1+'SImple Return'!N324)</f>
        <v>124.01759960889761</v>
      </c>
    </row>
    <row r="326" spans="1:28">
      <c r="A326" s="8">
        <v>39892</v>
      </c>
      <c r="B326" s="10">
        <v>789.93</v>
      </c>
      <c r="C326" s="10">
        <v>295.01</v>
      </c>
      <c r="D326" s="10">
        <v>77.16</v>
      </c>
      <c r="E326" s="35">
        <v>1534.68</v>
      </c>
      <c r="F326" s="35">
        <v>1426.3</v>
      </c>
      <c r="G326" s="35">
        <v>1098.24</v>
      </c>
      <c r="H326" s="14">
        <v>1243.1099999999999</v>
      </c>
      <c r="I326" s="14">
        <v>1344.01</v>
      </c>
      <c r="J326" s="14">
        <v>1379.19</v>
      </c>
      <c r="K326" s="14">
        <v>1171.18</v>
      </c>
      <c r="L326" s="14">
        <v>7510.59</v>
      </c>
      <c r="M326" s="14">
        <v>1321.95</v>
      </c>
      <c r="N326" s="14">
        <v>1352.87</v>
      </c>
      <c r="P326" s="14">
        <f>+P325*(1+'SImple Return'!B325)</f>
        <v>97.053728299197601</v>
      </c>
      <c r="Q326" s="14">
        <f>+Q325*(1+'SImple Return'!C325)</f>
        <v>137.58511332898067</v>
      </c>
      <c r="R326" s="14">
        <f>+R325*(1+'SImple Return'!D325)</f>
        <v>89.017074296262038</v>
      </c>
      <c r="S326" s="14">
        <f>+S325*(1+'SImple Return'!E325)</f>
        <v>153.13875168387938</v>
      </c>
      <c r="T326" s="14">
        <f>+T325*(1+'SImple Return'!F325)</f>
        <v>140.02552523070895</v>
      </c>
      <c r="U326" s="14">
        <f>+U325*(1+'SImple Return'!G325)</f>
        <v>107.61361632077143</v>
      </c>
      <c r="V326" s="14">
        <f>+V325*(1+'SImple Return'!H325)</f>
        <v>123.86138317906017</v>
      </c>
      <c r="W326" s="14">
        <f>+W325*(1+'SImple Return'!I325)</f>
        <v>134.01102790878537</v>
      </c>
      <c r="X326" s="14">
        <f>+X325*(1+'SImple Return'!J325)</f>
        <v>138.93181291615883</v>
      </c>
      <c r="Y326" s="14">
        <f>+Y325*(1+'SImple Return'!K325)</f>
        <v>113.76202039825147</v>
      </c>
      <c r="Z326" s="14">
        <f>+Z325*(1+'SImple Return'!L325)</f>
        <v>731.49159970781591</v>
      </c>
      <c r="AA326" s="14">
        <f>+AA325*(1+'SImple Return'!M325)</f>
        <v>130.78254847645437</v>
      </c>
      <c r="AB326" s="14">
        <f>+AB325*(1+'SImple Return'!N325)</f>
        <v>132.27768271816183</v>
      </c>
    </row>
    <row r="327" spans="1:28">
      <c r="A327" s="8">
        <v>39899</v>
      </c>
      <c r="B327" s="10">
        <v>824.69</v>
      </c>
      <c r="C327" s="10">
        <v>292.29000000000002</v>
      </c>
      <c r="D327" s="10">
        <v>83.14</v>
      </c>
      <c r="E327" s="35">
        <v>1512.64</v>
      </c>
      <c r="F327" s="35">
        <v>1449.4</v>
      </c>
      <c r="G327" s="35">
        <v>1168.94</v>
      </c>
      <c r="H327" s="14">
        <v>1225.73</v>
      </c>
      <c r="I327" s="14">
        <v>1367.85</v>
      </c>
      <c r="J327" s="14">
        <v>1355.35</v>
      </c>
      <c r="K327" s="14">
        <v>1435.94</v>
      </c>
      <c r="L327" s="14">
        <v>7783.54</v>
      </c>
      <c r="M327" s="14">
        <v>1381.25</v>
      </c>
      <c r="N327" s="14">
        <v>1366.72</v>
      </c>
      <c r="P327" s="14">
        <f>+P326*(1+'SImple Return'!B326)</f>
        <v>101.32447076458075</v>
      </c>
      <c r="Q327" s="14">
        <f>+Q326*(1+'SImple Return'!C326)</f>
        <v>136.31657494636713</v>
      </c>
      <c r="R327" s="14">
        <f>+R326*(1+'SImple Return'!D326)</f>
        <v>95.916012921088992</v>
      </c>
      <c r="S327" s="14">
        <f>+S326*(1+'SImple Return'!E326)</f>
        <v>150.93948011774657</v>
      </c>
      <c r="T327" s="14">
        <f>+T326*(1+'SImple Return'!F326)</f>
        <v>142.293343805223</v>
      </c>
      <c r="U327" s="14">
        <f>+U326*(1+'SImple Return'!G326)</f>
        <v>114.54132126129312</v>
      </c>
      <c r="V327" s="14">
        <f>+V326*(1+'SImple Return'!H326)</f>
        <v>122.12966930043957</v>
      </c>
      <c r="W327" s="14">
        <f>+W326*(1+'SImple Return'!I326)</f>
        <v>136.38811059815927</v>
      </c>
      <c r="X327" s="14">
        <f>+X326*(1+'SImple Return'!J326)</f>
        <v>136.53030593023141</v>
      </c>
      <c r="Y327" s="14">
        <f>+Y326*(1+'SImple Return'!K326)</f>
        <v>139.47935891209312</v>
      </c>
      <c r="Z327" s="14">
        <f>+Z326*(1+'SImple Return'!L326)</f>
        <v>758.07548088629164</v>
      </c>
      <c r="AA327" s="14">
        <f>+AA326*(1+'SImple Return'!M326)</f>
        <v>136.64918876137719</v>
      </c>
      <c r="AB327" s="14">
        <f>+AB326*(1+'SImple Return'!N326)</f>
        <v>133.63187484722565</v>
      </c>
    </row>
    <row r="328" spans="1:28">
      <c r="A328" s="8">
        <v>39906</v>
      </c>
      <c r="B328" s="10">
        <v>854.9</v>
      </c>
      <c r="C328" s="10">
        <v>291.32</v>
      </c>
      <c r="D328" s="10">
        <v>89.62</v>
      </c>
      <c r="E328" s="35">
        <v>1543.12</v>
      </c>
      <c r="F328" s="35">
        <v>1490.01</v>
      </c>
      <c r="G328" s="35">
        <v>1189.9100000000001</v>
      </c>
      <c r="H328" s="14">
        <v>1233.01</v>
      </c>
      <c r="I328" s="14">
        <v>1445.61</v>
      </c>
      <c r="J328" s="14">
        <v>1404.2</v>
      </c>
      <c r="K328" s="14">
        <v>1485.3</v>
      </c>
      <c r="L328" s="14">
        <v>8335.4599999999991</v>
      </c>
      <c r="M328" s="14">
        <v>1401.16</v>
      </c>
      <c r="N328" s="14">
        <v>1381.52</v>
      </c>
      <c r="P328" s="14">
        <f>+P327*(1+'SImple Return'!B327)</f>
        <v>105.03618336179666</v>
      </c>
      <c r="Q328" s="14">
        <f>+Q327*(1+'SImple Return'!C327)</f>
        <v>135.86419177315565</v>
      </c>
      <c r="R328" s="14">
        <f>+R327*(1+'SImple Return'!D327)</f>
        <v>103.39178587909545</v>
      </c>
      <c r="S328" s="14">
        <f>+S327*(1+'SImple Return'!E327)</f>
        <v>153.98094097689938</v>
      </c>
      <c r="T328" s="14">
        <f>+T327*(1+'SImple Return'!F327)</f>
        <v>146.28018849401153</v>
      </c>
      <c r="U328" s="14">
        <f>+U327*(1+'SImple Return'!G327)</f>
        <v>116.59611578184106</v>
      </c>
      <c r="V328" s="14">
        <f>+V327*(1+'SImple Return'!H327)</f>
        <v>122.85503621852691</v>
      </c>
      <c r="W328" s="14">
        <f>+W327*(1+'SImple Return'!I327)</f>
        <v>144.14154809504333</v>
      </c>
      <c r="X328" s="14">
        <f>+X327*(1+'SImple Return'!J327)</f>
        <v>141.45117909560702</v>
      </c>
      <c r="Y328" s="14">
        <f>+Y327*(1+'SImple Return'!K327)</f>
        <v>144.27391937833883</v>
      </c>
      <c r="Z328" s="14">
        <f>+Z327*(1+'SImple Return'!L327)</f>
        <v>811.82955928901868</v>
      </c>
      <c r="AA328" s="14">
        <f>+AA327*(1+'SImple Return'!M327)</f>
        <v>138.61891571032851</v>
      </c>
      <c r="AB328" s="14">
        <f>+AB327*(1+'SImple Return'!N327)</f>
        <v>135.07895380102667</v>
      </c>
    </row>
    <row r="329" spans="1:28">
      <c r="A329" s="8">
        <v>39913</v>
      </c>
      <c r="B329" s="10">
        <v>861.96</v>
      </c>
      <c r="C329" s="10">
        <v>291.02999999999997</v>
      </c>
      <c r="D329" s="10">
        <v>92.32</v>
      </c>
      <c r="E329" s="35">
        <v>1547.42</v>
      </c>
      <c r="F329" s="35">
        <v>1480.31</v>
      </c>
      <c r="G329" s="35">
        <v>1214.77</v>
      </c>
      <c r="H329" s="14">
        <v>1228.81</v>
      </c>
      <c r="I329" s="14">
        <v>1451.24</v>
      </c>
      <c r="J329" s="14">
        <v>1415.15</v>
      </c>
      <c r="K329" s="14">
        <v>1418.41</v>
      </c>
      <c r="L329" s="14">
        <v>8201.36</v>
      </c>
      <c r="M329" s="14">
        <v>1410.72</v>
      </c>
      <c r="N329" s="14">
        <v>1395.89</v>
      </c>
      <c r="P329" s="14">
        <f>+P328*(1+'SImple Return'!B328)</f>
        <v>105.90360113526056</v>
      </c>
      <c r="Q329" s="14">
        <f>+Q328*(1+'SImple Return'!C328)</f>
        <v>135.72894319559759</v>
      </c>
      <c r="R329" s="14">
        <f>+R328*(1+'SImple Return'!D328)</f>
        <v>106.50669127826481</v>
      </c>
      <c r="S329" s="14">
        <f>+S328*(1+'SImple Return'!E328)</f>
        <v>154.41001846031006</v>
      </c>
      <c r="T329" s="14">
        <f>+T328*(1+'SImple Return'!F328)</f>
        <v>145.32790104064415</v>
      </c>
      <c r="U329" s="14">
        <f>+U328*(1+'SImple Return'!G328)</f>
        <v>119.03208105512773</v>
      </c>
      <c r="V329" s="14">
        <f>+V328*(1+'SImple Return'!H328)</f>
        <v>122.43655530424574</v>
      </c>
      <c r="W329" s="14">
        <f>+W328*(1+'SImple Return'!I328)</f>
        <v>144.70291451875036</v>
      </c>
      <c r="X329" s="14">
        <f>+X328*(1+'SImple Return'!J328)</f>
        <v>142.55422026573729</v>
      </c>
      <c r="Y329" s="14">
        <f>+Y328*(1+'SImple Return'!K328)</f>
        <v>137.77659057795032</v>
      </c>
      <c r="Z329" s="14">
        <f>+Z328*(1+'SImple Return'!L328)</f>
        <v>798.76893109325545</v>
      </c>
      <c r="AA329" s="14">
        <f>+AA328*(1+'SImple Return'!M328)</f>
        <v>139.56470122675114</v>
      </c>
      <c r="AB329" s="14">
        <f>+AB328*(1+'SImple Return'!N328)</f>
        <v>136.4839892446835</v>
      </c>
    </row>
    <row r="330" spans="1:28">
      <c r="A330" s="8">
        <v>39920</v>
      </c>
      <c r="B330" s="10">
        <v>881.27</v>
      </c>
      <c r="C330" s="10">
        <v>293.04000000000002</v>
      </c>
      <c r="D330" s="10">
        <v>95.55</v>
      </c>
      <c r="E330" s="35">
        <v>1579.7</v>
      </c>
      <c r="F330" s="35">
        <v>1489.45</v>
      </c>
      <c r="G330" s="35">
        <v>1219.72</v>
      </c>
      <c r="H330" s="14">
        <v>1249.5899999999999</v>
      </c>
      <c r="I330" s="14">
        <v>1515.96</v>
      </c>
      <c r="J330" s="14">
        <v>1423.79</v>
      </c>
      <c r="K330" s="14">
        <v>1469.55</v>
      </c>
      <c r="L330" s="14">
        <v>8038.2</v>
      </c>
      <c r="M330" s="14">
        <v>1426.62</v>
      </c>
      <c r="N330" s="14">
        <v>1417.18</v>
      </c>
      <c r="P330" s="14">
        <f>+P329*(1+'SImple Return'!B329)</f>
        <v>108.27609932302087</v>
      </c>
      <c r="Q330" s="14">
        <f>+Q329*(1+'SImple Return'!C329)</f>
        <v>136.6663557503966</v>
      </c>
      <c r="R330" s="14">
        <f>+R329*(1+'SImple Return'!D329)</f>
        <v>110.23304107060444</v>
      </c>
      <c r="S330" s="14">
        <f>+S329*(1+'SImple Return'!E329)</f>
        <v>157.6310931497278</v>
      </c>
      <c r="T330" s="14">
        <f>+T329*(1+'SImple Return'!F329)</f>
        <v>146.22521107402332</v>
      </c>
      <c r="U330" s="14">
        <f>+U329*(1+'SImple Return'!G329)</f>
        <v>119.5171183883043</v>
      </c>
      <c r="V330" s="14">
        <f>+V329*(1+'SImple Return'!H329)</f>
        <v>124.50703944680824</v>
      </c>
      <c r="W330" s="14">
        <f>+W329*(1+'SImple Return'!I329)</f>
        <v>151.15613564527217</v>
      </c>
      <c r="X330" s="14">
        <f>+X329*(1+'SImple Return'!J329)</f>
        <v>143.4245650794291</v>
      </c>
      <c r="Y330" s="14">
        <f>+Y329*(1+'SImple Return'!K329)</f>
        <v>142.74405050995611</v>
      </c>
      <c r="Z330" s="14">
        <f>+Z329*(1+'SImple Return'!L329)</f>
        <v>782.87801314828334</v>
      </c>
      <c r="AA330" s="14">
        <f>+AA329*(1+'SImple Return'!M329)</f>
        <v>141.13771270280969</v>
      </c>
      <c r="AB330" s="14">
        <f>+AB329*(1+'SImple Return'!N329)</f>
        <v>138.56563187484727</v>
      </c>
    </row>
    <row r="331" spans="1:28">
      <c r="A331" s="8">
        <v>39927</v>
      </c>
      <c r="B331" s="10">
        <v>882.26</v>
      </c>
      <c r="C331" s="10">
        <v>293.3</v>
      </c>
      <c r="D331" s="10">
        <v>94.75</v>
      </c>
      <c r="E331" s="35">
        <v>1592.3</v>
      </c>
      <c r="F331" s="35">
        <v>1464.02</v>
      </c>
      <c r="G331" s="35">
        <v>1234.33</v>
      </c>
      <c r="H331" s="14">
        <v>1231.5999999999999</v>
      </c>
      <c r="I331" s="14">
        <v>1553.77</v>
      </c>
      <c r="J331" s="14">
        <v>1402.04</v>
      </c>
      <c r="K331" s="14">
        <v>1434.21</v>
      </c>
      <c r="L331" s="14">
        <v>8039.51</v>
      </c>
      <c r="M331" s="14">
        <v>1443.99</v>
      </c>
      <c r="N331" s="14">
        <v>1423.83</v>
      </c>
      <c r="P331" s="14">
        <f>+P330*(1+'SImple Return'!B330)</f>
        <v>108.39773439323747</v>
      </c>
      <c r="Q331" s="14">
        <f>+Q330*(1+'SImple Return'!C330)</f>
        <v>136.78761309579349</v>
      </c>
      <c r="R331" s="14">
        <f>+R330*(1+'SImple Return'!D330)</f>
        <v>109.31010613751722</v>
      </c>
      <c r="S331" s="14">
        <f>+S330*(1+'SImple Return'!E330)</f>
        <v>158.88838996158231</v>
      </c>
      <c r="T331" s="14">
        <f>+T330*(1+'SImple Return'!F330)</f>
        <v>143.72864716277257</v>
      </c>
      <c r="U331" s="14">
        <f>+U330*(1+'SImple Return'!G330)</f>
        <v>120.94871342622538</v>
      </c>
      <c r="V331" s="14">
        <f>+V330*(1+'SImple Return'!H330)</f>
        <v>122.71454619730393</v>
      </c>
      <c r="W331" s="14">
        <f>+W330*(1+'SImple Return'!I330)</f>
        <v>154.92616486025656</v>
      </c>
      <c r="X331" s="14">
        <f>+X330*(1+'SImple Return'!J330)</f>
        <v>141.23359289218408</v>
      </c>
      <c r="Y331" s="14">
        <f>+Y330*(1+'SImple Return'!K330)</f>
        <v>139.3113161728993</v>
      </c>
      <c r="Z331" s="14">
        <f>+Z330*(1+'SImple Return'!L330)</f>
        <v>783.00560019478939</v>
      </c>
      <c r="AA331" s="14">
        <f>+AA330*(1+'SImple Return'!M330)</f>
        <v>142.85615354174917</v>
      </c>
      <c r="AB331" s="14">
        <f>+AB330*(1+'SImple Return'!N330)</f>
        <v>139.21583964800786</v>
      </c>
    </row>
    <row r="332" spans="1:28">
      <c r="A332" s="8">
        <v>39934</v>
      </c>
      <c r="B332" s="10">
        <v>896.22</v>
      </c>
      <c r="C332" s="10">
        <v>293.95999999999998</v>
      </c>
      <c r="D332" s="10">
        <v>94.4</v>
      </c>
      <c r="E332" s="35">
        <v>1641.79</v>
      </c>
      <c r="F332" s="35">
        <v>1486.21</v>
      </c>
      <c r="G332" s="35">
        <v>1264.02</v>
      </c>
      <c r="H332" s="14">
        <v>1281.08</v>
      </c>
      <c r="I332" s="14">
        <v>1503.1</v>
      </c>
      <c r="J332" s="14">
        <v>1458.56</v>
      </c>
      <c r="K332" s="14">
        <v>1476.53</v>
      </c>
      <c r="L332" s="14">
        <v>7886.56</v>
      </c>
      <c r="M332" s="14">
        <v>1485.88</v>
      </c>
      <c r="N332" s="14">
        <v>1461.75</v>
      </c>
      <c r="P332" s="14">
        <f>+P331*(1+'SImple Return'!B331)</f>
        <v>110.11291174699895</v>
      </c>
      <c r="Q332" s="14">
        <f>+Q331*(1+'SImple Return'!C331)</f>
        <v>137.09542020333942</v>
      </c>
      <c r="R332" s="14">
        <f>+R331*(1+'SImple Return'!D331)</f>
        <v>108.90632210429158</v>
      </c>
      <c r="S332" s="14">
        <f>+S331*(1+'SImple Return'!E331)</f>
        <v>163.82677243925528</v>
      </c>
      <c r="T332" s="14">
        <f>+T331*(1+'SImple Return'!F331)</f>
        <v>145.90712742980577</v>
      </c>
      <c r="U332" s="14">
        <f>+U331*(1+'SImple Return'!G331)</f>
        <v>123.85795755188435</v>
      </c>
      <c r="V332" s="14">
        <f>+V331*(1+'SImple Return'!H331)</f>
        <v>127.64464992078769</v>
      </c>
      <c r="W332" s="14">
        <f>+W331*(1+'SImple Return'!I331)</f>
        <v>149.87386704689345</v>
      </c>
      <c r="X332" s="14">
        <f>+X331*(1+'SImple Return'!J331)</f>
        <v>146.92709854841803</v>
      </c>
      <c r="Y332" s="14">
        <f>+Y331*(1+'SImple Return'!K331)</f>
        <v>143.42204953861079</v>
      </c>
      <c r="Z332" s="14">
        <f>+Z331*(1+'SImple Return'!L331)</f>
        <v>768.10908205502801</v>
      </c>
      <c r="AA332" s="14">
        <f>+AA331*(1+'SImple Return'!M331)</f>
        <v>147.00039572615756</v>
      </c>
      <c r="AB332" s="14">
        <f>+AB331*(1+'SImple Return'!N331)</f>
        <v>142.92349058909807</v>
      </c>
    </row>
    <row r="333" spans="1:28">
      <c r="A333" s="8">
        <v>39941</v>
      </c>
      <c r="B333" s="10">
        <v>953.57</v>
      </c>
      <c r="C333" s="10">
        <v>294.87</v>
      </c>
      <c r="D333" s="10">
        <v>102.2</v>
      </c>
      <c r="E333" s="35">
        <v>1728.27</v>
      </c>
      <c r="F333" s="35">
        <v>1492.95</v>
      </c>
      <c r="G333" s="35">
        <v>1331.92</v>
      </c>
      <c r="H333" s="14">
        <v>1297.03</v>
      </c>
      <c r="I333" s="14">
        <v>1649.61</v>
      </c>
      <c r="J333" s="14">
        <v>1524.6</v>
      </c>
      <c r="K333" s="14">
        <v>1764.85</v>
      </c>
      <c r="L333" s="14">
        <v>7722.18</v>
      </c>
      <c r="M333" s="14">
        <v>1562.7</v>
      </c>
      <c r="N333" s="14">
        <v>1508.39</v>
      </c>
      <c r="P333" s="14">
        <f>+P332*(1+'SImple Return'!B332)</f>
        <v>117.15914536005198</v>
      </c>
      <c r="Q333" s="14">
        <f>+Q332*(1+'SImple Return'!C332)</f>
        <v>137.51982091222854</v>
      </c>
      <c r="R333" s="14">
        <f>+R332*(1+'SImple Return'!D332)</f>
        <v>117.90493770189192</v>
      </c>
      <c r="S333" s="14">
        <f>+S332*(1+'SImple Return'!E332)</f>
        <v>172.45621912887259</v>
      </c>
      <c r="T333" s="14">
        <f>+T332*(1+'SImple Return'!F332)</f>
        <v>146.56881994894968</v>
      </c>
      <c r="U333" s="14">
        <f>+U332*(1+'SImple Return'!G332)</f>
        <v>130.51129794030618</v>
      </c>
      <c r="V333" s="14">
        <f>+V332*(1+'SImple Return'!H332)</f>
        <v>129.23388101192688</v>
      </c>
      <c r="W333" s="14">
        <f>+W332*(1+'SImple Return'!I332)</f>
        <v>164.48235634304163</v>
      </c>
      <c r="X333" s="14">
        <f>+X332*(1+'SImple Return'!J332)</f>
        <v>153.57959524936797</v>
      </c>
      <c r="Y333" s="14">
        <f>+Y332*(1+'SImple Return'!K332)</f>
        <v>171.4278776104903</v>
      </c>
      <c r="Z333" s="14">
        <f>+Z332*(1+'SImple Return'!L332)</f>
        <v>752.09934258582905</v>
      </c>
      <c r="AA333" s="14">
        <f>+AA332*(1+'SImple Return'!M332)</f>
        <v>154.60031658092606</v>
      </c>
      <c r="AB333" s="14">
        <f>+AB332*(1+'SImple Return'!N332)</f>
        <v>147.48374480567105</v>
      </c>
    </row>
    <row r="334" spans="1:28">
      <c r="A334" s="8">
        <v>39948</v>
      </c>
      <c r="B334" s="10">
        <v>920.85</v>
      </c>
      <c r="C334" s="10">
        <v>298.44</v>
      </c>
      <c r="D334" s="10">
        <v>96.27</v>
      </c>
      <c r="E334" s="35">
        <v>1746.67</v>
      </c>
      <c r="F334" s="35">
        <v>1413.31</v>
      </c>
      <c r="G334" s="35">
        <v>1308.69</v>
      </c>
      <c r="H334" s="14">
        <v>1285.82</v>
      </c>
      <c r="I334" s="14">
        <v>1588.9</v>
      </c>
      <c r="J334" s="14">
        <v>1508.8</v>
      </c>
      <c r="K334" s="14">
        <v>1662.08</v>
      </c>
      <c r="L334" s="14">
        <v>7470.33</v>
      </c>
      <c r="M334" s="14">
        <v>1527.38</v>
      </c>
      <c r="N334" s="14">
        <v>1467.08</v>
      </c>
      <c r="P334" s="14">
        <f>+P333*(1+'SImple Return'!B333)</f>
        <v>113.13904485753942</v>
      </c>
      <c r="Q334" s="14">
        <f>+Q333*(1+'SImple Return'!C333)</f>
        <v>139.18477753940886</v>
      </c>
      <c r="R334" s="14">
        <f>+R333*(1+'SImple Return'!D333)</f>
        <v>111.06368251038292</v>
      </c>
      <c r="S334" s="14">
        <f>+S333*(1+'SImple Return'!E333)</f>
        <v>174.2922716160252</v>
      </c>
      <c r="T334" s="14">
        <f>+T333*(1+'SImple Return'!F333)</f>
        <v>138.75024543491079</v>
      </c>
      <c r="U334" s="14">
        <f>+U333*(1+'SImple Return'!G333)</f>
        <v>128.23505203127763</v>
      </c>
      <c r="V334" s="14">
        <f>+V333*(1+'SImple Return'!H333)</f>
        <v>128.11693552404788</v>
      </c>
      <c r="W334" s="14">
        <f>+W333*(1+'SImple Return'!I333)</f>
        <v>158.42897169237509</v>
      </c>
      <c r="X334" s="14">
        <f>+X333*(1+'SImple Return'!J333)</f>
        <v>151.98799246507045</v>
      </c>
      <c r="Y334" s="14">
        <f>+Y333*(1+'SImple Return'!K333)</f>
        <v>161.44536182612896</v>
      </c>
      <c r="Z334" s="14">
        <f>+Z333*(1+'SImple Return'!L333)</f>
        <v>727.57048940832715</v>
      </c>
      <c r="AA334" s="14">
        <f>+AA333*(1+'SImple Return'!M333)</f>
        <v>151.10605461020981</v>
      </c>
      <c r="AB334" s="14">
        <f>+AB333*(1+'SImple Return'!N333)</f>
        <v>143.4446345636764</v>
      </c>
    </row>
    <row r="335" spans="1:28">
      <c r="A335" s="8">
        <v>39955</v>
      </c>
      <c r="B335" s="10">
        <v>941.25</v>
      </c>
      <c r="C335" s="10">
        <v>298.5</v>
      </c>
      <c r="D335" s="10">
        <v>98.91</v>
      </c>
      <c r="E335" s="35">
        <v>1811.68</v>
      </c>
      <c r="F335" s="35">
        <v>1439.69</v>
      </c>
      <c r="G335" s="35">
        <v>1346.01</v>
      </c>
      <c r="H335" s="14">
        <v>1318.24</v>
      </c>
      <c r="I335" s="14">
        <v>1675.14</v>
      </c>
      <c r="J335" s="14">
        <v>1557.32</v>
      </c>
      <c r="K335" s="14">
        <v>1779.13</v>
      </c>
      <c r="L335" s="14">
        <v>7768.92</v>
      </c>
      <c r="M335" s="14">
        <v>1586.41</v>
      </c>
      <c r="N335" s="14">
        <v>1486.52</v>
      </c>
      <c r="P335" s="14">
        <f>+P334*(1+'SImple Return'!B334)</f>
        <v>115.64546448624529</v>
      </c>
      <c r="Q335" s="14">
        <f>+Q334*(1+'SImple Return'!C334)</f>
        <v>139.21276000373123</v>
      </c>
      <c r="R335" s="14">
        <f>+R334*(1+'SImple Return'!D334)</f>
        <v>114.10936778957074</v>
      </c>
      <c r="S335" s="14">
        <f>+S334*(1+'SImple Return'!E334)</f>
        <v>180.77932445242692</v>
      </c>
      <c r="T335" s="14">
        <f>+T334*(1+'SImple Return'!F334)</f>
        <v>141.34007461221299</v>
      </c>
      <c r="U335" s="14">
        <f>+U334*(1+'SImple Return'!G334)</f>
        <v>131.89193956140875</v>
      </c>
      <c r="V335" s="14">
        <f>+V334*(1+'SImple Return'!H334)</f>
        <v>131.34720962904674</v>
      </c>
      <c r="W335" s="14">
        <f>+W334*(1+'SImple Return'!I334)</f>
        <v>167.02794866937202</v>
      </c>
      <c r="X335" s="14">
        <f>+X334*(1+'SImple Return'!J334)</f>
        <v>156.87562329381197</v>
      </c>
      <c r="Y335" s="14">
        <f>+Y334*(1+'SImple Return'!K334)</f>
        <v>172.81495871782394</v>
      </c>
      <c r="Z335" s="14">
        <f>+Z334*(1+'SImple Return'!L334)</f>
        <v>756.6515704894083</v>
      </c>
      <c r="AA335" s="14">
        <f>+AA334*(1+'SImple Return'!M334)</f>
        <v>156.94598337950146</v>
      </c>
      <c r="AB335" s="14">
        <f>+AB334*(1+'SImple Return'!N334)</f>
        <v>145.34539232461506</v>
      </c>
    </row>
    <row r="336" spans="1:28">
      <c r="A336" s="8">
        <v>39962</v>
      </c>
      <c r="B336" s="10">
        <v>970</v>
      </c>
      <c r="C336" s="10">
        <v>299.11</v>
      </c>
      <c r="D336" s="10">
        <v>107.96</v>
      </c>
      <c r="E336" s="35">
        <v>1851.84</v>
      </c>
      <c r="F336" s="35">
        <v>1513.11</v>
      </c>
      <c r="G336" s="35">
        <v>1392.05</v>
      </c>
      <c r="H336" s="14">
        <v>1357.64</v>
      </c>
      <c r="I336" s="14">
        <v>1749.16</v>
      </c>
      <c r="J336" s="14">
        <v>1577.27</v>
      </c>
      <c r="K336" s="14">
        <v>1877.83</v>
      </c>
      <c r="L336" s="14">
        <v>8291.61</v>
      </c>
      <c r="M336" s="14">
        <v>1613.1</v>
      </c>
      <c r="N336" s="14">
        <v>1547.49</v>
      </c>
      <c r="P336" s="14">
        <f>+P335*(1+'SImple Return'!B335)</f>
        <v>119.17779607081852</v>
      </c>
      <c r="Q336" s="14">
        <f>+Q335*(1+'SImple Return'!C335)</f>
        <v>139.49724839100855</v>
      </c>
      <c r="R336" s="14">
        <f>+R335*(1+'SImple Return'!D335)</f>
        <v>124.55006922011988</v>
      </c>
      <c r="S336" s="14">
        <f>+S335*(1+'SImple Return'!E335)</f>
        <v>184.78670857656002</v>
      </c>
      <c r="T336" s="14">
        <f>+T335*(1+'SImple Return'!F335)</f>
        <v>148.54800706852555</v>
      </c>
      <c r="U336" s="14">
        <f>+U335*(1+'SImple Return'!G335)</f>
        <v>136.40327669665086</v>
      </c>
      <c r="V336" s="14">
        <f>+V335*(1+'SImple Return'!H335)</f>
        <v>135.27295915825573</v>
      </c>
      <c r="W336" s="14">
        <f>+W335*(1+'SImple Return'!I335)</f>
        <v>174.40847134837614</v>
      </c>
      <c r="X336" s="14">
        <f>+X335*(1+'SImple Return'!J335)</f>
        <v>158.88527364487121</v>
      </c>
      <c r="Y336" s="14">
        <f>+Y335*(1+'SImple Return'!K335)</f>
        <v>182.4021369596889</v>
      </c>
      <c r="Z336" s="14">
        <f>+Z335*(1+'SImple Return'!L335)</f>
        <v>807.55880204528864</v>
      </c>
      <c r="AA336" s="14">
        <f>+AA335*(1+'SImple Return'!M335)</f>
        <v>159.58646616541358</v>
      </c>
      <c r="AB336" s="14">
        <f>+AB335*(1+'SImple Return'!N335)</f>
        <v>151.30677096064539</v>
      </c>
    </row>
    <row r="337" spans="1:28">
      <c r="A337" s="8">
        <v>39969</v>
      </c>
      <c r="B337" s="10">
        <v>982.29</v>
      </c>
      <c r="C337" s="10">
        <v>297.39</v>
      </c>
      <c r="D337" s="10">
        <v>109.87</v>
      </c>
      <c r="E337" s="35">
        <v>1794.38</v>
      </c>
      <c r="F337" s="35">
        <v>1519.23</v>
      </c>
      <c r="G337" s="35">
        <v>1442.72</v>
      </c>
      <c r="H337" s="14">
        <v>1315.75</v>
      </c>
      <c r="I337" s="14">
        <v>1817.34</v>
      </c>
      <c r="J337" s="14">
        <v>1566.93</v>
      </c>
      <c r="K337" s="14">
        <v>1999.71</v>
      </c>
      <c r="L337" s="14">
        <v>7929.01</v>
      </c>
      <c r="M337" s="14">
        <v>1613.94</v>
      </c>
      <c r="N337" s="14">
        <v>1577.05</v>
      </c>
      <c r="P337" s="14">
        <f>+P336*(1+'SImple Return'!B336)</f>
        <v>120.6877910334065</v>
      </c>
      <c r="Q337" s="14">
        <f>+Q336*(1+'SImple Return'!C336)</f>
        <v>138.6950844137676</v>
      </c>
      <c r="R337" s="14">
        <f>+R336*(1+'SImple Return'!D336)</f>
        <v>126.75357637286561</v>
      </c>
      <c r="S337" s="14">
        <f>+S336*(1+'SImple Return'!E336)</f>
        <v>179.05303597265842</v>
      </c>
      <c r="T337" s="14">
        <f>+T336*(1+'SImple Return'!F336)</f>
        <v>149.14883172982539</v>
      </c>
      <c r="U337" s="14">
        <f>+U336*(1+'SImple Return'!G336)</f>
        <v>141.36829521625813</v>
      </c>
      <c r="V337" s="14">
        <f>+V336*(1+'SImple Return'!H336)</f>
        <v>131.09911022986577</v>
      </c>
      <c r="W337" s="14">
        <f>+W336*(1+'SImple Return'!I336)</f>
        <v>181.20668853635908</v>
      </c>
      <c r="X337" s="14">
        <f>+X336*(1+'SImple Return'!J336)</f>
        <v>157.84368043033726</v>
      </c>
      <c r="Y337" s="14">
        <f>+Y336*(1+'SImple Return'!K336)</f>
        <v>194.24089363768795</v>
      </c>
      <c r="Z337" s="14">
        <f>+Z336*(1+'SImple Return'!L336)</f>
        <v>772.24348672997326</v>
      </c>
      <c r="AA337" s="14">
        <f>+AA336*(1+'SImple Return'!M336)</f>
        <v>159.6695686584884</v>
      </c>
      <c r="AB337" s="14">
        <f>+AB336*(1+'SImple Return'!N336)</f>
        <v>154.19701784404799</v>
      </c>
    </row>
    <row r="338" spans="1:28">
      <c r="A338" s="8">
        <v>39976</v>
      </c>
      <c r="B338" s="10">
        <v>994.39</v>
      </c>
      <c r="C338" s="10">
        <v>297.14</v>
      </c>
      <c r="D338" s="10">
        <v>110.2</v>
      </c>
      <c r="E338" s="35">
        <v>1797.38</v>
      </c>
      <c r="F338" s="35">
        <v>1559.73</v>
      </c>
      <c r="G338" s="35">
        <v>1425.29</v>
      </c>
      <c r="H338" s="14">
        <v>1329.14</v>
      </c>
      <c r="I338" s="14">
        <v>1822.97</v>
      </c>
      <c r="J338" s="14">
        <v>1645.94</v>
      </c>
      <c r="K338" s="14">
        <v>1944.42</v>
      </c>
      <c r="L338" s="14">
        <v>7883.57</v>
      </c>
      <c r="M338" s="14">
        <v>1613.39</v>
      </c>
      <c r="N338" s="14">
        <v>1608.43</v>
      </c>
      <c r="P338" s="14">
        <f>+P337*(1+'SImple Return'!B337)</f>
        <v>122.17444189160949</v>
      </c>
      <c r="Q338" s="14">
        <f>+Q337*(1+'SImple Return'!C337)</f>
        <v>138.57849081242443</v>
      </c>
      <c r="R338" s="14">
        <f>+R337*(1+'SImple Return'!D337)</f>
        <v>127.13428703276409</v>
      </c>
      <c r="S338" s="14">
        <f>+S337*(1+'SImple Return'!E337)</f>
        <v>179.35239235643331</v>
      </c>
      <c r="T338" s="14">
        <f>+T337*(1+'SImple Return'!F337)</f>
        <v>153.12487728254482</v>
      </c>
      <c r="U338" s="14">
        <f>+U337*(1+'SImple Return'!G337)</f>
        <v>139.66037587943646</v>
      </c>
      <c r="V338" s="14">
        <f>+V337*(1+'SImple Return'!H337)</f>
        <v>132.4332672399193</v>
      </c>
      <c r="W338" s="14">
        <f>+W337*(1+'SImple Return'!I337)</f>
        <v>181.76805496006608</v>
      </c>
      <c r="X338" s="14">
        <f>+X337*(1+'SImple Return'!J337)</f>
        <v>165.80270169535927</v>
      </c>
      <c r="Y338" s="14">
        <f>+Y337*(1+'SImple Return'!K337)</f>
        <v>188.87032540067969</v>
      </c>
      <c r="Z338" s="14">
        <f>+Z337*(1+'SImple Return'!L337)</f>
        <v>767.81787192598006</v>
      </c>
      <c r="AA338" s="14">
        <f>+AA337*(1+'SImple Return'!M337)</f>
        <v>159.61515631183229</v>
      </c>
      <c r="AB338" s="14">
        <f>+AB337*(1+'SImple Return'!N337)</f>
        <v>157.26521632852612</v>
      </c>
    </row>
    <row r="339" spans="1:28">
      <c r="A339" s="8">
        <v>39983</v>
      </c>
      <c r="B339" s="10">
        <v>964.8</v>
      </c>
      <c r="C339" s="10">
        <v>298.42</v>
      </c>
      <c r="D339" s="10">
        <v>105.14</v>
      </c>
      <c r="E339" s="35">
        <v>1777.56</v>
      </c>
      <c r="F339" s="35">
        <v>1524.01</v>
      </c>
      <c r="G339" s="35">
        <v>1401.97</v>
      </c>
      <c r="H339" s="14">
        <v>1343.37</v>
      </c>
      <c r="I339" s="14">
        <v>1745.49</v>
      </c>
      <c r="J339" s="14">
        <v>1574.29</v>
      </c>
      <c r="K339" s="14">
        <v>1802.37</v>
      </c>
      <c r="L339" s="14">
        <v>7740.07</v>
      </c>
      <c r="M339" s="14">
        <v>1572.46</v>
      </c>
      <c r="N339" s="14">
        <v>1578.02</v>
      </c>
      <c r="P339" s="14">
        <f>+P338*(1+'SImple Return'!B338)</f>
        <v>118.53890479291309</v>
      </c>
      <c r="Q339" s="14">
        <f>+Q338*(1+'SImple Return'!C338)</f>
        <v>139.1754500513014</v>
      </c>
      <c r="R339" s="14">
        <f>+R338*(1+'SImple Return'!D338)</f>
        <v>121.29672358098745</v>
      </c>
      <c r="S339" s="14">
        <f>+S338*(1+'SImple Return'!E338)</f>
        <v>177.37464451429389</v>
      </c>
      <c r="T339" s="14">
        <f>+T338*(1+'SImple Return'!F338)</f>
        <v>149.61810327901054</v>
      </c>
      <c r="U339" s="14">
        <f>+U338*(1+'SImple Return'!G338)</f>
        <v>137.3753111098047</v>
      </c>
      <c r="V339" s="14">
        <f>+V338*(1+'SImple Return'!H338)</f>
        <v>133.85112043282902</v>
      </c>
      <c r="W339" s="14">
        <f>+W338*(1+'SImple Return'!I338)</f>
        <v>174.04253621960083</v>
      </c>
      <c r="X339" s="14">
        <f>+X338*(1+'SImple Return'!J338)</f>
        <v>158.58508527163028</v>
      </c>
      <c r="Y339" s="14">
        <f>+Y338*(1+'SImple Return'!K338)</f>
        <v>175.07236522583753</v>
      </c>
      <c r="Z339" s="14">
        <f>+Z338*(1+'SImple Return'!L338)</f>
        <v>753.84173362551746</v>
      </c>
      <c r="AA339" s="14">
        <f>+AA338*(1+'SImple Return'!M338)</f>
        <v>155.56588840522366</v>
      </c>
      <c r="AB339" s="14">
        <f>+AB338*(1+'SImple Return'!N338)</f>
        <v>154.29186018088495</v>
      </c>
    </row>
    <row r="340" spans="1:28">
      <c r="A340" s="8">
        <v>39990</v>
      </c>
      <c r="B340" s="10">
        <v>963.77</v>
      </c>
      <c r="C340" s="10">
        <v>301.83</v>
      </c>
      <c r="D340" s="10">
        <v>107.93</v>
      </c>
      <c r="E340" s="35">
        <v>1791.33</v>
      </c>
      <c r="F340" s="35">
        <v>1560.48</v>
      </c>
      <c r="G340" s="35">
        <v>1420.05</v>
      </c>
      <c r="H340" s="14">
        <v>1339.59</v>
      </c>
      <c r="I340" s="14">
        <v>1760.81</v>
      </c>
      <c r="J340" s="14">
        <v>1595.88</v>
      </c>
      <c r="K340" s="14">
        <v>1769.8</v>
      </c>
      <c r="L340" s="14">
        <v>8229.85</v>
      </c>
      <c r="M340" s="14">
        <v>1591.11</v>
      </c>
      <c r="N340" s="14">
        <v>1603.72</v>
      </c>
      <c r="P340" s="14">
        <f>+P339*(1+'SImple Return'!B339)</f>
        <v>118.41235517440491</v>
      </c>
      <c r="Q340" s="14">
        <f>+Q339*(1+'SImple Return'!C339)</f>
        <v>140.76578677362207</v>
      </c>
      <c r="R340" s="14">
        <f>+R339*(1+'SImple Return'!D339)</f>
        <v>124.51545916012911</v>
      </c>
      <c r="S340" s="14">
        <f>+S339*(1+'SImple Return'!E339)</f>
        <v>178.7486903158206</v>
      </c>
      <c r="T340" s="14">
        <f>+T339*(1+'SImple Return'!F339)</f>
        <v>153.19850775574332</v>
      </c>
      <c r="U340" s="14">
        <f>+U339*(1+'SImple Return'!G339)</f>
        <v>139.14692221764955</v>
      </c>
      <c r="V340" s="14">
        <f>+V339*(1+'SImple Return'!H339)</f>
        <v>133.47448760997597</v>
      </c>
      <c r="W340" s="14">
        <f>+W339*(1+'SImple Return'!I339)</f>
        <v>175.57009103508776</v>
      </c>
      <c r="X340" s="14">
        <f>+X339*(1+'SImple Return'!J339)</f>
        <v>160.75993996232546</v>
      </c>
      <c r="Y340" s="14">
        <f>+Y339*(1+'SImple Return'!K339)</f>
        <v>171.9086935405534</v>
      </c>
      <c r="Z340" s="14">
        <f>+Z339*(1+'SImple Return'!L339)</f>
        <v>801.54370586803032</v>
      </c>
      <c r="AA340" s="14">
        <f>+AA339*(1+'SImple Return'!M339)</f>
        <v>157.41096161456278</v>
      </c>
      <c r="AB340" s="14">
        <f>+AB339*(1+'SImple Return'!N339)</f>
        <v>156.80469322903943</v>
      </c>
    </row>
    <row r="341" spans="1:28">
      <c r="A341" s="8">
        <v>39997</v>
      </c>
      <c r="B341" s="10">
        <v>946.8</v>
      </c>
      <c r="C341" s="10">
        <v>303.27</v>
      </c>
      <c r="D341" s="10">
        <v>105.02</v>
      </c>
      <c r="E341" s="35">
        <v>1784.06</v>
      </c>
      <c r="F341" s="35">
        <v>1547.97</v>
      </c>
      <c r="G341" s="35">
        <v>1387.22</v>
      </c>
      <c r="H341" s="14">
        <v>1330.53</v>
      </c>
      <c r="I341" s="14">
        <v>1744.43</v>
      </c>
      <c r="J341" s="14">
        <v>1553.4</v>
      </c>
      <c r="K341" s="14">
        <v>1768.07</v>
      </c>
      <c r="L341" s="14">
        <v>8129.11</v>
      </c>
      <c r="M341" s="14">
        <v>1596.87</v>
      </c>
      <c r="N341" s="14">
        <v>1584.43</v>
      </c>
      <c r="P341" s="14">
        <f>+P340*(1+'SImple Return'!B340)</f>
        <v>116.32735806170203</v>
      </c>
      <c r="Q341" s="14">
        <f>+Q340*(1+'SImple Return'!C340)</f>
        <v>141.43736591735865</v>
      </c>
      <c r="R341" s="14">
        <f>+R340*(1+'SImple Return'!D340)</f>
        <v>121.15828334102434</v>
      </c>
      <c r="S341" s="14">
        <f>+S340*(1+'SImple Return'!E340)</f>
        <v>178.0232500124728</v>
      </c>
      <c r="T341" s="14">
        <f>+T340*(1+'SImple Return'!F340)</f>
        <v>151.97035146279222</v>
      </c>
      <c r="U341" s="14">
        <f>+U340*(1+'SImple Return'!G340)</f>
        <v>135.92999784427857</v>
      </c>
      <c r="V341" s="14">
        <f>+V340*(1+'SImple Return'!H340)</f>
        <v>132.57176449488375</v>
      </c>
      <c r="W341" s="14">
        <f>+W340*(1+'SImple Return'!I340)</f>
        <v>173.93684378458673</v>
      </c>
      <c r="X341" s="14">
        <f>+X340*(1+'SImple Return'!J340)</f>
        <v>156.48074462834072</v>
      </c>
      <c r="Y341" s="14">
        <f>+Y340*(1+'SImple Return'!K340)</f>
        <v>171.74065080135961</v>
      </c>
      <c r="Z341" s="14">
        <f>+Z340*(1+'SImple Return'!L340)</f>
        <v>791.73216459702951</v>
      </c>
      <c r="AA341" s="14">
        <f>+AA340*(1+'SImple Return'!M340)</f>
        <v>157.98080728136136</v>
      </c>
      <c r="AB341" s="14">
        <f>+AB340*(1+'SImple Return'!N340)</f>
        <v>154.91860180884876</v>
      </c>
    </row>
    <row r="342" spans="1:28">
      <c r="A342" s="8">
        <v>40004</v>
      </c>
      <c r="B342" s="10">
        <v>921.4</v>
      </c>
      <c r="C342" s="10">
        <v>306.37</v>
      </c>
      <c r="D342" s="10">
        <v>101.18</v>
      </c>
      <c r="E342" s="35">
        <v>1737.61</v>
      </c>
      <c r="F342" s="35">
        <v>1516.44</v>
      </c>
      <c r="G342" s="35">
        <v>1364.49</v>
      </c>
      <c r="H342" s="14">
        <v>1303.5899999999999</v>
      </c>
      <c r="I342" s="14">
        <v>1689.23</v>
      </c>
      <c r="J342" s="14">
        <v>1518.45</v>
      </c>
      <c r="K342" s="14">
        <v>1616.75</v>
      </c>
      <c r="L342" s="14">
        <v>7997.4</v>
      </c>
      <c r="M342" s="14">
        <v>1540.58</v>
      </c>
      <c r="N342" s="14">
        <v>1559.01</v>
      </c>
      <c r="P342" s="14">
        <f>+P341*(1+'SImple Return'!B341)</f>
        <v>113.20661989654864</v>
      </c>
      <c r="Q342" s="14">
        <f>+Q341*(1+'SImple Return'!C341)</f>
        <v>142.8831265740138</v>
      </c>
      <c r="R342" s="14">
        <f>+R341*(1+'SImple Return'!D341)</f>
        <v>116.72819566220571</v>
      </c>
      <c r="S342" s="14">
        <f>+S341*(1+'SImple Return'!E341)</f>
        <v>173.38821533702503</v>
      </c>
      <c r="T342" s="14">
        <f>+T341*(1+'SImple Return'!F341)</f>
        <v>148.87492636952695</v>
      </c>
      <c r="U342" s="14">
        <f>+U341*(1+'SImple Return'!G341)</f>
        <v>133.70274560526784</v>
      </c>
      <c r="V342" s="14">
        <f>+V341*(1+'SImple Return'!H341)</f>
        <v>129.88750834470886</v>
      </c>
      <c r="W342" s="14">
        <f>+W341*(1+'SImple Return'!I341)</f>
        <v>168.43286037630483</v>
      </c>
      <c r="X342" s="14">
        <f>+X341*(1+'SImple Return'!J341)</f>
        <v>152.96007897573321</v>
      </c>
      <c r="Y342" s="14">
        <f>+Y341*(1+'SImple Return'!K341)</f>
        <v>157.04225352112653</v>
      </c>
      <c r="Z342" s="14">
        <f>+Z341*(1+'SImple Return'!L341)</f>
        <v>778.90430971512058</v>
      </c>
      <c r="AA342" s="14">
        <f>+AA341*(1+'SImple Return'!M341)</f>
        <v>152.41195092995653</v>
      </c>
      <c r="AB342" s="14">
        <f>+AB341*(1+'SImple Return'!N341)</f>
        <v>152.43314593009052</v>
      </c>
    </row>
    <row r="343" spans="1:28">
      <c r="A343" s="8">
        <v>40011</v>
      </c>
      <c r="B343" s="10">
        <v>982.5</v>
      </c>
      <c r="C343" s="10">
        <v>304.43</v>
      </c>
      <c r="D343" s="10">
        <v>107.84</v>
      </c>
      <c r="E343" s="35">
        <v>1819.46</v>
      </c>
      <c r="F343" s="35">
        <v>1589.22</v>
      </c>
      <c r="G343" s="35">
        <v>1460.83</v>
      </c>
      <c r="H343" s="14">
        <v>1343.31</v>
      </c>
      <c r="I343" s="14">
        <v>1803.12</v>
      </c>
      <c r="J343" s="14">
        <v>1568.61</v>
      </c>
      <c r="K343" s="14">
        <v>1890.89</v>
      </c>
      <c r="L343" s="14">
        <v>8372</v>
      </c>
      <c r="M343" s="14">
        <v>1669.43</v>
      </c>
      <c r="N343" s="14">
        <v>1643.49</v>
      </c>
      <c r="P343" s="14">
        <f>+P342*(1+'SImple Return'!B342)</f>
        <v>120.71359241193733</v>
      </c>
      <c r="Q343" s="14">
        <f>+Q342*(1+'SImple Return'!C342)</f>
        <v>141.97836022759088</v>
      </c>
      <c r="R343" s="14">
        <f>+R342*(1+'SImple Return'!D342)</f>
        <v>124.41162898015678</v>
      </c>
      <c r="S343" s="14">
        <f>+S342*(1+'SImple Return'!E342)</f>
        <v>181.55565534101646</v>
      </c>
      <c r="T343" s="14">
        <f>+T342*(1+'SImple Return'!F342)</f>
        <v>156.02002748871013</v>
      </c>
      <c r="U343" s="14">
        <f>+U342*(1+'SImple Return'!G342)</f>
        <v>143.14284594430404</v>
      </c>
      <c r="V343" s="14">
        <f>+V342*(1+'SImple Return'!H342)</f>
        <v>133.84514213405356</v>
      </c>
      <c r="W343" s="14">
        <f>+W342*(1+'SImple Return'!I342)</f>
        <v>179.78881454966034</v>
      </c>
      <c r="X343" s="14">
        <f>+X342*(1+'SImple Return'!J342)</f>
        <v>158.01291414411065</v>
      </c>
      <c r="Y343" s="14">
        <f>+Y342*(1+'SImple Return'!K342)</f>
        <v>183.67071393880497</v>
      </c>
      <c r="Z343" s="14">
        <f>+Z342*(1+'SImple Return'!L342)</f>
        <v>815.38836133430743</v>
      </c>
      <c r="AA343" s="14">
        <f>+AA342*(1+'SImple Return'!M342)</f>
        <v>165.15927977839343</v>
      </c>
      <c r="AB343" s="14">
        <f>+AB342*(1+'SImple Return'!N342)</f>
        <v>160.69322903935475</v>
      </c>
    </row>
    <row r="344" spans="1:28">
      <c r="A344" s="8">
        <v>40018</v>
      </c>
      <c r="B344" s="10">
        <v>1027.49</v>
      </c>
      <c r="C344" s="10">
        <v>304.55</v>
      </c>
      <c r="D344" s="10">
        <v>113.18</v>
      </c>
      <c r="E344" s="35">
        <v>1853.24</v>
      </c>
      <c r="F344" s="35">
        <v>1660.24</v>
      </c>
      <c r="G344" s="35">
        <v>1519.03</v>
      </c>
      <c r="H344" s="14">
        <v>1377.92</v>
      </c>
      <c r="I344" s="14">
        <v>1916.56</v>
      </c>
      <c r="J344" s="14">
        <v>1549.51</v>
      </c>
      <c r="K344" s="14">
        <v>1972.65</v>
      </c>
      <c r="L344" s="14">
        <v>8758.6299999999992</v>
      </c>
      <c r="M344" s="14">
        <v>1754.56</v>
      </c>
      <c r="N344" s="14">
        <v>1695.91</v>
      </c>
      <c r="P344" s="14">
        <f>+P343*(1+'SImple Return'!B343)</f>
        <v>126.24123060289209</v>
      </c>
      <c r="Q344" s="14">
        <f>+Q343*(1+'SImple Return'!C343)</f>
        <v>142.03432515623561</v>
      </c>
      <c r="R344" s="14">
        <f>+R343*(1+'SImple Return'!D343)</f>
        <v>130.57221965851394</v>
      </c>
      <c r="S344" s="14">
        <f>+S343*(1+'SImple Return'!E343)</f>
        <v>184.92640822232164</v>
      </c>
      <c r="T344" s="14">
        <f>+T343*(1+'SImple Return'!F343)</f>
        <v>162.99234243078749</v>
      </c>
      <c r="U344" s="14">
        <f>+U343*(1+'SImple Return'!G343)</f>
        <v>148.84570913437989</v>
      </c>
      <c r="V344" s="14">
        <f>+V343*(1+'SImple Return'!H343)</f>
        <v>137.29362414435616</v>
      </c>
      <c r="W344" s="14">
        <f>+W343*(1+'SImple Return'!I343)</f>
        <v>191.09989929305706</v>
      </c>
      <c r="X344" s="14">
        <f>+X343*(1+'SImple Return'!J343)</f>
        <v>156.08888799347253</v>
      </c>
      <c r="Y344" s="14">
        <f>+Y343*(1+'SImple Return'!K343)</f>
        <v>191.61243322000942</v>
      </c>
      <c r="Z344" s="14">
        <f>+Z343*(1+'SImple Return'!L343)</f>
        <v>853.04407109812519</v>
      </c>
      <c r="AA344" s="14">
        <f>+AA343*(1+'SImple Return'!M343)</f>
        <v>173.58132172536611</v>
      </c>
      <c r="AB344" s="14">
        <f>+AB343*(1+'SImple Return'!N343)</f>
        <v>165.81862625275002</v>
      </c>
    </row>
    <row r="345" spans="1:28">
      <c r="A345" s="8">
        <v>40025</v>
      </c>
      <c r="B345" s="10">
        <v>1044.75</v>
      </c>
      <c r="C345" s="10">
        <v>307.3</v>
      </c>
      <c r="D345" s="10">
        <v>117.83</v>
      </c>
      <c r="E345" s="35">
        <v>1861.57</v>
      </c>
      <c r="F345" s="35">
        <v>1683.32</v>
      </c>
      <c r="G345" s="35">
        <v>1529.6</v>
      </c>
      <c r="H345" s="14">
        <v>1390.79</v>
      </c>
      <c r="I345" s="14">
        <v>1939.64</v>
      </c>
      <c r="J345" s="14">
        <v>1531.08</v>
      </c>
      <c r="K345" s="14">
        <v>1962.6</v>
      </c>
      <c r="L345" s="14">
        <v>8960.8700000000008</v>
      </c>
      <c r="M345" s="14">
        <v>1781.28</v>
      </c>
      <c r="N345" s="14">
        <v>1712.53</v>
      </c>
      <c r="P345" s="14">
        <f>+P344*(1+'SImple Return'!B344)</f>
        <v>128.36185819070892</v>
      </c>
      <c r="Q345" s="14">
        <f>+Q344*(1+'SImple Return'!C344)</f>
        <v>143.31685477101036</v>
      </c>
      <c r="R345" s="14">
        <f>+R344*(1+'SImple Return'!D344)</f>
        <v>135.93677895708339</v>
      </c>
      <c r="S345" s="14">
        <f>+S344*(1+'SImple Return'!E344)</f>
        <v>185.75762111460321</v>
      </c>
      <c r="T345" s="14">
        <f>+T344*(1+'SImple Return'!F344)</f>
        <v>165.25819752601623</v>
      </c>
      <c r="U345" s="14">
        <f>+U344*(1+'SImple Return'!G344)</f>
        <v>149.8814353185569</v>
      </c>
      <c r="V345" s="14">
        <f>+V344*(1+'SImple Return'!H344)</f>
        <v>138.57596923168913</v>
      </c>
      <c r="W345" s="14">
        <f>+W344*(1+'SImple Return'!I344)</f>
        <v>193.40120250072275</v>
      </c>
      <c r="X345" s="14">
        <f>+X344*(1+'SImple Return'!J344)</f>
        <v>154.23235385963685</v>
      </c>
      <c r="Y345" s="14">
        <f>+Y344*(1+'SImple Return'!K344)</f>
        <v>190.63623118018424</v>
      </c>
      <c r="Z345" s="14">
        <f>+Z344*(1+'SImple Return'!L344)</f>
        <v>872.74117360603873</v>
      </c>
      <c r="AA345" s="14">
        <f>+AA344*(1+'SImple Return'!M344)</f>
        <v>176.22477245745952</v>
      </c>
      <c r="AB345" s="14">
        <f>+AB344*(1+'SImple Return'!N344)</f>
        <v>167.44365680762655</v>
      </c>
    </row>
    <row r="346" spans="1:28">
      <c r="A346" s="8">
        <v>40032</v>
      </c>
      <c r="B346" s="10">
        <v>1063.21</v>
      </c>
      <c r="C346" s="10">
        <v>305.99</v>
      </c>
      <c r="D346" s="10">
        <v>122.21</v>
      </c>
      <c r="E346" s="35">
        <v>1875.74</v>
      </c>
      <c r="F346" s="35">
        <v>1676.28</v>
      </c>
      <c r="G346" s="35">
        <v>1513.36</v>
      </c>
      <c r="H346" s="14">
        <v>1397.33</v>
      </c>
      <c r="I346" s="14">
        <v>1961.16</v>
      </c>
      <c r="J346" s="14">
        <v>1517.91</v>
      </c>
      <c r="K346" s="14">
        <v>2015.54</v>
      </c>
      <c r="L346" s="14">
        <v>8628.44</v>
      </c>
      <c r="M346" s="14">
        <v>1818.49</v>
      </c>
      <c r="N346" s="14">
        <v>1713.92</v>
      </c>
      <c r="P346" s="14">
        <f>+P345*(1+'SImple Return'!B345)</f>
        <v>130.62992222727317</v>
      </c>
      <c r="Q346" s="14">
        <f>+Q345*(1+'SImple Return'!C345)</f>
        <v>142.70590429997219</v>
      </c>
      <c r="R346" s="14">
        <f>+R345*(1+'SImple Return'!D345)</f>
        <v>140.98984771573589</v>
      </c>
      <c r="S346" s="14">
        <f>+S345*(1+'SImple Return'!E345)</f>
        <v>187.17158110063323</v>
      </c>
      <c r="T346" s="14">
        <f>+T345*(1+'SImple Return'!F345)</f>
        <v>164.56705281759292</v>
      </c>
      <c r="U346" s="14">
        <f>+U345*(1+'SImple Return'!G345)</f>
        <v>148.29012091637767</v>
      </c>
      <c r="V346" s="14">
        <f>+V345*(1+'SImple Return'!H345)</f>
        <v>139.22760379821264</v>
      </c>
      <c r="W346" s="14">
        <f>+W345*(1+'SImple Return'!I345)</f>
        <v>195.54695835119787</v>
      </c>
      <c r="X346" s="14">
        <f>+X345*(1+'SImple Return'!J345)</f>
        <v>152.90568242487745</v>
      </c>
      <c r="Y346" s="14">
        <f>+Y345*(1+'SImple Return'!K345)</f>
        <v>195.77853326857667</v>
      </c>
      <c r="Z346" s="14">
        <f>+Z345*(1+'SImple Return'!L345)</f>
        <v>840.36425614804011</v>
      </c>
      <c r="AA346" s="14">
        <f>+AA345*(1+'SImple Return'!M345)</f>
        <v>179.90601503759407</v>
      </c>
      <c r="AB346" s="14">
        <f>+AB345*(1+'SImple Return'!N345)</f>
        <v>167.57956489855786</v>
      </c>
    </row>
    <row r="347" spans="1:28">
      <c r="A347" s="8">
        <v>40039</v>
      </c>
      <c r="B347" s="10">
        <v>1063.98</v>
      </c>
      <c r="C347" s="10">
        <v>308.83</v>
      </c>
      <c r="D347" s="10">
        <v>122.9</v>
      </c>
      <c r="E347" s="35">
        <v>1875.04</v>
      </c>
      <c r="F347" s="35">
        <v>1669.4</v>
      </c>
      <c r="G347" s="35">
        <v>1523.67</v>
      </c>
      <c r="H347" s="14">
        <v>1409.21</v>
      </c>
      <c r="I347" s="14">
        <v>1979.88</v>
      </c>
      <c r="J347" s="14">
        <v>1486.19</v>
      </c>
      <c r="K347" s="14">
        <v>2020.28</v>
      </c>
      <c r="L347" s="14">
        <v>8519.25</v>
      </c>
      <c r="M347" s="14">
        <v>1800.15</v>
      </c>
      <c r="N347" s="14">
        <v>1712.97</v>
      </c>
      <c r="P347" s="14">
        <f>+P346*(1+'SImple Return'!B346)</f>
        <v>130.72452728188608</v>
      </c>
      <c r="Q347" s="14">
        <f>+Q346*(1+'SImple Return'!C346)</f>
        <v>144.03040761123043</v>
      </c>
      <c r="R347" s="14">
        <f>+R346*(1+'SImple Return'!D346)</f>
        <v>141.78587909552363</v>
      </c>
      <c r="S347" s="14">
        <f>+S346*(1+'SImple Return'!E346)</f>
        <v>187.10173127775241</v>
      </c>
      <c r="T347" s="14">
        <f>+T346*(1+'SImple Return'!F346)</f>
        <v>163.89161594345194</v>
      </c>
      <c r="U347" s="14">
        <f>+U346*(1+'SImple Return'!G346)</f>
        <v>149.30037039214542</v>
      </c>
      <c r="V347" s="14">
        <f>+V346*(1+'SImple Return'!H346)</f>
        <v>140.4113069557508</v>
      </c>
      <c r="W347" s="14">
        <f>+W346*(1+'SImple Return'!I346)</f>
        <v>197.41352663748481</v>
      </c>
      <c r="X347" s="14">
        <f>+X346*(1+'SImple Return'!J346)</f>
        <v>149.71038873386999</v>
      </c>
      <c r="Y347" s="14">
        <f>+Y346*(1+'SImple Return'!K346)</f>
        <v>196.2389509470614</v>
      </c>
      <c r="Z347" s="14">
        <f>+Z346*(1+'SImple Return'!L346)</f>
        <v>829.72972972972991</v>
      </c>
      <c r="AA347" s="14">
        <f>+AA346*(1+'SImple Return'!M346)</f>
        <v>178.09161060546111</v>
      </c>
      <c r="AB347" s="14">
        <f>+AB346*(1+'SImple Return'!N346)</f>
        <v>167.48667807382063</v>
      </c>
    </row>
    <row r="348" spans="1:28">
      <c r="A348" s="8">
        <v>40046</v>
      </c>
      <c r="B348" s="10">
        <v>1080.57</v>
      </c>
      <c r="C348" s="10">
        <v>309.19</v>
      </c>
      <c r="D348" s="10">
        <v>121.84</v>
      </c>
      <c r="E348" s="35">
        <v>1913.41</v>
      </c>
      <c r="F348" s="35">
        <v>1702.85</v>
      </c>
      <c r="G348" s="35">
        <v>1469.08</v>
      </c>
      <c r="H348" s="14">
        <v>1443.88</v>
      </c>
      <c r="I348" s="14">
        <v>1962.93</v>
      </c>
      <c r="J348" s="14">
        <v>1524.8</v>
      </c>
      <c r="K348" s="14">
        <v>1950.45</v>
      </c>
      <c r="L348" s="14">
        <v>8752.56</v>
      </c>
      <c r="M348" s="14">
        <v>1769.71</v>
      </c>
      <c r="N348" s="14">
        <v>1730.35</v>
      </c>
      <c r="P348" s="14">
        <f>+P347*(1+'SImple Return'!B347)</f>
        <v>132.76283618581894</v>
      </c>
      <c r="Q348" s="14">
        <f>+Q347*(1+'SImple Return'!C347)</f>
        <v>144.19830239716458</v>
      </c>
      <c r="R348" s="14">
        <f>+R347*(1+'SImple Return'!D347)</f>
        <v>140.56299030918305</v>
      </c>
      <c r="S348" s="14">
        <f>+S347*(1+'SImple Return'!E347)</f>
        <v>190.93049942623315</v>
      </c>
      <c r="T348" s="14">
        <f>+T347*(1+'SImple Return'!F347)</f>
        <v>167.17553504810536</v>
      </c>
      <c r="U348" s="14">
        <f>+U347*(1+'SImple Return'!G347)</f>
        <v>143.95124149959832</v>
      </c>
      <c r="V348" s="14">
        <f>+V347*(1+'SImple Return'!H347)</f>
        <v>143.86576726482886</v>
      </c>
      <c r="W348" s="14">
        <f>+W347*(1+'SImple Return'!I347)</f>
        <v>195.7234447757026</v>
      </c>
      <c r="X348" s="14">
        <f>+X347*(1+'SImple Return'!J347)</f>
        <v>153.59974212005525</v>
      </c>
      <c r="Y348" s="14">
        <f>+Y347*(1+'SImple Return'!K347)</f>
        <v>189.45604662457478</v>
      </c>
      <c r="Z348" s="14">
        <f>+Z347*(1+'SImple Return'!L347)</f>
        <v>852.45288531775032</v>
      </c>
      <c r="AA348" s="14">
        <f>+AA347*(1+'SImple Return'!M347)</f>
        <v>175.08013454689365</v>
      </c>
      <c r="AB348" s="14">
        <f>+AB347*(1+'SImple Return'!N347)</f>
        <v>169.18601808848695</v>
      </c>
    </row>
    <row r="349" spans="1:28">
      <c r="A349" s="8">
        <v>40053</v>
      </c>
      <c r="B349" s="10">
        <v>1094.0899999999999</v>
      </c>
      <c r="C349" s="10">
        <v>311.58999999999997</v>
      </c>
      <c r="D349" s="10">
        <v>124.82</v>
      </c>
      <c r="E349" s="35">
        <v>1927.84</v>
      </c>
      <c r="F349" s="35">
        <v>1680.65</v>
      </c>
      <c r="G349" s="35">
        <v>1519.22</v>
      </c>
      <c r="H349" s="14">
        <v>1430.26</v>
      </c>
      <c r="I349" s="14">
        <v>2018.98</v>
      </c>
      <c r="J349" s="14">
        <v>1521.46</v>
      </c>
      <c r="K349" s="14">
        <v>2029.69</v>
      </c>
      <c r="L349" s="14">
        <v>8596.3799999999992</v>
      </c>
      <c r="M349" s="14">
        <v>1822.68</v>
      </c>
      <c r="N349" s="14">
        <v>1738.87</v>
      </c>
      <c r="P349" s="14">
        <f>+P348*(1+'SImple Return'!B348)</f>
        <v>134.42395350837302</v>
      </c>
      <c r="Q349" s="14">
        <f>+Q348*(1+'SImple Return'!C348)</f>
        <v>145.31760097005889</v>
      </c>
      <c r="R349" s="14">
        <f>+R348*(1+'SImple Return'!D348)</f>
        <v>144.00092293493293</v>
      </c>
      <c r="S349" s="14">
        <f>+S348*(1+'SImple Return'!E348)</f>
        <v>192.37040363219035</v>
      </c>
      <c r="T349" s="14">
        <f>+T348*(1+'SImple Return'!F348)</f>
        <v>164.99607304142955</v>
      </c>
      <c r="U349" s="14">
        <f>+U348*(1+'SImple Return'!G348)</f>
        <v>148.8643267289867</v>
      </c>
      <c r="V349" s="14">
        <f>+V348*(1+'SImple Return'!H348)</f>
        <v>142.50869344280281</v>
      </c>
      <c r="W349" s="14">
        <f>+W348*(1+'SImple Return'!I348)</f>
        <v>201.31218155168449</v>
      </c>
      <c r="X349" s="14">
        <f>+X348*(1+'SImple Return'!J348)</f>
        <v>153.26328937957717</v>
      </c>
      <c r="Y349" s="14">
        <f>+Y348*(1+'SImple Return'!K348)</f>
        <v>197.15298688683799</v>
      </c>
      <c r="Z349" s="14">
        <f>+Z348*(1+'SImple Return'!L348)</f>
        <v>837.24178232286351</v>
      </c>
      <c r="AA349" s="14">
        <f>+AA348*(1+'SImple Return'!M348)</f>
        <v>180.32053818757427</v>
      </c>
      <c r="AB349" s="14">
        <f>+AB348*(1+'SImple Return'!N348)</f>
        <v>170.0190662429724</v>
      </c>
    </row>
    <row r="350" spans="1:28">
      <c r="A350" s="8">
        <v>40060</v>
      </c>
      <c r="B350" s="10">
        <v>1075.4100000000001</v>
      </c>
      <c r="C350" s="10">
        <v>311.93</v>
      </c>
      <c r="D350" s="10">
        <v>121.66</v>
      </c>
      <c r="E350" s="35">
        <v>1905.55</v>
      </c>
      <c r="F350" s="35">
        <v>1662.38</v>
      </c>
      <c r="G350" s="35">
        <v>1535.58</v>
      </c>
      <c r="H350" s="14">
        <v>1418.4</v>
      </c>
      <c r="I350" s="14">
        <v>1954.76</v>
      </c>
      <c r="J350" s="14">
        <v>1513.27</v>
      </c>
      <c r="K350" s="14">
        <v>2070.11</v>
      </c>
      <c r="L350" s="14">
        <v>8743.16</v>
      </c>
      <c r="M350" s="14">
        <v>1797.15</v>
      </c>
      <c r="N350" s="14">
        <v>1722.99</v>
      </c>
      <c r="P350" s="14">
        <f>+P349*(1+'SImple Return'!B349)</f>
        <v>132.12885945620511</v>
      </c>
      <c r="Q350" s="14">
        <f>+Q349*(1+'SImple Return'!C349)</f>
        <v>145.47616826788558</v>
      </c>
      <c r="R350" s="14">
        <f>+R349*(1+'SImple Return'!D349)</f>
        <v>140.35532994923841</v>
      </c>
      <c r="S350" s="14">
        <f>+S349*(1+'SImple Return'!E349)</f>
        <v>190.14618570074296</v>
      </c>
      <c r="T350" s="14">
        <f>+T349*(1+'SImple Return'!F349)</f>
        <v>163.20243471431391</v>
      </c>
      <c r="U350" s="14">
        <f>+U349*(1+'SImple Return'!G349)</f>
        <v>150.46739961197019</v>
      </c>
      <c r="V350" s="14">
        <f>+V349*(1+'SImple Return'!H349)</f>
        <v>141.32698305152317</v>
      </c>
      <c r="W350" s="14">
        <f>+W349*(1+'SImple Return'!I349)</f>
        <v>194.90881534733913</v>
      </c>
      <c r="X350" s="14">
        <f>+X349*(1+'SImple Return'!J349)</f>
        <v>152.43827502493181</v>
      </c>
      <c r="Y350" s="14">
        <f>+Y349*(1+'SImple Return'!K349)</f>
        <v>201.07916464303031</v>
      </c>
      <c r="Z350" s="14">
        <f>+Z349*(1+'SImple Return'!L349)</f>
        <v>851.53737521305106</v>
      </c>
      <c r="AA350" s="14">
        <f>+AA349*(1+'SImple Return'!M349)</f>
        <v>177.79481598733685</v>
      </c>
      <c r="AB350" s="14">
        <f>+AB349*(1+'SImple Return'!N349)</f>
        <v>168.4663896357859</v>
      </c>
    </row>
    <row r="351" spans="1:28">
      <c r="A351" s="8">
        <v>40067</v>
      </c>
      <c r="B351" s="10">
        <v>1119.23</v>
      </c>
      <c r="C351" s="10">
        <v>314.94</v>
      </c>
      <c r="D351" s="10">
        <v>129.6</v>
      </c>
      <c r="E351" s="35">
        <v>2036.79</v>
      </c>
      <c r="F351" s="35">
        <v>1700.7</v>
      </c>
      <c r="G351" s="35">
        <v>1602.57</v>
      </c>
      <c r="H351" s="14">
        <v>1464.04</v>
      </c>
      <c r="I351" s="14">
        <v>2091.48</v>
      </c>
      <c r="J351" s="14">
        <v>1571.97</v>
      </c>
      <c r="K351" s="14">
        <v>2250.8000000000002</v>
      </c>
      <c r="L351" s="14">
        <v>9399.07</v>
      </c>
      <c r="M351" s="14">
        <v>1921.46</v>
      </c>
      <c r="N351" s="14">
        <v>1768.87</v>
      </c>
      <c r="P351" s="14">
        <f>+P350*(1+'SImple Return'!B350)</f>
        <v>137.51274710963114</v>
      </c>
      <c r="Q351" s="14">
        <f>+Q350*(1+'SImple Return'!C350)</f>
        <v>146.87995522805718</v>
      </c>
      <c r="R351" s="14">
        <f>+R350*(1+'SImple Return'!D350)</f>
        <v>149.51545916012901</v>
      </c>
      <c r="S351" s="14">
        <f>+S350*(1+'SImple Return'!E350)</f>
        <v>203.24202963628153</v>
      </c>
      <c r="T351" s="14">
        <f>+T350*(1+'SImple Return'!F350)</f>
        <v>166.96446102493633</v>
      </c>
      <c r="U351" s="14">
        <f>+U350*(1+'SImple Return'!G350)</f>
        <v>157.03157152095957</v>
      </c>
      <c r="V351" s="14">
        <f>+V350*(1+'SImple Return'!H350)</f>
        <v>145.87447565337843</v>
      </c>
      <c r="W351" s="14">
        <f>+W350*(1+'SImple Return'!I350)</f>
        <v>208.5411452672721</v>
      </c>
      <c r="X351" s="14">
        <f>+X350*(1+'SImple Return'!J350)</f>
        <v>158.35138157165744</v>
      </c>
      <c r="Y351" s="14">
        <f>+Y350*(1+'SImple Return'!K350)</f>
        <v>218.63040310830468</v>
      </c>
      <c r="Z351" s="14">
        <f>+Z350*(1+'SImple Return'!L350)</f>
        <v>915.41952763574409</v>
      </c>
      <c r="AA351" s="14">
        <f>+AA350*(1+'SImple Return'!M350)</f>
        <v>190.09299564701234</v>
      </c>
      <c r="AB351" s="14">
        <f>+AB350*(1+'SImple Return'!N350)</f>
        <v>172.95233439256907</v>
      </c>
    </row>
    <row r="352" spans="1:28">
      <c r="A352" s="8">
        <v>40074</v>
      </c>
      <c r="B352" s="10">
        <v>1139.43</v>
      </c>
      <c r="C352" s="10">
        <v>315.13</v>
      </c>
      <c r="D352" s="10">
        <v>133.49</v>
      </c>
      <c r="E352" s="35">
        <v>2065.08</v>
      </c>
      <c r="F352" s="35">
        <v>1752.66</v>
      </c>
      <c r="G352" s="35">
        <v>1630.31</v>
      </c>
      <c r="H352" s="14">
        <v>1480.49</v>
      </c>
      <c r="I352" s="14">
        <v>2172.27</v>
      </c>
      <c r="J352" s="14">
        <v>1580.73</v>
      </c>
      <c r="K352" s="14">
        <v>2248.56</v>
      </c>
      <c r="L352" s="14">
        <v>9883.23</v>
      </c>
      <c r="M352" s="14">
        <v>1958.1</v>
      </c>
      <c r="N352" s="14">
        <v>1807.01</v>
      </c>
      <c r="P352" s="14">
        <f>+P351*(1+'SImple Return'!B351)</f>
        <v>139.99459399687913</v>
      </c>
      <c r="Q352" s="14">
        <f>+Q351*(1+'SImple Return'!C351)</f>
        <v>146.96856636507798</v>
      </c>
      <c r="R352" s="14">
        <f>+R351*(1+'SImple Return'!D351)</f>
        <v>154.00323027226563</v>
      </c>
      <c r="S352" s="14">
        <f>+S351*(1+'SImple Return'!E351)</f>
        <v>206.06496033527867</v>
      </c>
      <c r="T352" s="14">
        <f>+T351*(1+'SImple Return'!F351)</f>
        <v>172.06558020812895</v>
      </c>
      <c r="U352" s="14">
        <f>+U351*(1+'SImple Return'!G351)</f>
        <v>159.749740333549</v>
      </c>
      <c r="V352" s="14">
        <f>+V351*(1+'SImple Return'!H351)</f>
        <v>147.51352590097966</v>
      </c>
      <c r="W352" s="14">
        <f>+W351*(1+'SImple Return'!I351)</f>
        <v>216.59670359254554</v>
      </c>
      <c r="X352" s="14">
        <f>+X351*(1+'SImple Return'!J351)</f>
        <v>159.23381450776162</v>
      </c>
      <c r="Y352" s="14">
        <f>+Y351*(1+'SImple Return'!K351)</f>
        <v>218.41282175813467</v>
      </c>
      <c r="Z352" s="14">
        <f>+Z351*(1+'SImple Return'!L351)</f>
        <v>962.57414170927711</v>
      </c>
      <c r="AA352" s="14">
        <f>+AA351*(1+'SImple Return'!M351)</f>
        <v>193.71784724970325</v>
      </c>
      <c r="AB352" s="14">
        <f>+AB351*(1+'SImple Return'!N351)</f>
        <v>176.68149596675633</v>
      </c>
    </row>
    <row r="353" spans="1:28">
      <c r="A353" s="8">
        <v>40081</v>
      </c>
      <c r="B353" s="10">
        <v>1115.4000000000001</v>
      </c>
      <c r="C353" s="10">
        <v>316.38</v>
      </c>
      <c r="D353" s="10">
        <v>128.03</v>
      </c>
      <c r="E353" s="35">
        <v>2025.42</v>
      </c>
      <c r="F353" s="35">
        <v>1725.21</v>
      </c>
      <c r="G353" s="35">
        <v>1630.9</v>
      </c>
      <c r="H353" s="14">
        <v>1446.3</v>
      </c>
      <c r="I353" s="14">
        <v>2159.94</v>
      </c>
      <c r="J353" s="14">
        <v>1506.89</v>
      </c>
      <c r="K353" s="14">
        <v>2242.2399999999998</v>
      </c>
      <c r="L353" s="14">
        <v>9738.98</v>
      </c>
      <c r="M353" s="14">
        <v>1953.19</v>
      </c>
      <c r="N353" s="14">
        <v>1786.37</v>
      </c>
      <c r="P353" s="14">
        <f>+P352*(1+'SImple Return'!B352)</f>
        <v>137.04217911071237</v>
      </c>
      <c r="Q353" s="14">
        <f>+Q352*(1+'SImple Return'!C352)</f>
        <v>147.55153437179379</v>
      </c>
      <c r="R353" s="14">
        <f>+R352*(1+'SImple Return'!D352)</f>
        <v>147.70419935394537</v>
      </c>
      <c r="S353" s="14">
        <f>+S352*(1+'SImple Return'!E352)</f>
        <v>202.10746894177473</v>
      </c>
      <c r="T353" s="14">
        <f>+T352*(1+'SImple Return'!F352)</f>
        <v>169.37070488906355</v>
      </c>
      <c r="U353" s="14">
        <f>+U352*(1+'SImple Return'!G352)</f>
        <v>159.80755286417005</v>
      </c>
      <c r="V353" s="14">
        <f>+V352*(1+'SImple Return'!H352)</f>
        <v>144.10689198210517</v>
      </c>
      <c r="W353" s="14">
        <f>+W352*(1+'SImple Return'!I352)</f>
        <v>215.36728121167388</v>
      </c>
      <c r="X353" s="14">
        <f>+X352*(1+'SImple Return'!J352)</f>
        <v>151.79558985000659</v>
      </c>
      <c r="Y353" s="14">
        <f>+Y352*(1+'SImple Return'!K352)</f>
        <v>217.79893152015504</v>
      </c>
      <c r="Z353" s="14">
        <f>+Z352*(1+'SImple Return'!L352)</f>
        <v>948.52495738982259</v>
      </c>
      <c r="AA353" s="14">
        <f>+AA352*(1+'SImple Return'!M352)</f>
        <v>193.23209339137324</v>
      </c>
      <c r="AB353" s="14">
        <f>+AB352*(1+'SImple Return'!N352)</f>
        <v>174.66340747983381</v>
      </c>
    </row>
    <row r="354" spans="1:28">
      <c r="A354" s="8">
        <v>40088</v>
      </c>
      <c r="B354" s="10">
        <v>1088.9000000000001</v>
      </c>
      <c r="C354" s="10">
        <v>317.88</v>
      </c>
      <c r="D354" s="10">
        <v>124.14</v>
      </c>
      <c r="E354" s="35">
        <v>2024.79</v>
      </c>
      <c r="F354" s="35">
        <v>1695.99</v>
      </c>
      <c r="G354" s="35">
        <v>1648.25</v>
      </c>
      <c r="H354" s="14">
        <v>1442.16</v>
      </c>
      <c r="I354" s="14">
        <v>2141.46</v>
      </c>
      <c r="J354" s="14">
        <v>1514.58</v>
      </c>
      <c r="K354" s="14">
        <v>2204.7600000000002</v>
      </c>
      <c r="L354" s="14">
        <v>9501.67</v>
      </c>
      <c r="M354" s="14">
        <v>1984.57</v>
      </c>
      <c r="N354" s="14">
        <v>1781.3</v>
      </c>
      <c r="P354" s="14">
        <f>+P353*(1+'SImple Return'!B353)</f>
        <v>133.78629086754052</v>
      </c>
      <c r="Q354" s="14">
        <f>+Q353*(1+'SImple Return'!C353)</f>
        <v>148.25109597985275</v>
      </c>
      <c r="R354" s="14">
        <f>+R353*(1+'SImple Return'!D353)</f>
        <v>143.21642824180879</v>
      </c>
      <c r="S354" s="14">
        <f>+S353*(1+'SImple Return'!E353)</f>
        <v>202.04460410118199</v>
      </c>
      <c r="T354" s="14">
        <f>+T353*(1+'SImple Return'!F353)</f>
        <v>166.50206165324968</v>
      </c>
      <c r="U354" s="14">
        <f>+U353*(1+'SImple Return'!G353)</f>
        <v>161.50763321378886</v>
      </c>
      <c r="V354" s="14">
        <f>+V353*(1+'SImple Return'!H353)</f>
        <v>143.69438936659947</v>
      </c>
      <c r="W354" s="14">
        <f>+W353*(1+'SImple Return'!I353)</f>
        <v>213.52464328803168</v>
      </c>
      <c r="X354" s="14">
        <f>+X353*(1+'SImple Return'!J353)</f>
        <v>152.57023702793367</v>
      </c>
      <c r="Y354" s="14">
        <f>+Y353*(1+'SImple Return'!K353)</f>
        <v>214.15832928606085</v>
      </c>
      <c r="Z354" s="14">
        <f>+Z353*(1+'SImple Return'!L353)</f>
        <v>925.41222303384495</v>
      </c>
      <c r="AA354" s="14">
        <f>+AA353*(1+'SImple Return'!M353)</f>
        <v>196.33656509695297</v>
      </c>
      <c r="AB354" s="14">
        <f>+AB353*(1+'SImple Return'!N353)</f>
        <v>174.16768516255198</v>
      </c>
    </row>
    <row r="355" spans="1:28">
      <c r="A355" s="8">
        <v>40095</v>
      </c>
      <c r="B355" s="10">
        <v>1139.8399999999999</v>
      </c>
      <c r="C355" s="10">
        <v>318.05</v>
      </c>
      <c r="D355" s="10">
        <v>130.43</v>
      </c>
      <c r="E355" s="35">
        <v>2076.2800000000002</v>
      </c>
      <c r="F355" s="35">
        <v>1770.43</v>
      </c>
      <c r="G355" s="35">
        <v>1665.49</v>
      </c>
      <c r="H355" s="14">
        <v>1459.19</v>
      </c>
      <c r="I355" s="14">
        <v>2208.61</v>
      </c>
      <c r="J355" s="14">
        <v>1522.51</v>
      </c>
      <c r="K355" s="14">
        <v>2228.09</v>
      </c>
      <c r="L355" s="14">
        <v>9922.19</v>
      </c>
      <c r="M355" s="14">
        <v>2070.6999999999998</v>
      </c>
      <c r="N355" s="14">
        <v>1846.48</v>
      </c>
      <c r="P355" s="14">
        <f>+P354*(1+'SImple Return'!B354)</f>
        <v>140.04496811686781</v>
      </c>
      <c r="Q355" s="14">
        <f>+Q354*(1+'SImple Return'!C354)</f>
        <v>148.33037962876611</v>
      </c>
      <c r="R355" s="14">
        <f>+R354*(1+'SImple Return'!D354)</f>
        <v>150.47300415320703</v>
      </c>
      <c r="S355" s="14">
        <f>+S354*(1+'SImple Return'!E354)</f>
        <v>207.1825575013716</v>
      </c>
      <c r="T355" s="14">
        <f>+T354*(1+'SImple Return'!F354)</f>
        <v>173.81013155311223</v>
      </c>
      <c r="U355" s="14">
        <f>+U354*(1+'SImple Return'!G354)</f>
        <v>163.19693495600376</v>
      </c>
      <c r="V355" s="14">
        <f>+V354*(1+'SImple Return'!H354)</f>
        <v>145.39122983569663</v>
      </c>
      <c r="W355" s="14">
        <f>+W354*(1+'SImple Return'!I354)</f>
        <v>220.22015933633114</v>
      </c>
      <c r="X355" s="14">
        <f>+X354*(1+'SImple Return'!J354)</f>
        <v>153.36906045068554</v>
      </c>
      <c r="Y355" s="14">
        <f>+Y354*(1+'SImple Return'!K354)</f>
        <v>216.42447790189377</v>
      </c>
      <c r="Z355" s="14">
        <f>+Z354*(1+'SImple Return'!L354)</f>
        <v>966.36863890917982</v>
      </c>
      <c r="AA355" s="14">
        <f>+AA354*(1+'SImple Return'!M354)</f>
        <v>204.8575385833004</v>
      </c>
      <c r="AB355" s="14">
        <f>+AB354*(1+'SImple Return'!N354)</f>
        <v>180.54069909557569</v>
      </c>
    </row>
    <row r="356" spans="1:28">
      <c r="A356" s="8">
        <v>40102</v>
      </c>
      <c r="B356" s="10">
        <v>1156.2</v>
      </c>
      <c r="C356" s="10">
        <v>316.95999999999998</v>
      </c>
      <c r="D356" s="10">
        <v>130.69999999999999</v>
      </c>
      <c r="E356" s="35">
        <v>2077.66</v>
      </c>
      <c r="F356" s="35">
        <v>1812.15</v>
      </c>
      <c r="G356" s="35">
        <v>1727.04</v>
      </c>
      <c r="H356" s="14">
        <v>1459.39</v>
      </c>
      <c r="I356" s="14">
        <v>2247.33</v>
      </c>
      <c r="J356" s="14">
        <v>1523.32</v>
      </c>
      <c r="K356" s="14">
        <v>2260.75</v>
      </c>
      <c r="L356" s="14">
        <v>10514.83</v>
      </c>
      <c r="M356" s="14">
        <v>2109.77</v>
      </c>
      <c r="N356" s="14">
        <v>1869.83</v>
      </c>
      <c r="P356" s="14">
        <f>+P355*(1+'SImple Return'!B355)</f>
        <v>142.05501836812411</v>
      </c>
      <c r="Q356" s="14">
        <f>+Q355*(1+'SImple Return'!C355)</f>
        <v>147.82203152690991</v>
      </c>
      <c r="R356" s="14">
        <f>+R355*(1+'SImple Return'!D355)</f>
        <v>150.78449469312395</v>
      </c>
      <c r="S356" s="14">
        <f>+S355*(1+'SImple Return'!E355)</f>
        <v>207.32026143790804</v>
      </c>
      <c r="T356" s="14">
        <f>+T355*(1+'SImple Return'!F355)</f>
        <v>177.90594934223455</v>
      </c>
      <c r="U356" s="14">
        <f>+U355*(1+'SImple Return'!G355)</f>
        <v>169.22805573519909</v>
      </c>
      <c r="V356" s="14">
        <f>+V355*(1+'SImple Return'!H355)</f>
        <v>145.41115749828148</v>
      </c>
      <c r="W356" s="14">
        <f>+W355*(1+'SImple Return'!I355)</f>
        <v>224.08092450967669</v>
      </c>
      <c r="X356" s="14">
        <f>+X355*(1+'SImple Return'!J355)</f>
        <v>153.45065527696914</v>
      </c>
      <c r="Y356" s="14">
        <f>+Y355*(1+'SImple Return'!K355)</f>
        <v>219.5968916949972</v>
      </c>
      <c r="Z356" s="14">
        <f>+Z355*(1+'SImple Return'!L355)</f>
        <v>1024.0886291697107</v>
      </c>
      <c r="AA356" s="14">
        <f>+AA355*(1+'SImple Return'!M355)</f>
        <v>208.72279382667199</v>
      </c>
      <c r="AB356" s="14">
        <f>+AB355*(1+'SImple Return'!N355)</f>
        <v>182.82375947201174</v>
      </c>
    </row>
    <row r="357" spans="1:28">
      <c r="A357" s="8">
        <v>40109</v>
      </c>
      <c r="B357" s="10">
        <v>1153.42</v>
      </c>
      <c r="C357" s="10">
        <v>317.14999999999998</v>
      </c>
      <c r="D357" s="10">
        <v>132.77000000000001</v>
      </c>
      <c r="E357" s="35">
        <v>2084.1</v>
      </c>
      <c r="F357" s="35">
        <v>1786.05</v>
      </c>
      <c r="G357" s="35">
        <v>1748.81</v>
      </c>
      <c r="H357" s="14">
        <v>1471.29</v>
      </c>
      <c r="I357" s="14">
        <v>2237.1999999999998</v>
      </c>
      <c r="J357" s="14">
        <v>1505.5</v>
      </c>
      <c r="K357" s="14">
        <v>2229.35</v>
      </c>
      <c r="L357" s="14">
        <v>10318.02</v>
      </c>
      <c r="M357" s="14">
        <v>2111.25</v>
      </c>
      <c r="N357" s="14">
        <v>1854.48</v>
      </c>
      <c r="P357" s="14">
        <f>+P356*(1+'SImple Return'!B356)</f>
        <v>141.7134572618593</v>
      </c>
      <c r="Q357" s="14">
        <f>+Q356*(1+'SImple Return'!C356)</f>
        <v>147.91064266393073</v>
      </c>
      <c r="R357" s="14">
        <f>+R356*(1+'SImple Return'!D356)</f>
        <v>153.17258883248715</v>
      </c>
      <c r="S357" s="14">
        <f>+S356*(1+'SImple Return'!E356)</f>
        <v>207.96287980841149</v>
      </c>
      <c r="T357" s="14">
        <f>+T356*(1+'SImple Return'!F356)</f>
        <v>175.34360887492647</v>
      </c>
      <c r="U357" s="14">
        <f>+U356*(1+'SImple Return'!G356)</f>
        <v>171.36124012777557</v>
      </c>
      <c r="V357" s="14">
        <f>+V356*(1+'SImple Return'!H356)</f>
        <v>146.59685342207808</v>
      </c>
      <c r="W357" s="14">
        <f>+W356*(1+'SImple Return'!I356)</f>
        <v>223.07086378638147</v>
      </c>
      <c r="X357" s="14">
        <f>+X356*(1+'SImple Return'!J356)</f>
        <v>151.65556909872979</v>
      </c>
      <c r="Y357" s="14">
        <f>+Y356*(1+'SImple Return'!K356)</f>
        <v>216.54686741136436</v>
      </c>
      <c r="Z357" s="14">
        <f>+Z356*(1+'SImple Return'!L356)</f>
        <v>1004.9203798392992</v>
      </c>
      <c r="AA357" s="14">
        <f>+AA356*(1+'SImple Return'!M356)</f>
        <v>208.86921250494663</v>
      </c>
      <c r="AB357" s="14">
        <f>+AB356*(1+'SImple Return'!N356)</f>
        <v>181.3229039354681</v>
      </c>
    </row>
    <row r="358" spans="1:28">
      <c r="A358" s="8">
        <v>40116</v>
      </c>
      <c r="B358" s="10">
        <v>1106.17</v>
      </c>
      <c r="C358" s="10">
        <v>318.01</v>
      </c>
      <c r="D358" s="10">
        <v>128.08000000000001</v>
      </c>
      <c r="E358" s="35">
        <v>2027.13</v>
      </c>
      <c r="F358" s="35">
        <v>1721.76</v>
      </c>
      <c r="G358" s="35">
        <v>1705.62</v>
      </c>
      <c r="H358" s="14">
        <v>1471.42</v>
      </c>
      <c r="I358" s="14">
        <v>2123.23</v>
      </c>
      <c r="J358" s="14">
        <v>1490.77</v>
      </c>
      <c r="K358" s="14">
        <v>2075.42</v>
      </c>
      <c r="L358" s="14">
        <v>9720.92</v>
      </c>
      <c r="M358" s="14">
        <v>1991.6</v>
      </c>
      <c r="N358" s="14">
        <v>1803.02</v>
      </c>
      <c r="P358" s="14">
        <f>+P357*(1+'SImple Return'!B357)</f>
        <v>135.90814709243026</v>
      </c>
      <c r="Q358" s="14">
        <f>+Q357*(1+'SImple Return'!C357)</f>
        <v>148.31172465255122</v>
      </c>
      <c r="R358" s="14">
        <f>+R357*(1+'SImple Return'!D357)</f>
        <v>147.76188278726335</v>
      </c>
      <c r="S358" s="14">
        <f>+S357*(1+'SImple Return'!E357)</f>
        <v>202.27810208052648</v>
      </c>
      <c r="T358" s="14">
        <f>+T357*(1+'SImple Return'!F357)</f>
        <v>169.03200471235039</v>
      </c>
      <c r="U358" s="14">
        <f>+U357*(1+'SImple Return'!G357)</f>
        <v>167.12916691163508</v>
      </c>
      <c r="V358" s="14">
        <f>+V357*(1+'SImple Return'!H357)</f>
        <v>146.60980640275824</v>
      </c>
      <c r="W358" s="14">
        <f>+W357*(1+'SImple Return'!I357)</f>
        <v>211.70693282547774</v>
      </c>
      <c r="X358" s="14">
        <f>+X357*(1+'SImple Return'!J357)</f>
        <v>150.17175207260937</v>
      </c>
      <c r="Y358" s="14">
        <f>+Y357*(1+'SImple Return'!K357)</f>
        <v>201.5949490043707</v>
      </c>
      <c r="Z358" s="14">
        <f>+Z357*(1+'SImple Return'!L357)</f>
        <v>946.76600925249625</v>
      </c>
      <c r="AA358" s="14">
        <f>+AA357*(1+'SImple Return'!M357)</f>
        <v>197.03205381875748</v>
      </c>
      <c r="AB358" s="14">
        <f>+AB357*(1+'SImple Return'!N357)</f>
        <v>176.29137130285994</v>
      </c>
    </row>
    <row r="359" spans="1:28">
      <c r="A359" s="8">
        <v>40123</v>
      </c>
      <c r="B359" s="10">
        <v>1132.19</v>
      </c>
      <c r="C359" s="10">
        <v>317.95999999999998</v>
      </c>
      <c r="D359" s="10">
        <v>126.79</v>
      </c>
      <c r="E359" s="35">
        <v>2078.31</v>
      </c>
      <c r="F359" s="35">
        <v>1775.74</v>
      </c>
      <c r="G359" s="35">
        <v>1737.53</v>
      </c>
      <c r="H359" s="14">
        <v>1495.86</v>
      </c>
      <c r="I359" s="14">
        <v>2163.4899999999998</v>
      </c>
      <c r="J359" s="14">
        <v>1518.56</v>
      </c>
      <c r="K359" s="14">
        <v>2038.09</v>
      </c>
      <c r="L359" s="14">
        <v>10265.94</v>
      </c>
      <c r="M359" s="14">
        <v>2124.0300000000002</v>
      </c>
      <c r="N359" s="14">
        <v>1824.05</v>
      </c>
      <c r="P359" s="14">
        <f>+P358*(1+'SImple Return'!B358)</f>
        <v>139.10506075610314</v>
      </c>
      <c r="Q359" s="14">
        <f>+Q358*(1+'SImple Return'!C358)</f>
        <v>148.28840593228259</v>
      </c>
      <c r="R359" s="14">
        <f>+R358*(1+'SImple Return'!D358)</f>
        <v>146.27365020766018</v>
      </c>
      <c r="S359" s="14">
        <f>+S358*(1+'SImple Return'!E358)</f>
        <v>207.38512198772597</v>
      </c>
      <c r="T359" s="14">
        <f>+T358*(1+'SImple Return'!F358)</f>
        <v>174.33143530335767</v>
      </c>
      <c r="U359" s="14">
        <f>+U358*(1+'SImple Return'!G358)</f>
        <v>170.25594293217321</v>
      </c>
      <c r="V359" s="14">
        <f>+V358*(1+'SImple Return'!H358)</f>
        <v>149.04496677062286</v>
      </c>
      <c r="W359" s="14">
        <f>+W358*(1+'SImple Return'!I358)</f>
        <v>215.72125115912678</v>
      </c>
      <c r="X359" s="14">
        <f>+X358*(1+'SImple Return'!J358)</f>
        <v>152.97115975461116</v>
      </c>
      <c r="Y359" s="14">
        <f>+Y358*(1+'SImple Return'!K358)</f>
        <v>197.96891694997535</v>
      </c>
      <c r="Z359" s="14">
        <f>+Z358*(1+'SImple Return'!L358)</f>
        <v>999.84806428049717</v>
      </c>
      <c r="AA359" s="14">
        <f>+AA358*(1+'SImple Return'!M358)</f>
        <v>210.13355757815603</v>
      </c>
      <c r="AB359" s="14">
        <f>+AB358*(1+'SImple Return'!N358)</f>
        <v>178.34759227572718</v>
      </c>
    </row>
    <row r="360" spans="1:28">
      <c r="A360" s="8">
        <v>40130</v>
      </c>
      <c r="B360" s="10">
        <v>1158.26</v>
      </c>
      <c r="C360" s="10">
        <v>319.14999999999998</v>
      </c>
      <c r="D360" s="10">
        <v>130.66999999999999</v>
      </c>
      <c r="E360" s="35">
        <v>2136.6</v>
      </c>
      <c r="F360" s="35">
        <v>1815.1</v>
      </c>
      <c r="G360" s="35">
        <v>1776.21</v>
      </c>
      <c r="H360" s="14">
        <v>1536.24</v>
      </c>
      <c r="I360" s="14">
        <v>2194.4699999999998</v>
      </c>
      <c r="J360" s="14">
        <v>1570.24</v>
      </c>
      <c r="K360" s="14">
        <v>2118.33</v>
      </c>
      <c r="L360" s="14">
        <v>10663.91</v>
      </c>
      <c r="M360" s="14">
        <v>2159.56</v>
      </c>
      <c r="N360" s="14">
        <v>1859.35</v>
      </c>
      <c r="P360" s="14">
        <f>+P359*(1+'SImple Return'!B359)</f>
        <v>142.3081176051405</v>
      </c>
      <c r="Q360" s="14">
        <f>+Q359*(1+'SImple Return'!C359)</f>
        <v>148.843391474676</v>
      </c>
      <c r="R360" s="14">
        <f>+R359*(1+'SImple Return'!D359)</f>
        <v>150.74988463313318</v>
      </c>
      <c r="S360" s="14">
        <f>+S359*(1+'SImple Return'!E359)</f>
        <v>213.20161652447194</v>
      </c>
      <c r="T360" s="14">
        <f>+T359*(1+'SImple Return'!F359)</f>
        <v>178.19556253681534</v>
      </c>
      <c r="U360" s="14">
        <f>+U359*(1+'SImple Return'!G359)</f>
        <v>174.04609324475283</v>
      </c>
      <c r="V360" s="14">
        <f>+V359*(1+'SImple Return'!H359)</f>
        <v>153.06836184649748</v>
      </c>
      <c r="W360" s="14">
        <f>+W359*(1+'SImple Return'!I359)</f>
        <v>218.81026213718064</v>
      </c>
      <c r="X360" s="14">
        <f>+X359*(1+'SImple Return'!J359)</f>
        <v>158.17711114021219</v>
      </c>
      <c r="Y360" s="14">
        <f>+Y359*(1+'SImple Return'!K359)</f>
        <v>205.76299174356447</v>
      </c>
      <c r="Z360" s="14">
        <f>+Z359*(1+'SImple Return'!L359)</f>
        <v>1038.6082298514734</v>
      </c>
      <c r="AA360" s="14">
        <f>+AA359*(1+'SImple Return'!M359)</f>
        <v>213.64859517214097</v>
      </c>
      <c r="AB360" s="14">
        <f>+AB359*(1+'SImple Return'!N359)</f>
        <v>181.79907113175258</v>
      </c>
    </row>
    <row r="361" spans="1:28">
      <c r="A361" s="8">
        <v>40137</v>
      </c>
      <c r="B361" s="10">
        <v>1145.72</v>
      </c>
      <c r="C361" s="10">
        <v>321.27999999999997</v>
      </c>
      <c r="D361" s="10">
        <v>128.55000000000001</v>
      </c>
      <c r="E361" s="35">
        <v>2142.5</v>
      </c>
      <c r="F361" s="35">
        <v>1819.83</v>
      </c>
      <c r="G361" s="35">
        <v>1734.76</v>
      </c>
      <c r="H361" s="14">
        <v>1548.17</v>
      </c>
      <c r="I361" s="14">
        <v>2133.12</v>
      </c>
      <c r="J361" s="14">
        <v>1570.23</v>
      </c>
      <c r="K361" s="14">
        <v>2040.44</v>
      </c>
      <c r="L361" s="14">
        <v>10737.91</v>
      </c>
      <c r="M361" s="14">
        <v>2137.75</v>
      </c>
      <c r="N361" s="14">
        <v>1854.05</v>
      </c>
      <c r="P361" s="14">
        <f>+P360*(1+'SImple Return'!B360)</f>
        <v>140.76740671573012</v>
      </c>
      <c r="Q361" s="14">
        <f>+Q360*(1+'SImple Return'!C360)</f>
        <v>149.83676895811971</v>
      </c>
      <c r="R361" s="14">
        <f>+R360*(1+'SImple Return'!D360)</f>
        <v>148.30410706045208</v>
      </c>
      <c r="S361" s="14">
        <f>+S360*(1+'SImple Return'!E360)</f>
        <v>213.79035074589589</v>
      </c>
      <c r="T361" s="14">
        <f>+T360*(1+'SImple Return'!F360)</f>
        <v>178.65992538778727</v>
      </c>
      <c r="U361" s="14">
        <f>+U360*(1+'SImple Return'!G360)</f>
        <v>169.98451800027439</v>
      </c>
      <c r="V361" s="14">
        <f>+V360*(1+'SImple Return'!H360)</f>
        <v>154.25704691968184</v>
      </c>
      <c r="W361" s="14">
        <f>+W360*(1+'SImple Return'!I360)</f>
        <v>212.69306318612823</v>
      </c>
      <c r="X361" s="14">
        <f>+X360*(1+'SImple Return'!J360)</f>
        <v>158.17610379667781</v>
      </c>
      <c r="Y361" s="14">
        <f>+Y360*(1+'SImple Return'!K360)</f>
        <v>198.19718309859121</v>
      </c>
      <c r="Z361" s="14">
        <f>+Z360*(1+'SImple Return'!L360)</f>
        <v>1045.8154370586806</v>
      </c>
      <c r="AA361" s="14">
        <f>+AA360*(1+'SImple Return'!M360)</f>
        <v>211.49089829837763</v>
      </c>
      <c r="AB361" s="14">
        <f>+AB360*(1+'SImple Return'!N360)</f>
        <v>181.28086042532382</v>
      </c>
    </row>
    <row r="362" spans="1:28">
      <c r="A362" s="8">
        <v>40144</v>
      </c>
      <c r="B362" s="10">
        <v>1144.58</v>
      </c>
      <c r="C362" s="10">
        <v>324.14</v>
      </c>
      <c r="D362" s="10">
        <v>125.25</v>
      </c>
      <c r="E362" s="35">
        <v>2153.62</v>
      </c>
      <c r="F362" s="35">
        <v>1838.31</v>
      </c>
      <c r="G362" s="35">
        <v>1690.19</v>
      </c>
      <c r="H362" s="14">
        <v>1560.89</v>
      </c>
      <c r="I362" s="14">
        <v>2096.31</v>
      </c>
      <c r="J362" s="14">
        <v>1606.91</v>
      </c>
      <c r="K362" s="14">
        <v>1897.95</v>
      </c>
      <c r="L362" s="14">
        <v>10707.9</v>
      </c>
      <c r="M362" s="14">
        <v>2107.36</v>
      </c>
      <c r="N362" s="14">
        <v>1872.91</v>
      </c>
      <c r="P362" s="14">
        <f>+P361*(1+'SImple Return'!B361)</f>
        <v>140.62734208942007</v>
      </c>
      <c r="Q362" s="14">
        <f>+Q361*(1+'SImple Return'!C361)</f>
        <v>151.17059975748543</v>
      </c>
      <c r="R362" s="14">
        <f>+R361*(1+'SImple Return'!D361)</f>
        <v>144.49700046146731</v>
      </c>
      <c r="S362" s="14">
        <f>+S361*(1+'SImple Return'!E361)</f>
        <v>214.89996507508815</v>
      </c>
      <c r="T362" s="14">
        <f>+T361*(1+'SImple Return'!F361)</f>
        <v>180.47418024739849</v>
      </c>
      <c r="U362" s="14">
        <f>+U361*(1+'SImple Return'!G361)</f>
        <v>165.61722225488472</v>
      </c>
      <c r="V362" s="14">
        <f>+V361*(1+'SImple Return'!H361)</f>
        <v>155.52444626007622</v>
      </c>
      <c r="W362" s="14">
        <f>+W361*(1+'SImple Return'!I361)</f>
        <v>209.02274381549677</v>
      </c>
      <c r="X362" s="14">
        <f>+X361*(1+'SImple Return'!J361)</f>
        <v>161.87103988073056</v>
      </c>
      <c r="Y362" s="14">
        <f>+Y361*(1+'SImple Return'!K361)</f>
        <v>184.35648372996567</v>
      </c>
      <c r="Z362" s="14">
        <f>+Z361*(1+'SImple Return'!L361)</f>
        <v>1042.8926223520821</v>
      </c>
      <c r="AA362" s="14">
        <f>+AA361*(1+'SImple Return'!M361)</f>
        <v>208.4843688167789</v>
      </c>
      <c r="AB362" s="14">
        <f>+AB361*(1+'SImple Return'!N361)</f>
        <v>183.12490833537026</v>
      </c>
    </row>
    <row r="363" spans="1:28">
      <c r="A363" s="8">
        <v>40151</v>
      </c>
      <c r="B363" s="10">
        <v>1168.9000000000001</v>
      </c>
      <c r="C363" s="10">
        <v>321.83</v>
      </c>
      <c r="D363" s="10">
        <v>132.82</v>
      </c>
      <c r="E363" s="35">
        <v>2178.91</v>
      </c>
      <c r="F363" s="35">
        <v>1883.91</v>
      </c>
      <c r="G363" s="35">
        <v>1750.62</v>
      </c>
      <c r="H363" s="14">
        <v>1577.21</v>
      </c>
      <c r="I363" s="14">
        <v>2164.41</v>
      </c>
      <c r="J363" s="14">
        <v>1646.48</v>
      </c>
      <c r="K363" s="14">
        <v>1915.53</v>
      </c>
      <c r="L363" s="14">
        <v>10796.08</v>
      </c>
      <c r="M363" s="14">
        <v>2156.5</v>
      </c>
      <c r="N363" s="14">
        <v>1926.76</v>
      </c>
      <c r="P363" s="14">
        <f>+P362*(1+'SImple Return'!B362)</f>
        <v>143.61538745070084</v>
      </c>
      <c r="Q363" s="14">
        <f>+Q362*(1+'SImple Return'!C362)</f>
        <v>150.09327488107465</v>
      </c>
      <c r="R363" s="14">
        <f>+R362*(1+'SImple Return'!D362)</f>
        <v>153.2302722658051</v>
      </c>
      <c r="S363" s="14">
        <f>+S362*(1+'SImple Return'!E362)</f>
        <v>217.4235393903104</v>
      </c>
      <c r="T363" s="14">
        <f>+T362*(1+'SImple Return'!F362)</f>
        <v>184.95091301786778</v>
      </c>
      <c r="U363" s="14">
        <f>+U362*(1+'SImple Return'!G362)</f>
        <v>171.53859721324008</v>
      </c>
      <c r="V363" s="14">
        <f>+V362*(1+'SImple Return'!H362)</f>
        <v>157.1505435269973</v>
      </c>
      <c r="W363" s="14">
        <f>+W362*(1+'SImple Return'!I362)</f>
        <v>215.81298421593146</v>
      </c>
      <c r="X363" s="14">
        <f>+X362*(1+'SImple Return'!J362)</f>
        <v>165.85709824621495</v>
      </c>
      <c r="Y363" s="14">
        <f>+Y362*(1+'SImple Return'!K362)</f>
        <v>186.06410879067474</v>
      </c>
      <c r="Z363" s="14">
        <f>+Z362*(1+'SImple Return'!L362)</f>
        <v>1051.4808862916975</v>
      </c>
      <c r="AA363" s="14">
        <f>+AA362*(1+'SImple Return'!M362)</f>
        <v>213.34586466165422</v>
      </c>
      <c r="AB363" s="14">
        <f>+AB362*(1+'SImple Return'!N362)</f>
        <v>188.39012466389627</v>
      </c>
    </row>
    <row r="364" spans="1:28">
      <c r="A364" s="8">
        <v>40158</v>
      </c>
      <c r="B364" s="10">
        <v>1155.54</v>
      </c>
      <c r="C364" s="10">
        <v>321.06</v>
      </c>
      <c r="D364" s="10">
        <v>130.78</v>
      </c>
      <c r="E364" s="35">
        <v>2131.09</v>
      </c>
      <c r="F364" s="35">
        <v>1923.18</v>
      </c>
      <c r="G364" s="35">
        <v>1743.27</v>
      </c>
      <c r="H364" s="14">
        <v>1582.18</v>
      </c>
      <c r="I364" s="14">
        <v>2137.0100000000002</v>
      </c>
      <c r="J364" s="14">
        <v>1635.28</v>
      </c>
      <c r="K364" s="14">
        <v>1794.73</v>
      </c>
      <c r="L364" s="14">
        <v>10593.39</v>
      </c>
      <c r="M364" s="14">
        <v>2105.25</v>
      </c>
      <c r="N364" s="14">
        <v>1967.58</v>
      </c>
      <c r="P364" s="14">
        <f>+P363*(1+'SImple Return'!B363)</f>
        <v>141.97392832131305</v>
      </c>
      <c r="Q364" s="14">
        <f>+Q363*(1+'SImple Return'!C363)</f>
        <v>149.73416658893774</v>
      </c>
      <c r="R364" s="14">
        <f>+R363*(1+'SImple Return'!D363)</f>
        <v>150.87678818643269</v>
      </c>
      <c r="S364" s="14">
        <f>+S363*(1+'SImple Return'!E363)</f>
        <v>212.65179863293878</v>
      </c>
      <c r="T364" s="14">
        <f>+T363*(1+'SImple Return'!F363)</f>
        <v>188.80620459454164</v>
      </c>
      <c r="U364" s="14">
        <f>+U363*(1+'SImple Return'!G363)</f>
        <v>170.81839026397793</v>
      </c>
      <c r="V364" s="14">
        <f>+V363*(1+'SImple Return'!H363)</f>
        <v>157.64574594223001</v>
      </c>
      <c r="W364" s="14">
        <f>+W363*(1+'SImple Return'!I363)</f>
        <v>213.08093448066114</v>
      </c>
      <c r="X364" s="14">
        <f>+X363*(1+'SImple Return'!J363)</f>
        <v>164.72887348772554</v>
      </c>
      <c r="Y364" s="14">
        <f>+Y363*(1+'SImple Return'!K363)</f>
        <v>174.33025740650768</v>
      </c>
      <c r="Z364" s="14">
        <f>+Z363*(1+'SImple Return'!L363)</f>
        <v>1031.7399561723889</v>
      </c>
      <c r="AA364" s="14">
        <f>+AA363*(1+'SImple Return'!M363)</f>
        <v>208.27562326869813</v>
      </c>
      <c r="AB364" s="14">
        <f>+AB363*(1+'SImple Return'!N363)</f>
        <v>192.38132485944746</v>
      </c>
    </row>
    <row r="365" spans="1:28">
      <c r="A365" s="8">
        <v>40165</v>
      </c>
      <c r="B365" s="10">
        <v>1144.1099999999999</v>
      </c>
      <c r="C365" s="10">
        <v>320.05</v>
      </c>
      <c r="D365" s="10">
        <v>129.65</v>
      </c>
      <c r="E365" s="35">
        <v>2101.6</v>
      </c>
      <c r="F365" s="35">
        <v>1954.64</v>
      </c>
      <c r="G365" s="35">
        <v>1742.66</v>
      </c>
      <c r="H365" s="14">
        <v>1581.94</v>
      </c>
      <c r="I365" s="14">
        <v>2184.69</v>
      </c>
      <c r="J365" s="14">
        <v>1626.44</v>
      </c>
      <c r="K365" s="14">
        <v>1876.04</v>
      </c>
      <c r="L365" s="14">
        <v>11032.3</v>
      </c>
      <c r="M365" s="14">
        <v>2043.33</v>
      </c>
      <c r="N365" s="14">
        <v>1967.75</v>
      </c>
      <c r="P365" s="14">
        <f>+P364*(1+'SImple Return'!B364)</f>
        <v>140.56959614699403</v>
      </c>
      <c r="Q365" s="14">
        <f>+Q364*(1+'SImple Return'!C364)</f>
        <v>149.26312843951141</v>
      </c>
      <c r="R365" s="14">
        <f>+R364*(1+'SImple Return'!D364)</f>
        <v>149.57314259344702</v>
      </c>
      <c r="S365" s="14">
        <f>+S364*(1+'SImple Return'!E364)</f>
        <v>209.70912538043166</v>
      </c>
      <c r="T365" s="14">
        <f>+T364*(1+'SImple Return'!F364)</f>
        <v>191.89475751030838</v>
      </c>
      <c r="U365" s="14">
        <f>+U364*(1+'SImple Return'!G364)</f>
        <v>170.75861798655617</v>
      </c>
      <c r="V365" s="14">
        <f>+V364*(1+'SImple Return'!H364)</f>
        <v>157.62183274712822</v>
      </c>
      <c r="W365" s="14">
        <f>+W364*(1+'SImple Return'!I364)</f>
        <v>217.83509985940898</v>
      </c>
      <c r="X365" s="14">
        <f>+X364*(1+'SImple Return'!J364)</f>
        <v>163.83838180334644</v>
      </c>
      <c r="Y365" s="14">
        <f>+Y364*(1+'SImple Return'!K364)</f>
        <v>182.22826614861549</v>
      </c>
      <c r="Z365" s="14">
        <f>+Z364*(1+'SImple Return'!L364)</f>
        <v>1074.4874604334066</v>
      </c>
      <c r="AA365" s="14">
        <f>+AA364*(1+'SImple Return'!M364)</f>
        <v>202.14978235061344</v>
      </c>
      <c r="AB365" s="14">
        <f>+AB364*(1+'SImple Return'!N364)</f>
        <v>192.39794671229515</v>
      </c>
    </row>
    <row r="366" spans="1:28">
      <c r="A366" s="8">
        <v>40172</v>
      </c>
      <c r="B366" s="10">
        <v>1171.56</v>
      </c>
      <c r="C366" s="10">
        <v>316.69</v>
      </c>
      <c r="D366" s="10">
        <v>132.38</v>
      </c>
      <c r="E366" s="35">
        <v>2139.6999999999998</v>
      </c>
      <c r="F366" s="35">
        <v>1992.62</v>
      </c>
      <c r="G366" s="35">
        <v>1760.33</v>
      </c>
      <c r="H366" s="14">
        <v>1612.74</v>
      </c>
      <c r="I366" s="14">
        <v>2191.39</v>
      </c>
      <c r="J366" s="14">
        <v>1643.66</v>
      </c>
      <c r="K366" s="14">
        <v>1959.88</v>
      </c>
      <c r="L366" s="14">
        <v>11361.42</v>
      </c>
      <c r="M366" s="14">
        <v>2081.4299999999998</v>
      </c>
      <c r="N366" s="14">
        <v>1993.36</v>
      </c>
      <c r="P366" s="14">
        <f>+P365*(1+'SImple Return'!B365)</f>
        <v>143.94220491209092</v>
      </c>
      <c r="Q366" s="14">
        <f>+Q365*(1+'SImple Return'!C365)</f>
        <v>147.69611043745934</v>
      </c>
      <c r="R366" s="14">
        <f>+R365*(1+'SImple Return'!D365)</f>
        <v>152.72265805260713</v>
      </c>
      <c r="S366" s="14">
        <f>+S365*(1+'SImple Return'!E365)</f>
        <v>213.51095145437264</v>
      </c>
      <c r="T366" s="14">
        <f>+T365*(1+'SImple Return'!F365)</f>
        <v>195.62340467308078</v>
      </c>
      <c r="U366" s="14">
        <f>+U365*(1+'SImple Return'!G365)</f>
        <v>172.49005428498643</v>
      </c>
      <c r="V366" s="14">
        <f>+V365*(1+'SImple Return'!H365)</f>
        <v>160.69069278519004</v>
      </c>
      <c r="W366" s="14">
        <f>+W365*(1+'SImple Return'!I365)</f>
        <v>218.50315581657364</v>
      </c>
      <c r="X366" s="14">
        <f>+X365*(1+'SImple Return'!J365)</f>
        <v>165.57302736952388</v>
      </c>
      <c r="Y366" s="14">
        <f>+Y365*(1+'SImple Return'!K365)</f>
        <v>190.37202525497779</v>
      </c>
      <c r="Z366" s="14">
        <f>+Z365*(1+'SImple Return'!L365)</f>
        <v>1106.5420014609206</v>
      </c>
      <c r="AA366" s="14">
        <f>+AA365*(1+'SImple Return'!M365)</f>
        <v>205.91907400079148</v>
      </c>
      <c r="AB366" s="14">
        <f>+AB365*(1+'SImple Return'!N365)</f>
        <v>194.90197995600082</v>
      </c>
    </row>
    <row r="367" spans="1:28">
      <c r="A367" s="8">
        <v>40179</v>
      </c>
      <c r="B367" s="10">
        <v>1168.47</v>
      </c>
      <c r="C367" s="10">
        <v>316.52</v>
      </c>
      <c r="D367" s="10">
        <v>132.91</v>
      </c>
      <c r="E367" s="11">
        <v>2178.9</v>
      </c>
      <c r="F367" s="11">
        <v>1985.21</v>
      </c>
      <c r="G367" s="11">
        <v>1809.18</v>
      </c>
      <c r="H367" s="14">
        <v>1632.17</v>
      </c>
      <c r="I367" s="14">
        <v>2249.5100000000002</v>
      </c>
      <c r="J367" s="14">
        <v>1659.26</v>
      </c>
      <c r="K367" s="14">
        <v>1980</v>
      </c>
      <c r="L367" s="14">
        <v>11298.71</v>
      </c>
      <c r="M367" s="14">
        <v>2106.21</v>
      </c>
      <c r="N367" s="14">
        <v>2006.91</v>
      </c>
      <c r="P367" s="14">
        <f>+P366*(1+'SImple Return'!B366)</f>
        <v>143.56255605656636</v>
      </c>
      <c r="Q367" s="14">
        <f>+Q366*(1+'SImple Return'!C366)</f>
        <v>147.61682678854598</v>
      </c>
      <c r="R367" s="14">
        <f>+R366*(1+'SImple Return'!D366)</f>
        <v>153.3341024457774</v>
      </c>
      <c r="S367" s="14">
        <f>+S366*(1+'SImple Return'!E366)</f>
        <v>217.42254153569783</v>
      </c>
      <c r="T367" s="14">
        <f>+T366*(1+'SImple Return'!F366)</f>
        <v>194.89593559787954</v>
      </c>
      <c r="U367" s="14">
        <f>+U366*(1+'SImple Return'!G366)</f>
        <v>177.27673584572878</v>
      </c>
      <c r="V367" s="14">
        <f>+V366*(1+'SImple Return'!H366)</f>
        <v>162.62666520530502</v>
      </c>
      <c r="W367" s="14">
        <f>+W366*(1+'SImple Return'!I366)</f>
        <v>224.29829197036614</v>
      </c>
      <c r="X367" s="14">
        <f>+X366*(1+'SImple Return'!J366)</f>
        <v>167.14448328313412</v>
      </c>
      <c r="Y367" s="14">
        <f>+Y366*(1+'SImple Return'!K366)</f>
        <v>192.32637202525461</v>
      </c>
      <c r="Z367" s="14">
        <f>+Z366*(1+'SImple Return'!L366)</f>
        <v>1100.4343803262723</v>
      </c>
      <c r="AA367" s="14">
        <f>+AA366*(1+'SImple Return'!M366)</f>
        <v>208.37059754649789</v>
      </c>
      <c r="AB367" s="14">
        <f>+AB366*(1+'SImple Return'!N366)</f>
        <v>196.22683940356868</v>
      </c>
    </row>
    <row r="368" spans="1:28">
      <c r="A368" s="8">
        <v>40186</v>
      </c>
      <c r="B368" s="10">
        <v>1198.26</v>
      </c>
      <c r="C368" s="10">
        <v>317.24</v>
      </c>
      <c r="D368" s="10">
        <v>134.29</v>
      </c>
      <c r="E368" s="11">
        <v>2171.13</v>
      </c>
      <c r="F368" s="11">
        <v>1988.82</v>
      </c>
      <c r="G368" s="11">
        <v>1886.58</v>
      </c>
      <c r="H368" s="14">
        <v>1600.62</v>
      </c>
      <c r="I368" s="14">
        <v>2347.56</v>
      </c>
      <c r="J368" s="14">
        <v>1655.34</v>
      </c>
      <c r="K368" s="14">
        <v>2107.0500000000002</v>
      </c>
      <c r="L368" s="14">
        <v>11460.78</v>
      </c>
      <c r="M368" s="14">
        <v>2182.5500000000002</v>
      </c>
      <c r="N368" s="14">
        <v>2011.36</v>
      </c>
      <c r="P368" s="14">
        <f>+P367*(1+'SImple Return'!B367)</f>
        <v>147.22266589672066</v>
      </c>
      <c r="Q368" s="14">
        <f>+Q367*(1+'SImple Return'!C367)</f>
        <v>147.95261636041428</v>
      </c>
      <c r="R368" s="14">
        <f>+R367*(1+'SImple Return'!D367)</f>
        <v>154.92616520535285</v>
      </c>
      <c r="S368" s="14">
        <f>+S367*(1+'SImple Return'!E367)</f>
        <v>216.64720850172088</v>
      </c>
      <c r="T368" s="14">
        <f>+T367*(1+'SImple Return'!F367)</f>
        <v>195.250343608875</v>
      </c>
      <c r="U368" s="14">
        <f>+U367*(1+'SImple Return'!G367)</f>
        <v>184.86095596448945</v>
      </c>
      <c r="V368" s="14">
        <f>+V367*(1+'SImple Return'!H367)</f>
        <v>159.48307643255009</v>
      </c>
      <c r="W368" s="14">
        <f>+W367*(1+'SImple Return'!I367)</f>
        <v>234.07484220917121</v>
      </c>
      <c r="X368" s="14">
        <f>+X367*(1+'SImple Return'!J367)</f>
        <v>166.74960461766281</v>
      </c>
      <c r="Y368" s="14">
        <f>+Y367*(1+'SImple Return'!K367)</f>
        <v>204.66731423020846</v>
      </c>
      <c r="Z368" s="14">
        <f>+Z367*(1+'SImple Return'!L367)</f>
        <v>1116.2191380569761</v>
      </c>
      <c r="AA368" s="14">
        <f>+AA367*(1+'SImple Return'!M367)</f>
        <v>215.92303126236652</v>
      </c>
      <c r="AB368" s="14">
        <f>+AB367*(1+'SImple Return'!N367)</f>
        <v>196.66194084575883</v>
      </c>
    </row>
    <row r="369" spans="1:28">
      <c r="A369" s="8">
        <v>40193</v>
      </c>
      <c r="B369" s="10">
        <v>1195.6600000000001</v>
      </c>
      <c r="C369" s="10">
        <v>320.33</v>
      </c>
      <c r="D369" s="10">
        <v>133.06</v>
      </c>
      <c r="E369" s="11">
        <v>2169.39</v>
      </c>
      <c r="F369" s="11">
        <v>1996.41</v>
      </c>
      <c r="G369" s="11">
        <v>1848.41</v>
      </c>
      <c r="H369" s="14">
        <v>1600.01</v>
      </c>
      <c r="I369" s="14">
        <v>2290.2600000000002</v>
      </c>
      <c r="J369" s="14">
        <v>1658.53</v>
      </c>
      <c r="K369" s="14">
        <v>2180.85</v>
      </c>
      <c r="L369" s="14">
        <v>11507.68</v>
      </c>
      <c r="M369" s="14">
        <v>2178.69</v>
      </c>
      <c r="N369" s="14">
        <v>2003.29</v>
      </c>
      <c r="P369" s="14">
        <f>+P368*(1+'SImple Return'!B368)</f>
        <v>146.90322025776794</v>
      </c>
      <c r="Q369" s="14">
        <f>+Q368*(1+'SImple Return'!C368)</f>
        <v>149.39371327301569</v>
      </c>
      <c r="R369" s="14">
        <f>+R368*(1+'SImple Return'!D368)</f>
        <v>153.50715274573125</v>
      </c>
      <c r="S369" s="14">
        <f>+S368*(1+'SImple Return'!E368)</f>
        <v>216.47358179913144</v>
      </c>
      <c r="T369" s="14">
        <f>+T368*(1+'SImple Return'!F368)</f>
        <v>195.9954839976439</v>
      </c>
      <c r="U369" s="14">
        <f>+U368*(1+'SImple Return'!G368)</f>
        <v>181.12077919532803</v>
      </c>
      <c r="V369" s="14">
        <f>+V368*(1+'SImple Return'!H368)</f>
        <v>159.4222970616664</v>
      </c>
      <c r="W369" s="14">
        <f>+W368*(1+'SImple Return'!I368)</f>
        <v>228.36146812774817</v>
      </c>
      <c r="X369" s="14">
        <f>+X368*(1+'SImple Return'!J368)</f>
        <v>167.07094720512544</v>
      </c>
      <c r="Y369" s="14">
        <f>+Y368*(1+'SImple Return'!K368)</f>
        <v>211.83584264205885</v>
      </c>
      <c r="Z369" s="14">
        <f>+Z368*(1+'SImple Return'!L368)</f>
        <v>1120.7869491112738</v>
      </c>
      <c r="AA369" s="14">
        <f>+AA368*(1+'SImple Return'!M368)</f>
        <v>215.54115552037996</v>
      </c>
      <c r="AB369" s="14">
        <f>+AB368*(1+'SImple Return'!N368)</f>
        <v>195.87289171351733</v>
      </c>
    </row>
    <row r="370" spans="1:28">
      <c r="A370" s="8">
        <v>40200</v>
      </c>
      <c r="B370" s="10">
        <v>1149.8900000000001</v>
      </c>
      <c r="C370" s="10">
        <v>319.81</v>
      </c>
      <c r="D370" s="10">
        <v>128.16999999999999</v>
      </c>
      <c r="E370" s="11">
        <v>2123.19</v>
      </c>
      <c r="F370" s="11">
        <v>1946.27</v>
      </c>
      <c r="G370" s="11">
        <v>1781.95</v>
      </c>
      <c r="H370" s="14">
        <v>1562.52</v>
      </c>
      <c r="I370" s="14">
        <v>2201.83</v>
      </c>
      <c r="J370" s="14">
        <v>1669.44</v>
      </c>
      <c r="K370" s="14">
        <v>2148.46</v>
      </c>
      <c r="L370" s="14">
        <v>11049.38</v>
      </c>
      <c r="M370" s="14">
        <v>2094.27</v>
      </c>
      <c r="N370" s="14">
        <v>1962.88</v>
      </c>
      <c r="P370" s="14">
        <f>+P369*(1+'SImple Return'!B369)</f>
        <v>141.27974837512735</v>
      </c>
      <c r="Q370" s="14">
        <f>+Q369*(1+'SImple Return'!C369)</f>
        <v>149.15119858222192</v>
      </c>
      <c r="R370" s="14">
        <f>+R369*(1+'SImple Return'!D369)</f>
        <v>147.86571296723562</v>
      </c>
      <c r="S370" s="14">
        <f>+S369*(1+'SImple Return'!E369)</f>
        <v>211.86349348899824</v>
      </c>
      <c r="T370" s="14">
        <f>+T369*(1+'SImple Return'!F369)</f>
        <v>191.073041429413</v>
      </c>
      <c r="U370" s="14">
        <f>+U369*(1+'SImple Return'!G369)</f>
        <v>174.60854057655757</v>
      </c>
      <c r="V370" s="14">
        <f>+V369*(1+'SImple Return'!H369)</f>
        <v>155.68685671014242</v>
      </c>
      <c r="W370" s="14">
        <f>+W369*(1+'SImple Return'!I369)</f>
        <v>219.54412659161829</v>
      </c>
      <c r="X370" s="14">
        <f>+X369*(1+'SImple Return'!J369)</f>
        <v>168.16995900111823</v>
      </c>
      <c r="Y370" s="14">
        <f>+Y369*(1+'SImple Return'!K369)</f>
        <v>208.68965517241341</v>
      </c>
      <c r="Z370" s="14">
        <f>+Z369*(1+'SImple Return'!L369)</f>
        <v>1076.1509617725837</v>
      </c>
      <c r="AA370" s="14">
        <f>+AA369*(1+'SImple Return'!M369)</f>
        <v>207.18935496636331</v>
      </c>
      <c r="AB370" s="14">
        <f>+AB369*(1+'SImple Return'!N369)</f>
        <v>191.92177951601062</v>
      </c>
    </row>
    <row r="371" spans="1:28">
      <c r="A371" s="8">
        <v>40207</v>
      </c>
      <c r="B371" s="10">
        <v>1119.54</v>
      </c>
      <c r="C371" s="10">
        <v>320.23</v>
      </c>
      <c r="D371" s="10">
        <v>124.91</v>
      </c>
      <c r="E371" s="11">
        <v>2073.37</v>
      </c>
      <c r="F371" s="11">
        <v>1910.96</v>
      </c>
      <c r="G371" s="11">
        <v>1704.51</v>
      </c>
      <c r="H371" s="14">
        <v>1536.67</v>
      </c>
      <c r="I371" s="14">
        <v>2135.08</v>
      </c>
      <c r="J371" s="14">
        <v>1642.94</v>
      </c>
      <c r="K371" s="14">
        <v>2052.87</v>
      </c>
      <c r="L371" s="14">
        <v>10999.96</v>
      </c>
      <c r="M371" s="14">
        <v>2027.4</v>
      </c>
      <c r="N371" s="14">
        <v>1904.44</v>
      </c>
      <c r="P371" s="14">
        <f>+P370*(1+'SImple Return'!B370)</f>
        <v>137.55083485889091</v>
      </c>
      <c r="Q371" s="14">
        <f>+Q370*(1+'SImple Return'!C370)</f>
        <v>149.34707583247842</v>
      </c>
      <c r="R371" s="14">
        <f>+R370*(1+'SImple Return'!D370)</f>
        <v>144.10475311490524</v>
      </c>
      <c r="S371" s="14">
        <f>+S370*(1+'SImple Return'!E370)</f>
        <v>206.89218180911001</v>
      </c>
      <c r="T371" s="14">
        <f>+T370*(1+'SImple Return'!F370)</f>
        <v>187.60651875122727</v>
      </c>
      <c r="U371" s="14">
        <f>+U370*(1+'SImple Return'!G370)</f>
        <v>167.02040096419549</v>
      </c>
      <c r="V371" s="14">
        <f>+V370*(1+'SImple Return'!H370)</f>
        <v>153.11120632105479</v>
      </c>
      <c r="W371" s="14">
        <f>+W370*(1+'SImple Return'!I370)</f>
        <v>212.88849448106004</v>
      </c>
      <c r="X371" s="14">
        <f>+X370*(1+'SImple Return'!J370)</f>
        <v>165.50049863504958</v>
      </c>
      <c r="Y371" s="14">
        <f>+Y370*(1+'SImple Return'!K370)</f>
        <v>199.40456532297193</v>
      </c>
      <c r="Z371" s="14">
        <f>+Z370*(1+'SImple Return'!L370)</f>
        <v>1071.3377160944733</v>
      </c>
      <c r="AA371" s="14">
        <f>+AA370*(1+'SImple Return'!M370)</f>
        <v>200.5738029283736</v>
      </c>
      <c r="AB371" s="14">
        <f>+AB370*(1+'SImple Return'!N370)</f>
        <v>186.2077731605963</v>
      </c>
    </row>
    <row r="372" spans="1:28">
      <c r="A372" s="8">
        <v>40214</v>
      </c>
      <c r="B372" s="10">
        <v>1095.48</v>
      </c>
      <c r="C372" s="10">
        <v>320.02</v>
      </c>
      <c r="D372" s="10">
        <v>123.4</v>
      </c>
      <c r="E372" s="11">
        <v>1981.69</v>
      </c>
      <c r="F372" s="11">
        <v>1882.98</v>
      </c>
      <c r="G372" s="11">
        <v>1647.09</v>
      </c>
      <c r="H372" s="14">
        <v>1496.89</v>
      </c>
      <c r="I372" s="14">
        <v>2080.15</v>
      </c>
      <c r="J372" s="14">
        <v>1616.02</v>
      </c>
      <c r="K372" s="14">
        <v>2019.16</v>
      </c>
      <c r="L372" s="14">
        <v>10504.94</v>
      </c>
      <c r="M372" s="14">
        <v>1896.53</v>
      </c>
      <c r="N372" s="14">
        <v>1880.72</v>
      </c>
      <c r="P372" s="14">
        <f>+P371*(1+'SImple Return'!B371)</f>
        <v>134.59473406150545</v>
      </c>
      <c r="Q372" s="14">
        <f>+Q371*(1+'SImple Return'!C371)</f>
        <v>149.24913720735015</v>
      </c>
      <c r="R372" s="14">
        <f>+R371*(1+'SImple Return'!D371)</f>
        <v>142.36271342870313</v>
      </c>
      <c r="S372" s="14">
        <f>+S371*(1+'SImple Return'!E371)</f>
        <v>197.74385072094958</v>
      </c>
      <c r="T372" s="14">
        <f>+T371*(1+'SImple Return'!F371)</f>
        <v>184.85961123110161</v>
      </c>
      <c r="U372" s="14">
        <f>+U371*(1+'SImple Return'!G371)</f>
        <v>161.39396789934744</v>
      </c>
      <c r="V372" s="14">
        <f>+V371*(1+'SImple Return'!H371)</f>
        <v>149.14759423293467</v>
      </c>
      <c r="W372" s="14">
        <f>+W371*(1+'SImple Return'!I371)</f>
        <v>207.41143273075343</v>
      </c>
      <c r="X372" s="14">
        <f>+X371*(1+'SImple Return'!J371)</f>
        <v>162.78872984053757</v>
      </c>
      <c r="Y372" s="14">
        <f>+Y371*(1+'SImple Return'!K371)</f>
        <v>196.13016027197634</v>
      </c>
      <c r="Z372" s="14">
        <f>+Z371*(1+'SImple Return'!L371)</f>
        <v>1023.1253956659368</v>
      </c>
      <c r="AA372" s="14">
        <f>+AA371*(1+'SImple Return'!M371)</f>
        <v>187.6266323703997</v>
      </c>
      <c r="AB372" s="14">
        <f>+AB371*(1+'SImple Return'!N371)</f>
        <v>183.8885358103152</v>
      </c>
    </row>
    <row r="373" spans="1:28">
      <c r="A373" s="8">
        <v>40221</v>
      </c>
      <c r="B373" s="10">
        <v>1107.32</v>
      </c>
      <c r="C373" s="10">
        <v>318.42</v>
      </c>
      <c r="D373" s="10">
        <v>124.17</v>
      </c>
      <c r="E373" s="11">
        <v>2004.9</v>
      </c>
      <c r="F373" s="11">
        <v>1904.26</v>
      </c>
      <c r="G373" s="11">
        <v>1690.28</v>
      </c>
      <c r="H373" s="14">
        <v>1506.11</v>
      </c>
      <c r="I373" s="14">
        <v>2121.71</v>
      </c>
      <c r="J373" s="14">
        <v>1630.69</v>
      </c>
      <c r="K373" s="14">
        <v>1977.89</v>
      </c>
      <c r="L373" s="14">
        <v>11113.78</v>
      </c>
      <c r="M373" s="14">
        <v>1908.94</v>
      </c>
      <c r="N373" s="14">
        <v>1896.94</v>
      </c>
      <c r="P373" s="14">
        <f>+P372*(1+'SImple Return'!B372)</f>
        <v>136.04944035581315</v>
      </c>
      <c r="Q373" s="14">
        <f>+Q372*(1+'SImple Return'!C372)</f>
        <v>148.50293815875395</v>
      </c>
      <c r="R373" s="14">
        <f>+R372*(1+'SImple Return'!D372)</f>
        <v>143.25103830179958</v>
      </c>
      <c r="S373" s="14">
        <f>+S372*(1+'SImple Return'!E372)</f>
        <v>200.05987127675459</v>
      </c>
      <c r="T373" s="14">
        <f>+T372*(1+'SImple Return'!F372)</f>
        <v>186.94875319065395</v>
      </c>
      <c r="U373" s="14">
        <f>+U372*(1+'SImple Return'!G372)</f>
        <v>165.62604111548791</v>
      </c>
      <c r="V373" s="14">
        <f>+V372*(1+'SImple Return'!H372)</f>
        <v>150.06625947809474</v>
      </c>
      <c r="W373" s="14">
        <f>+W372*(1+'SImple Return'!I372)</f>
        <v>211.55537386206132</v>
      </c>
      <c r="X373" s="14">
        <f>+X372*(1+'SImple Return'!J372)</f>
        <v>164.26650280545181</v>
      </c>
      <c r="Y373" s="14">
        <f>+Y372*(1+'SImple Return'!K372)</f>
        <v>192.12141816415701</v>
      </c>
      <c r="Z373" s="14">
        <f>+Z372*(1+'SImple Return'!L372)</f>
        <v>1082.4231799366942</v>
      </c>
      <c r="AA373" s="14">
        <f>+AA372*(1+'SImple Return'!M372)</f>
        <v>188.8543727740404</v>
      </c>
      <c r="AB373" s="14">
        <f>+AB372*(1+'SImple Return'!N372)</f>
        <v>185.47445612319714</v>
      </c>
    </row>
    <row r="374" spans="1:28">
      <c r="A374" s="8">
        <v>40228</v>
      </c>
      <c r="B374" s="10">
        <v>1134.45</v>
      </c>
      <c r="C374" s="10">
        <v>317.2</v>
      </c>
      <c r="D374" s="10">
        <v>125.38</v>
      </c>
      <c r="E374" s="11">
        <v>2034.88</v>
      </c>
      <c r="F374" s="11">
        <v>1967.79</v>
      </c>
      <c r="G374" s="11">
        <v>1709.18</v>
      </c>
      <c r="H374" s="14">
        <v>1535.82</v>
      </c>
      <c r="I374" s="14">
        <v>2189.33</v>
      </c>
      <c r="J374" s="14">
        <v>1648.63</v>
      </c>
      <c r="K374" s="14">
        <v>1953.72</v>
      </c>
      <c r="L374" s="14">
        <v>11487.37</v>
      </c>
      <c r="M374" s="14">
        <v>1961.76</v>
      </c>
      <c r="N374" s="14">
        <v>1939.75</v>
      </c>
      <c r="P374" s="14">
        <f>+P373*(1+'SImple Return'!B373)</f>
        <v>139.38273273457742</v>
      </c>
      <c r="Q374" s="14">
        <f>+Q373*(1+'SImple Return'!C373)</f>
        <v>147.93396138419934</v>
      </c>
      <c r="R374" s="14">
        <f>+R373*(1+'SImple Return'!D373)</f>
        <v>144.646977388094</v>
      </c>
      <c r="S374" s="14">
        <f>+S373*(1+'SImple Return'!E373)</f>
        <v>203.05143940527827</v>
      </c>
      <c r="T374" s="14">
        <f>+T373*(1+'SImple Return'!F373)</f>
        <v>193.18574514038889</v>
      </c>
      <c r="U374" s="14">
        <f>+U373*(1+'SImple Return'!G373)</f>
        <v>167.47800184216203</v>
      </c>
      <c r="V374" s="14">
        <f>+V373*(1+'SImple Return'!H373)</f>
        <v>153.02651375506932</v>
      </c>
      <c r="W374" s="14">
        <f>+W373*(1+'SImple Return'!I373)</f>
        <v>218.29775353720663</v>
      </c>
      <c r="X374" s="14">
        <f>+X373*(1+'SImple Return'!J373)</f>
        <v>166.07367710610356</v>
      </c>
      <c r="Y374" s="14">
        <f>+Y373*(1+'SImple Return'!K373)</f>
        <v>189.77367654201032</v>
      </c>
      <c r="Z374" s="14">
        <f>+Z373*(1+'SImple Return'!L373)</f>
        <v>1118.8088629169717</v>
      </c>
      <c r="AA374" s="14">
        <f>+AA373*(1+'SImple Return'!M373)</f>
        <v>194.07993668381485</v>
      </c>
      <c r="AB374" s="14">
        <f>+AB373*(1+'SImple Return'!N373)</f>
        <v>189.66022977267158</v>
      </c>
    </row>
    <row r="375" spans="1:28">
      <c r="A375" s="8">
        <v>40235</v>
      </c>
      <c r="B375" s="10">
        <v>1133.3499999999999</v>
      </c>
      <c r="C375" s="10">
        <v>320.26</v>
      </c>
      <c r="D375" s="10">
        <v>128.19999999999999</v>
      </c>
      <c r="E375" s="11">
        <v>2034.91</v>
      </c>
      <c r="F375" s="11">
        <v>1942.47</v>
      </c>
      <c r="G375" s="11">
        <v>1746.31</v>
      </c>
      <c r="H375" s="14">
        <v>1525.08</v>
      </c>
      <c r="I375" s="14">
        <v>2235.4699999999998</v>
      </c>
      <c r="J375" s="14">
        <v>1622.5</v>
      </c>
      <c r="K375" s="14">
        <v>1995.42</v>
      </c>
      <c r="L375" s="14">
        <v>11364.92</v>
      </c>
      <c r="M375" s="14">
        <v>1951.61</v>
      </c>
      <c r="N375" s="14">
        <v>1945.26</v>
      </c>
      <c r="P375" s="14">
        <f>+P374*(1+'SImple Return'!B374)</f>
        <v>139.24758265655896</v>
      </c>
      <c r="Q375" s="14">
        <f>+Q374*(1+'SImple Return'!C374)</f>
        <v>149.3610670646396</v>
      </c>
      <c r="R375" s="14">
        <f>+R374*(1+'SImple Return'!D374)</f>
        <v>147.90032302722645</v>
      </c>
      <c r="S375" s="14">
        <f>+S374*(1+'SImple Return'!E374)</f>
        <v>203.05443296911602</v>
      </c>
      <c r="T375" s="14">
        <f>+T374*(1+'SImple Return'!F374)</f>
        <v>190.69998036520727</v>
      </c>
      <c r="U375" s="14">
        <f>+U374*(1+'SImple Return'!G374)</f>
        <v>171.11627177768634</v>
      </c>
      <c r="V375" s="14">
        <f>+V374*(1+'SImple Return'!H374)</f>
        <v>151.95639827426464</v>
      </c>
      <c r="W375" s="14">
        <f>+W374*(1+'SImple Return'!I374)</f>
        <v>222.89836575565096</v>
      </c>
      <c r="X375" s="14">
        <f>+X374*(1+'SImple Return'!J374)</f>
        <v>163.44148845080642</v>
      </c>
      <c r="Y375" s="14">
        <f>+Y374*(1+'SImple Return'!K374)</f>
        <v>193.82418649829978</v>
      </c>
      <c r="Z375" s="14">
        <f>+Z374*(1+'SImple Return'!L374)</f>
        <v>1106.8828828828837</v>
      </c>
      <c r="AA375" s="14">
        <f>+AA374*(1+'SImple Return'!M374)</f>
        <v>193.0757815591611</v>
      </c>
      <c r="AB375" s="14">
        <f>+AB374*(1+'SImple Return'!N374)</f>
        <v>190.19897335614752</v>
      </c>
    </row>
    <row r="376" spans="1:28">
      <c r="A376" s="8">
        <v>40242</v>
      </c>
      <c r="B376" s="10">
        <v>1170.46</v>
      </c>
      <c r="C376" s="10">
        <v>320.23</v>
      </c>
      <c r="D376" s="10">
        <v>131.56</v>
      </c>
      <c r="E376" s="11">
        <v>2086.56</v>
      </c>
      <c r="F376" s="11">
        <v>2006.46</v>
      </c>
      <c r="G376" s="11">
        <v>1797.02</v>
      </c>
      <c r="H376" s="14">
        <v>1551.9</v>
      </c>
      <c r="I376" s="14">
        <v>2326.77</v>
      </c>
      <c r="J376" s="14">
        <v>1630.78</v>
      </c>
      <c r="K376" s="14">
        <v>2115.48</v>
      </c>
      <c r="L376" s="14">
        <v>11600.14</v>
      </c>
      <c r="M376" s="14">
        <v>2041.96</v>
      </c>
      <c r="N376" s="14">
        <v>2014.15</v>
      </c>
      <c r="P376" s="14">
        <f>+P375*(1+'SImple Return'!B375)</f>
        <v>143.80705483407246</v>
      </c>
      <c r="Q376" s="14">
        <f>+Q375*(1+'SImple Return'!C375)</f>
        <v>149.34707583247842</v>
      </c>
      <c r="R376" s="14">
        <f>+R375*(1+'SImple Return'!D375)</f>
        <v>151.77664974619279</v>
      </c>
      <c r="S376" s="14">
        <f>+S375*(1+'SImple Return'!E375)</f>
        <v>208.20835204310691</v>
      </c>
      <c r="T376" s="14">
        <f>+T375*(1+'SImple Return'!F375)</f>
        <v>196.98213233850396</v>
      </c>
      <c r="U376" s="14">
        <f>+U375*(1+'SImple Return'!G375)</f>
        <v>176.08520979089502</v>
      </c>
      <c r="V376" s="14">
        <f>+V375*(1+'SImple Return'!H375)</f>
        <v>154.62869782688864</v>
      </c>
      <c r="W376" s="14">
        <f>+W375*(1+'SImple Return'!I375)</f>
        <v>232.00187454507378</v>
      </c>
      <c r="X376" s="14">
        <f>+X375*(1+'SImple Return'!J375)</f>
        <v>164.27556889726108</v>
      </c>
      <c r="Y376" s="14">
        <f>+Y375*(1+'SImple Return'!K375)</f>
        <v>205.48615832928567</v>
      </c>
      <c r="Z376" s="14">
        <f>+Z375*(1+'SImple Return'!L375)</f>
        <v>1129.7920623326038</v>
      </c>
      <c r="AA376" s="14">
        <f>+AA375*(1+'SImple Return'!M375)</f>
        <v>202.01424614167004</v>
      </c>
      <c r="AB376" s="14">
        <f>+AB375*(1+'SImple Return'!N375)</f>
        <v>196.93473478367136</v>
      </c>
    </row>
    <row r="377" spans="1:28">
      <c r="A377" s="8">
        <v>40249</v>
      </c>
      <c r="B377" s="10">
        <v>1187.3699999999999</v>
      </c>
      <c r="C377" s="10">
        <v>319.88</v>
      </c>
      <c r="D377" s="10">
        <v>134.38</v>
      </c>
      <c r="E377" s="11">
        <v>2112.17</v>
      </c>
      <c r="F377" s="11">
        <v>2030.12</v>
      </c>
      <c r="G377" s="11">
        <v>1806.87</v>
      </c>
      <c r="H377" s="14">
        <v>1557.22</v>
      </c>
      <c r="I377" s="14">
        <v>2350.44</v>
      </c>
      <c r="J377" s="14">
        <v>1636.17</v>
      </c>
      <c r="K377" s="14">
        <v>2188.6</v>
      </c>
      <c r="L377" s="14">
        <v>11645.28</v>
      </c>
      <c r="M377" s="14">
        <v>2036.24</v>
      </c>
      <c r="N377" s="14">
        <v>2058.94</v>
      </c>
      <c r="P377" s="14">
        <f>+P376*(1+'SImple Return'!B376)</f>
        <v>145.88468012433796</v>
      </c>
      <c r="Q377" s="14">
        <f>+Q376*(1+'SImple Return'!C376)</f>
        <v>149.18384479059799</v>
      </c>
      <c r="R377" s="14">
        <f>+R376*(1+'SImple Return'!D376)</f>
        <v>155.02999538532524</v>
      </c>
      <c r="S377" s="14">
        <f>+S376*(1+'SImple Return'!E376)</f>
        <v>210.76385770593185</v>
      </c>
      <c r="T377" s="14">
        <f>+T376*(1+'SImple Return'!F376)</f>
        <v>199.30492833300619</v>
      </c>
      <c r="U377" s="14">
        <f>+U376*(1+'SImple Return'!G376)</f>
        <v>177.05038509024632</v>
      </c>
      <c r="V377" s="14">
        <f>+V376*(1+'SImple Return'!H376)</f>
        <v>155.15877365164476</v>
      </c>
      <c r="W377" s="14">
        <f>+W376*(1+'SImple Return'!I376)</f>
        <v>234.3620065609077</v>
      </c>
      <c r="X377" s="14">
        <f>+X376*(1+'SImple Return'!J376)</f>
        <v>164.81852706228412</v>
      </c>
      <c r="Y377" s="14">
        <f>+Y376*(1+'SImple Return'!K376)</f>
        <v>212.58863525983446</v>
      </c>
      <c r="Z377" s="14">
        <f>+Z376*(1+'SImple Return'!L376)</f>
        <v>1134.1884587290003</v>
      </c>
      <c r="AA377" s="14">
        <f>+AA376*(1+'SImple Return'!M376)</f>
        <v>201.44835773644647</v>
      </c>
      <c r="AB377" s="14">
        <f>+AB376*(1+'SImple Return'!N376)</f>
        <v>201.31410413101921</v>
      </c>
    </row>
    <row r="378" spans="1:28">
      <c r="A378" s="8">
        <v>40256</v>
      </c>
      <c r="B378" s="10">
        <v>1190.78</v>
      </c>
      <c r="C378" s="10">
        <v>320.60000000000002</v>
      </c>
      <c r="D378" s="10">
        <v>135.97999999999999</v>
      </c>
      <c r="E378" s="11">
        <v>2087.19</v>
      </c>
      <c r="F378" s="11">
        <v>2042.55</v>
      </c>
      <c r="G378" s="11">
        <v>1813.86</v>
      </c>
      <c r="H378" s="14">
        <v>1547.77</v>
      </c>
      <c r="I378" s="14">
        <v>2300.96</v>
      </c>
      <c r="J378" s="14">
        <v>1636.5</v>
      </c>
      <c r="K378" s="14">
        <v>2229.0100000000002</v>
      </c>
      <c r="L378" s="14">
        <v>11605.77</v>
      </c>
      <c r="M378" s="14">
        <v>2019.73</v>
      </c>
      <c r="N378" s="14">
        <v>2071.2600000000002</v>
      </c>
      <c r="P378" s="14">
        <f>+P377*(1+'SImple Return'!B377)</f>
        <v>146.30364536619518</v>
      </c>
      <c r="Q378" s="14">
        <f>+Q377*(1+'SImple Return'!C377)</f>
        <v>149.51963436246629</v>
      </c>
      <c r="R378" s="14">
        <f>+R377*(1+'SImple Return'!D377)</f>
        <v>156.87586525149965</v>
      </c>
      <c r="S378" s="14">
        <f>+S377*(1+'SImple Return'!E377)</f>
        <v>208.27121688369968</v>
      </c>
      <c r="T378" s="14">
        <f>+T377*(1+'SImple Return'!F377)</f>
        <v>200.52523070881611</v>
      </c>
      <c r="U378" s="14">
        <f>+U377*(1+'SImple Return'!G377)</f>
        <v>177.73531659709565</v>
      </c>
      <c r="V378" s="14">
        <f>+V377*(1+'SImple Return'!H377)</f>
        <v>154.21719159451214</v>
      </c>
      <c r="W378" s="14">
        <f>+W377*(1+'SImple Return'!I377)</f>
        <v>229.42836346232457</v>
      </c>
      <c r="X378" s="14">
        <f>+X377*(1+'SImple Return'!J377)</f>
        <v>164.85176939891818</v>
      </c>
      <c r="Y378" s="14">
        <f>+Y377*(1+'SImple Return'!K377)</f>
        <v>216.51384167071356</v>
      </c>
      <c r="Z378" s="14">
        <f>+Z377*(1+'SImple Return'!L377)</f>
        <v>1130.3403944485035</v>
      </c>
      <c r="AA378" s="14">
        <f>+AA377*(1+'SImple Return'!M377)</f>
        <v>199.81499802136929</v>
      </c>
      <c r="AB378" s="14">
        <f>+AB377*(1+'SImple Return'!N377)</f>
        <v>202.5186995844536</v>
      </c>
    </row>
    <row r="379" spans="1:28">
      <c r="A379" s="8">
        <v>40263</v>
      </c>
      <c r="B379" s="10">
        <v>1193.4100000000001</v>
      </c>
      <c r="C379" s="10">
        <v>317.16000000000003</v>
      </c>
      <c r="D379" s="10">
        <v>136.07</v>
      </c>
      <c r="E379" s="11">
        <v>2070.4</v>
      </c>
      <c r="F379" s="11">
        <v>2013.54</v>
      </c>
      <c r="G379" s="11">
        <v>1794.32</v>
      </c>
      <c r="H379" s="14">
        <v>1536.53</v>
      </c>
      <c r="I379" s="14">
        <v>2303.4899999999998</v>
      </c>
      <c r="J379" s="14">
        <v>1602.32</v>
      </c>
      <c r="K379" s="14">
        <v>2267.5</v>
      </c>
      <c r="L379" s="14">
        <v>11307.27</v>
      </c>
      <c r="M379" s="14">
        <v>1970.14</v>
      </c>
      <c r="N379" s="14">
        <v>2058.63</v>
      </c>
      <c r="P379" s="14">
        <f>+P378*(1+'SImple Return'!B378)</f>
        <v>146.62677691636659</v>
      </c>
      <c r="Q379" s="14">
        <f>+Q378*(1+'SImple Return'!C378)</f>
        <v>147.91530640798445</v>
      </c>
      <c r="R379" s="14">
        <f>+R378*(1+'SImple Return'!D378)</f>
        <v>156.97969543147195</v>
      </c>
      <c r="S379" s="14">
        <f>+S378*(1+'SImple Return'!E378)</f>
        <v>206.59581898917293</v>
      </c>
      <c r="T379" s="14">
        <f>+T378*(1+'SImple Return'!F378)</f>
        <v>197.67720400549783</v>
      </c>
      <c r="U379" s="14">
        <f>+U378*(1+'SImple Return'!G378)</f>
        <v>175.82064397279871</v>
      </c>
      <c r="V379" s="14">
        <f>+V378*(1+'SImple Return'!H378)</f>
        <v>153.09725695724543</v>
      </c>
      <c r="W379" s="14">
        <f>+W378*(1+'SImple Return'!I378)</f>
        <v>229.6806293685375</v>
      </c>
      <c r="X379" s="14">
        <f>+X378*(1+'SImple Return'!J378)</f>
        <v>161.40866919845681</v>
      </c>
      <c r="Y379" s="14">
        <f>+Y378*(1+'SImple Return'!K378)</f>
        <v>220.25254978144693</v>
      </c>
      <c r="Z379" s="14">
        <f>+Z378*(1+'SImple Return'!L378)</f>
        <v>1101.2680788897014</v>
      </c>
      <c r="AA379" s="14">
        <f>+AA378*(1+'SImple Return'!M378)</f>
        <v>194.9089829837753</v>
      </c>
      <c r="AB379" s="14">
        <f>+AB378*(1+'SImple Return'!N378)</f>
        <v>201.2837936934734</v>
      </c>
    </row>
    <row r="380" spans="1:28">
      <c r="A380" s="8">
        <v>40270</v>
      </c>
      <c r="B380" s="10">
        <v>1212.76</v>
      </c>
      <c r="C380" s="10">
        <v>318.20999999999998</v>
      </c>
      <c r="D380" s="10">
        <v>136.77000000000001</v>
      </c>
      <c r="E380" s="11">
        <v>2131.17</v>
      </c>
      <c r="F380" s="11">
        <v>2065.64</v>
      </c>
      <c r="G380" s="11">
        <v>1848.95</v>
      </c>
      <c r="H380" s="14">
        <v>1578.49</v>
      </c>
      <c r="I380" s="14">
        <v>2360.2800000000002</v>
      </c>
      <c r="J380" s="14">
        <v>1692</v>
      </c>
      <c r="K380" s="14">
        <v>2286.12</v>
      </c>
      <c r="L380" s="14">
        <v>11609.72</v>
      </c>
      <c r="M380" s="14">
        <v>2009.6</v>
      </c>
      <c r="N380" s="14">
        <v>2120.79</v>
      </c>
      <c r="P380" s="14">
        <f>+P379*(1+'SImple Return'!B379)</f>
        <v>149.00418965241846</v>
      </c>
      <c r="Q380" s="14">
        <f>+Q379*(1+'SImple Return'!C379)</f>
        <v>148.40499953362567</v>
      </c>
      <c r="R380" s="14">
        <f>+R379*(1+'SImple Return'!D379)</f>
        <v>157.78726349792328</v>
      </c>
      <c r="S380" s="14">
        <f>+S379*(1+'SImple Return'!E379)</f>
        <v>212.65978146983949</v>
      </c>
      <c r="T380" s="14">
        <f>+T379*(1+'SImple Return'!F379)</f>
        <v>202.79206754368749</v>
      </c>
      <c r="U380" s="14">
        <f>+U379*(1+'SImple Return'!G379)</f>
        <v>181.17369235894722</v>
      </c>
      <c r="V380" s="14">
        <f>+V379*(1+'SImple Return'!H379)</f>
        <v>157.27808056754009</v>
      </c>
      <c r="W380" s="14">
        <f>+W379*(1+'SImple Return'!I379)</f>
        <v>235.34315142934062</v>
      </c>
      <c r="X380" s="14">
        <f>+X379*(1+'SImple Return'!J379)</f>
        <v>170.44252601464686</v>
      </c>
      <c r="Y380" s="14">
        <f>+Y379*(1+'SImple Return'!K379)</f>
        <v>222.06119475473494</v>
      </c>
      <c r="Z380" s="14">
        <f>+Z379*(1+'SImple Return'!L379)</f>
        <v>1130.725103481861</v>
      </c>
      <c r="AA380" s="14">
        <f>+AA379*(1+'SImple Return'!M379)</f>
        <v>198.81282152750305</v>
      </c>
      <c r="AB380" s="14">
        <f>+AB379*(1+'SImple Return'!N379)</f>
        <v>207.36152529943766</v>
      </c>
    </row>
    <row r="381" spans="1:28">
      <c r="A381" s="8">
        <v>40277</v>
      </c>
      <c r="B381" s="10">
        <v>1223.32</v>
      </c>
      <c r="C381" s="10">
        <v>318.10000000000002</v>
      </c>
      <c r="D381" s="10">
        <v>139</v>
      </c>
      <c r="E381" s="11">
        <v>2140.5300000000002</v>
      </c>
      <c r="F381" s="11">
        <v>2075.9299999999998</v>
      </c>
      <c r="G381" s="11">
        <v>1896.38</v>
      </c>
      <c r="H381" s="14">
        <v>1587.63</v>
      </c>
      <c r="I381" s="14">
        <v>2423.7600000000002</v>
      </c>
      <c r="J381" s="14">
        <v>1719.69</v>
      </c>
      <c r="K381" s="14">
        <v>2331.41</v>
      </c>
      <c r="L381" s="14">
        <v>11456.82</v>
      </c>
      <c r="M381" s="14">
        <v>2014.99</v>
      </c>
      <c r="N381" s="14">
        <v>2145.48</v>
      </c>
      <c r="P381" s="14">
        <f>+P380*(1+'SImple Return'!B380)</f>
        <v>150.30163040139561</v>
      </c>
      <c r="Q381" s="14">
        <f>+Q380*(1+'SImple Return'!C380)</f>
        <v>148.35369834903472</v>
      </c>
      <c r="R381" s="14">
        <f>+R380*(1+'SImple Return'!D380)</f>
        <v>160.35994462390389</v>
      </c>
      <c r="S381" s="14">
        <f>+S380*(1+'SImple Return'!E380)</f>
        <v>213.59377338721714</v>
      </c>
      <c r="T381" s="14">
        <f>+T380*(1+'SImple Return'!F380)</f>
        <v>203.80227763597102</v>
      </c>
      <c r="U381" s="14">
        <f>+U380*(1+'SImple Return'!G380)</f>
        <v>185.82123189683892</v>
      </c>
      <c r="V381" s="14">
        <f>+V380*(1+'SImple Return'!H380)</f>
        <v>158.18877474766623</v>
      </c>
      <c r="W381" s="14">
        <f>+W380*(1+'SImple Return'!I380)</f>
        <v>241.6727323488648</v>
      </c>
      <c r="X381" s="14">
        <f>+X380*(1+'SImple Return'!J380)</f>
        <v>173.23186026130497</v>
      </c>
      <c r="Y381" s="14">
        <f>+Y380*(1+'SImple Return'!K380)</f>
        <v>226.46041767848433</v>
      </c>
      <c r="Z381" s="14">
        <f>+Z380*(1+'SImple Return'!L380)</f>
        <v>1115.833455076699</v>
      </c>
      <c r="AA381" s="14">
        <f>+AA380*(1+'SImple Return'!M380)</f>
        <v>199.34606252473299</v>
      </c>
      <c r="AB381" s="14">
        <f>+AB380*(1+'SImple Return'!N380)</f>
        <v>209.77560498655572</v>
      </c>
    </row>
    <row r="382" spans="1:28">
      <c r="A382" s="8">
        <v>40284</v>
      </c>
      <c r="B382" s="10">
        <v>1222.25</v>
      </c>
      <c r="C382" s="10">
        <v>319.73</v>
      </c>
      <c r="D382" s="10">
        <v>137.94999999999999</v>
      </c>
      <c r="E382" s="11">
        <v>2131.6999999999998</v>
      </c>
      <c r="F382" s="11">
        <v>2052.88</v>
      </c>
      <c r="G382" s="11">
        <v>1878.79</v>
      </c>
      <c r="H382" s="14">
        <v>1577.86</v>
      </c>
      <c r="I382" s="14">
        <v>2390.7600000000002</v>
      </c>
      <c r="J382" s="14">
        <v>1717.14</v>
      </c>
      <c r="K382" s="14">
        <v>2325.4699999999998</v>
      </c>
      <c r="L382" s="14">
        <v>11284.73</v>
      </c>
      <c r="M382" s="14">
        <v>2019.68</v>
      </c>
      <c r="N382" s="14">
        <v>2120.17</v>
      </c>
      <c r="P382" s="14">
        <f>+P381*(1+'SImple Return'!B381)</f>
        <v>150.17016623459585</v>
      </c>
      <c r="Q382" s="14">
        <f>+Q381*(1+'SImple Return'!C381)</f>
        <v>149.11388862979211</v>
      </c>
      <c r="R382" s="14">
        <f>+R381*(1+'SImple Return'!D381)</f>
        <v>159.1485925242269</v>
      </c>
      <c r="S382" s="14">
        <f>+S381*(1+'SImple Return'!E381)</f>
        <v>212.71266776430636</v>
      </c>
      <c r="T382" s="14">
        <f>+T381*(1+'SImple Return'!F381)</f>
        <v>201.53936775967026</v>
      </c>
      <c r="U382" s="14">
        <f>+U381*(1+'SImple Return'!G381)</f>
        <v>184.09763458561153</v>
      </c>
      <c r="V382" s="14">
        <f>+V381*(1+'SImple Return'!H381)</f>
        <v>157.2153084303979</v>
      </c>
      <c r="W382" s="14">
        <f>+W381*(1+'SImple Return'!I381)</f>
        <v>238.38230748521801</v>
      </c>
      <c r="X382" s="14">
        <f>+X381*(1+'SImple Return'!J381)</f>
        <v>172.97498766004176</v>
      </c>
      <c r="Y382" s="14">
        <f>+Y381*(1+'SImple Return'!K381)</f>
        <v>225.88343856240857</v>
      </c>
      <c r="Z382" s="14">
        <f>+Z381*(1+'SImple Return'!L381)</f>
        <v>1099.0728025322628</v>
      </c>
      <c r="AA382" s="14">
        <f>+AA381*(1+'SImple Return'!M381)</f>
        <v>199.81005144440056</v>
      </c>
      <c r="AB382" s="14">
        <f>+AB381*(1+'SImple Return'!N381)</f>
        <v>207.30090442434599</v>
      </c>
    </row>
    <row r="383" spans="1:28">
      <c r="A383" s="8">
        <v>40291</v>
      </c>
      <c r="B383" s="10">
        <v>1225.3800000000001</v>
      </c>
      <c r="C383" s="10">
        <v>319.47000000000003</v>
      </c>
      <c r="D383" s="10">
        <v>138.78</v>
      </c>
      <c r="E383" s="11">
        <v>2079.6</v>
      </c>
      <c r="F383" s="11">
        <v>2097.14</v>
      </c>
      <c r="G383" s="11">
        <v>1870.14</v>
      </c>
      <c r="H383" s="14">
        <v>1581.93</v>
      </c>
      <c r="I383" s="14">
        <v>2401.69</v>
      </c>
      <c r="J383" s="14">
        <v>1693.92</v>
      </c>
      <c r="K383" s="14">
        <v>2299.39</v>
      </c>
      <c r="L383" s="14">
        <v>11363.49</v>
      </c>
      <c r="M383" s="14">
        <v>1956.6</v>
      </c>
      <c r="N383" s="14">
        <v>2150.58</v>
      </c>
      <c r="P383" s="14">
        <f>+P382*(1+'SImple Return'!B382)</f>
        <v>150.554729638412</v>
      </c>
      <c r="Q383" s="14">
        <f>+Q382*(1+'SImple Return'!C382)</f>
        <v>148.99263128439523</v>
      </c>
      <c r="R383" s="14">
        <f>+R382*(1+'SImple Return'!D382)</f>
        <v>160.10613751730492</v>
      </c>
      <c r="S383" s="14">
        <f>+S382*(1+'SImple Return'!E382)</f>
        <v>207.51384523274925</v>
      </c>
      <c r="T383" s="14">
        <f>+T382*(1+'SImple Return'!F382)</f>
        <v>205.88454741802482</v>
      </c>
      <c r="U383" s="14">
        <f>+U382*(1+'SImple Return'!G382)</f>
        <v>183.25004409430301</v>
      </c>
      <c r="V383" s="14">
        <f>+V382*(1+'SImple Return'!H382)</f>
        <v>157.62083636399896</v>
      </c>
      <c r="W383" s="14">
        <f>+W382*(1+'SImple Return'!I382)</f>
        <v>239.47213608399557</v>
      </c>
      <c r="X383" s="14">
        <f>+X382*(1+'SImple Return'!J382)</f>
        <v>170.63593597324501</v>
      </c>
      <c r="Y383" s="14">
        <f>+Y382*(1+'SImple Return'!K382)</f>
        <v>223.35016998542946</v>
      </c>
      <c r="Z383" s="14">
        <f>+Z382*(1+'SImple Return'!L382)</f>
        <v>1106.743608473339</v>
      </c>
      <c r="AA383" s="14">
        <f>+AA382*(1+'SImple Return'!M382)</f>
        <v>193.56944994064114</v>
      </c>
      <c r="AB383" s="14">
        <f>+AB382*(1+'SImple Return'!N382)</f>
        <v>210.27426057198716</v>
      </c>
    </row>
    <row r="384" spans="1:28">
      <c r="A384" s="8">
        <v>40298</v>
      </c>
      <c r="B384" s="10">
        <v>1198.56</v>
      </c>
      <c r="C384" s="10">
        <v>320.95999999999998</v>
      </c>
      <c r="D384" s="10">
        <v>138.59</v>
      </c>
      <c r="E384" s="11">
        <v>1996.57</v>
      </c>
      <c r="F384" s="11">
        <v>2051.31</v>
      </c>
      <c r="G384" s="11">
        <v>1846.4</v>
      </c>
      <c r="H384" s="14">
        <v>1540.95</v>
      </c>
      <c r="I384" s="14">
        <v>2381.67</v>
      </c>
      <c r="J384" s="14">
        <v>1658.44</v>
      </c>
      <c r="K384" s="14">
        <v>2238.52</v>
      </c>
      <c r="L384" s="14">
        <v>11111.37</v>
      </c>
      <c r="M384" s="14">
        <v>1876.25</v>
      </c>
      <c r="N384" s="14">
        <v>2091.4499999999998</v>
      </c>
      <c r="P384" s="14">
        <f>+P383*(1+'SImple Return'!B383)</f>
        <v>147.25952500890747</v>
      </c>
      <c r="Q384" s="14">
        <f>+Q383*(1+'SImple Return'!C383)</f>
        <v>149.68752914840042</v>
      </c>
      <c r="R384" s="14">
        <f>+R383*(1+'SImple Return'!D383)</f>
        <v>159.88694047069671</v>
      </c>
      <c r="S384" s="14">
        <f>+S383*(1+'SImple Return'!E383)</f>
        <v>199.22865838447308</v>
      </c>
      <c r="T384" s="14">
        <f>+T383*(1+'SImple Return'!F383)</f>
        <v>201.38523463577468</v>
      </c>
      <c r="U384" s="14">
        <f>+U383*(1+'SImple Return'!G383)</f>
        <v>180.92382464185627</v>
      </c>
      <c r="V384" s="14">
        <f>+V383*(1+'SImple Return'!H383)</f>
        <v>153.53765830036991</v>
      </c>
      <c r="W384" s="14">
        <f>+W383*(1+'SImple Return'!I383)</f>
        <v>237.47594500004985</v>
      </c>
      <c r="X384" s="14">
        <f>+X383*(1+'SImple Return'!J383)</f>
        <v>167.06188111331613</v>
      </c>
      <c r="Y384" s="14">
        <f>+Y383*(1+'SImple Return'!K383)</f>
        <v>217.43759106362279</v>
      </c>
      <c r="Z384" s="14">
        <f>+Z383*(1+'SImple Return'!L383)</f>
        <v>1082.1884587290001</v>
      </c>
      <c r="AA384" s="14">
        <f>+AA383*(1+'SImple Return'!M383)</f>
        <v>185.62030075187977</v>
      </c>
      <c r="AB384" s="14">
        <f>+AB383*(1+'SImple Return'!N383)</f>
        <v>204.49278904913211</v>
      </c>
    </row>
    <row r="385" spans="1:28">
      <c r="A385" s="8">
        <v>40305</v>
      </c>
      <c r="B385" s="10">
        <v>1099.58</v>
      </c>
      <c r="C385" s="10">
        <v>321.67</v>
      </c>
      <c r="D385" s="10">
        <v>129.19</v>
      </c>
      <c r="E385" s="11">
        <v>1773.46</v>
      </c>
      <c r="F385" s="11">
        <v>1929.13</v>
      </c>
      <c r="G385" s="11">
        <v>1722.03</v>
      </c>
      <c r="H385" s="14">
        <v>1425.27</v>
      </c>
      <c r="I385" s="14">
        <v>2131.41</v>
      </c>
      <c r="J385" s="14">
        <v>1518.66</v>
      </c>
      <c r="K385" s="14">
        <v>1965.5</v>
      </c>
      <c r="L385" s="14">
        <v>10355.82</v>
      </c>
      <c r="M385" s="14">
        <v>1664.16</v>
      </c>
      <c r="N385" s="14">
        <v>1954.14</v>
      </c>
      <c r="P385" s="14">
        <f>+P384*(1+'SImple Return'!B384)</f>
        <v>135.09847526139239</v>
      </c>
      <c r="Q385" s="14">
        <f>+Q384*(1+'SImple Return'!C384)</f>
        <v>150.018654976215</v>
      </c>
      <c r="R385" s="14">
        <f>+R384*(1+'SImple Return'!D384)</f>
        <v>149.04245500692193</v>
      </c>
      <c r="S385" s="14">
        <f>+S384*(1+'SImple Return'!E384)</f>
        <v>176.965524123135</v>
      </c>
      <c r="T385" s="14">
        <f>+T384*(1+'SImple Return'!F384)</f>
        <v>189.39033968191646</v>
      </c>
      <c r="U385" s="14">
        <f>+U384*(1+'SImple Return'!G384)</f>
        <v>168.73713916162032</v>
      </c>
      <c r="V385" s="14">
        <f>+V384*(1+'SImple Return'!H384)</f>
        <v>142.01149826131169</v>
      </c>
      <c r="W385" s="14">
        <f>+W384*(1+'SImple Return'!I384)</f>
        <v>212.52255935228484</v>
      </c>
      <c r="X385" s="14">
        <f>+X384*(1+'SImple Return'!J384)</f>
        <v>152.98123318995482</v>
      </c>
      <c r="Y385" s="14">
        <f>+Y384*(1+'SImple Return'!K384)</f>
        <v>190.91792132102935</v>
      </c>
      <c r="Z385" s="14">
        <f>+Z384*(1+'SImple Return'!L384)</f>
        <v>1008.6018991964944</v>
      </c>
      <c r="AA385" s="14">
        <f>+AA384*(1+'SImple Return'!M384)</f>
        <v>164.63791056588846</v>
      </c>
      <c r="AB385" s="14">
        <f>+AB384*(1+'SImple Return'!N384)</f>
        <v>191.06722072842817</v>
      </c>
    </row>
    <row r="386" spans="1:28">
      <c r="A386" s="8">
        <v>40312</v>
      </c>
      <c r="B386" s="10">
        <v>1123.78</v>
      </c>
      <c r="C386" s="10">
        <v>320.10000000000002</v>
      </c>
      <c r="D386" s="10">
        <v>131.22999999999999</v>
      </c>
      <c r="E386" s="11">
        <v>1809.79</v>
      </c>
      <c r="F386" s="11">
        <v>1995.04</v>
      </c>
      <c r="G386" s="11">
        <v>1773.46</v>
      </c>
      <c r="H386" s="14">
        <v>1460.88</v>
      </c>
      <c r="I386" s="14">
        <v>2168.4699999999998</v>
      </c>
      <c r="J386" s="14">
        <v>1567.8</v>
      </c>
      <c r="K386" s="14">
        <v>2084.23</v>
      </c>
      <c r="L386" s="14">
        <v>10851.79</v>
      </c>
      <c r="M386" s="14">
        <v>1680.8</v>
      </c>
      <c r="N386" s="14">
        <v>2012.92</v>
      </c>
      <c r="P386" s="14">
        <f>+P385*(1+'SImple Return'!B385)</f>
        <v>138.07177697779838</v>
      </c>
      <c r="Q386" s="14">
        <f>+Q385*(1+'SImple Return'!C385)</f>
        <v>149.28644715977998</v>
      </c>
      <c r="R386" s="14">
        <f>+R385*(1+'SImple Return'!D385)</f>
        <v>151.39593908629433</v>
      </c>
      <c r="S386" s="14">
        <f>+S385*(1+'SImple Return'!E385)</f>
        <v>180.59072993064882</v>
      </c>
      <c r="T386" s="14">
        <f>+T385*(1+'SImple Return'!F385)</f>
        <v>195.86098566660129</v>
      </c>
      <c r="U386" s="14">
        <f>+U385*(1+'SImple Return'!G385)</f>
        <v>173.77662805965471</v>
      </c>
      <c r="V386" s="14">
        <f>+V385*(1+'SImple Return'!H385)</f>
        <v>145.55961858453841</v>
      </c>
      <c r="W386" s="14">
        <f>+W385*(1+'SImple Return'!I385)</f>
        <v>216.21780618400453</v>
      </c>
      <c r="X386" s="14">
        <f>+X385*(1+'SImple Return'!J385)</f>
        <v>157.93131931782699</v>
      </c>
      <c r="Y386" s="14">
        <f>+Y385*(1+'SImple Return'!K385)</f>
        <v>202.45070422535181</v>
      </c>
      <c r="Z386" s="14">
        <f>+Z385*(1+'SImple Return'!L385)</f>
        <v>1056.906744582421</v>
      </c>
      <c r="AA386" s="14">
        <f>+AA385*(1+'SImple Return'!M385)</f>
        <v>166.28413138108434</v>
      </c>
      <c r="AB386" s="14">
        <f>+AB385*(1+'SImple Return'!N385)</f>
        <v>196.81447078953792</v>
      </c>
    </row>
    <row r="387" spans="1:28">
      <c r="A387" s="8">
        <v>40319</v>
      </c>
      <c r="B387" s="10">
        <v>1073.6099999999999</v>
      </c>
      <c r="C387" s="10">
        <v>323.44</v>
      </c>
      <c r="D387" s="10">
        <v>124.1</v>
      </c>
      <c r="E387" s="11">
        <v>1745.71</v>
      </c>
      <c r="F387" s="11">
        <v>1888.69</v>
      </c>
      <c r="G387" s="11">
        <v>1611.56</v>
      </c>
      <c r="H387" s="14">
        <v>1377.16</v>
      </c>
      <c r="I387" s="14">
        <v>2004.76</v>
      </c>
      <c r="J387" s="14">
        <v>1525.82</v>
      </c>
      <c r="K387" s="14">
        <v>1892.65</v>
      </c>
      <c r="L387" s="14">
        <v>10601.39</v>
      </c>
      <c r="M387" s="14">
        <v>1594.64</v>
      </c>
      <c r="N387" s="14">
        <v>1892.14</v>
      </c>
      <c r="P387" s="14">
        <f>+P386*(1+'SImple Return'!B386)</f>
        <v>131.90770478308397</v>
      </c>
      <c r="Q387" s="14">
        <f>+Q386*(1+'SImple Return'!C386)</f>
        <v>150.84413767372456</v>
      </c>
      <c r="R387" s="14">
        <f>+R386*(1+'SImple Return'!D386)</f>
        <v>143.17028149515451</v>
      </c>
      <c r="S387" s="14">
        <f>+S386*(1+'SImple Return'!E386)</f>
        <v>174.19647757321729</v>
      </c>
      <c r="T387" s="14">
        <f>+T386*(1+'SImple Return'!F386)</f>
        <v>185.4201845670529</v>
      </c>
      <c r="U387" s="14">
        <f>+U386*(1+'SImple Return'!G386)</f>
        <v>157.91247770788016</v>
      </c>
      <c r="V387" s="14">
        <f>+V386*(1+'SImple Return'!H386)</f>
        <v>137.21789902653396</v>
      </c>
      <c r="W387" s="14">
        <f>+W386*(1+'SImple Return'!I386)</f>
        <v>199.89430756498589</v>
      </c>
      <c r="X387" s="14">
        <f>+X386*(1+'SImple Return'!J386)</f>
        <v>153.70249116056053</v>
      </c>
      <c r="Y387" s="14">
        <f>+Y386*(1+'SImple Return'!K386)</f>
        <v>183.84167071393856</v>
      </c>
      <c r="Z387" s="14">
        <f>+Z386*(1+'SImple Return'!L386)</f>
        <v>1032.5191137083034</v>
      </c>
      <c r="AA387" s="14">
        <f>+AA386*(1+'SImple Return'!M386)</f>
        <v>157.76018994855565</v>
      </c>
      <c r="AB387" s="14">
        <f>+AB386*(1+'SImple Return'!N386)</f>
        <v>185.00513321926172</v>
      </c>
    </row>
    <row r="388" spans="1:28">
      <c r="A388" s="8">
        <v>40326</v>
      </c>
      <c r="B388" s="10">
        <v>1080.3</v>
      </c>
      <c r="C388" s="10">
        <v>321.44</v>
      </c>
      <c r="D388" s="10">
        <v>126.27</v>
      </c>
      <c r="E388" s="11">
        <v>1741.17</v>
      </c>
      <c r="F388" s="11">
        <v>1913.13</v>
      </c>
      <c r="G388" s="11">
        <v>1643.2</v>
      </c>
      <c r="H388" s="14">
        <v>1370.77</v>
      </c>
      <c r="I388" s="14">
        <v>2045.21</v>
      </c>
      <c r="J388" s="14">
        <v>1583.39</v>
      </c>
      <c r="K388" s="14">
        <v>1924.65</v>
      </c>
      <c r="L388" s="14">
        <v>10701.36</v>
      </c>
      <c r="M388" s="14">
        <v>1615.48</v>
      </c>
      <c r="N388" s="14">
        <v>1911.44</v>
      </c>
      <c r="P388" s="14">
        <f>+P387*(1+'SImple Return'!B387)</f>
        <v>132.72966298485076</v>
      </c>
      <c r="Q388" s="14">
        <f>+Q387*(1+'SImple Return'!C387)</f>
        <v>149.91138886297929</v>
      </c>
      <c r="R388" s="14">
        <f>+R387*(1+'SImple Return'!D387)</f>
        <v>145.67374250115361</v>
      </c>
      <c r="S388" s="14">
        <f>+S387*(1+'SImple Return'!E387)</f>
        <v>173.74345157910463</v>
      </c>
      <c r="T388" s="14">
        <f>+T387*(1+'SImple Return'!F387)</f>
        <v>187.81955625368161</v>
      </c>
      <c r="U388" s="14">
        <f>+U387*(1+'SImple Return'!G387)</f>
        <v>161.0127971466087</v>
      </c>
      <c r="V388" s="14">
        <f>+V387*(1+'SImple Return'!H387)</f>
        <v>136.58121020694904</v>
      </c>
      <c r="W388" s="14">
        <f>+W387*(1+'SImple Return'!I387)</f>
        <v>203.92757076906202</v>
      </c>
      <c r="X388" s="14">
        <f>+X387*(1+'SImple Return'!J387)</f>
        <v>159.50176788790284</v>
      </c>
      <c r="Y388" s="14">
        <f>+Y387*(1+'SImple Return'!K387)</f>
        <v>186.94997571636691</v>
      </c>
      <c r="Z388" s="14">
        <f>+Z387*(1+'SImple Return'!L387)</f>
        <v>1042.2556610664724</v>
      </c>
      <c r="AA388" s="14">
        <f>+AA387*(1+'SImple Return'!M387)</f>
        <v>159.82192322912547</v>
      </c>
      <c r="AB388" s="14">
        <f>+AB387*(1+'SImple Return'!N387)</f>
        <v>186.89220239550224</v>
      </c>
    </row>
    <row r="389" spans="1:28">
      <c r="A389" s="8">
        <v>40333</v>
      </c>
      <c r="B389" s="10">
        <v>1060.27</v>
      </c>
      <c r="C389" s="10">
        <v>321.82</v>
      </c>
      <c r="D389" s="10">
        <v>123.45</v>
      </c>
      <c r="E389" s="11">
        <v>1714.73</v>
      </c>
      <c r="F389" s="11">
        <v>1899</v>
      </c>
      <c r="G389" s="11">
        <v>1621.95</v>
      </c>
      <c r="H389" s="14">
        <v>1344.82</v>
      </c>
      <c r="I389" s="14">
        <v>1992.03</v>
      </c>
      <c r="J389" s="14">
        <v>1607.17</v>
      </c>
      <c r="K389" s="14">
        <v>1926.94</v>
      </c>
      <c r="L389" s="14">
        <v>10762.69</v>
      </c>
      <c r="M389" s="14">
        <v>1568.51</v>
      </c>
      <c r="N389" s="14">
        <v>1894.07</v>
      </c>
      <c r="P389" s="14">
        <f>+P388*(1+'SImple Return'!B388)</f>
        <v>130.26870292784201</v>
      </c>
      <c r="Q389" s="14">
        <f>+Q388*(1+'SImple Return'!C388)</f>
        <v>150.08861113702088</v>
      </c>
      <c r="R389" s="14">
        <f>+R388*(1+'SImple Return'!D388)</f>
        <v>142.42039686202116</v>
      </c>
      <c r="S389" s="14">
        <f>+S388*(1+'SImple Return'!E388)</f>
        <v>171.10512398343533</v>
      </c>
      <c r="T389" s="14">
        <f>+T388*(1+'SImple Return'!F388)</f>
        <v>186.43235813862171</v>
      </c>
      <c r="U389" s="14">
        <f>+U388*(1+'SImple Return'!G388)</f>
        <v>158.93056617085077</v>
      </c>
      <c r="V389" s="14">
        <f>+V388*(1+'SImple Return'!H388)</f>
        <v>133.99559598656901</v>
      </c>
      <c r="W389" s="14">
        <f>+W388*(1+'SImple Return'!I388)</f>
        <v>198.62500124637305</v>
      </c>
      <c r="X389" s="14">
        <f>+X388*(1+'SImple Return'!J388)</f>
        <v>161.89723081262409</v>
      </c>
      <c r="Y389" s="14">
        <f>+Y388*(1+'SImple Return'!K388)</f>
        <v>187.17241379310317</v>
      </c>
      <c r="Z389" s="14">
        <f>+Z388*(1+'SImple Return'!L388)</f>
        <v>1048.2288775261754</v>
      </c>
      <c r="AA389" s="14">
        <f>+AA388*(1+'SImple Return'!M388)</f>
        <v>155.17510882469335</v>
      </c>
      <c r="AB389" s="14">
        <f>+AB388*(1+'SImple Return'!N388)</f>
        <v>185.19384013688577</v>
      </c>
    </row>
    <row r="390" spans="1:28">
      <c r="A390" s="8">
        <v>40340</v>
      </c>
      <c r="B390" s="10">
        <v>1080.68</v>
      </c>
      <c r="C390" s="10">
        <v>322.02999999999997</v>
      </c>
      <c r="D390" s="10">
        <v>127.1</v>
      </c>
      <c r="E390" s="11">
        <v>1756.06</v>
      </c>
      <c r="F390" s="11">
        <v>1975.7</v>
      </c>
      <c r="G390" s="11">
        <v>1650.55</v>
      </c>
      <c r="H390" s="14">
        <v>1381.79</v>
      </c>
      <c r="I390" s="14">
        <v>2028.86</v>
      </c>
      <c r="J390" s="14">
        <v>1622.68</v>
      </c>
      <c r="K390" s="14">
        <v>1905.78</v>
      </c>
      <c r="L390" s="14">
        <v>11339.62</v>
      </c>
      <c r="M390" s="14">
        <v>1623.4</v>
      </c>
      <c r="N390" s="14">
        <v>1959.06</v>
      </c>
      <c r="P390" s="14">
        <f>+P389*(1+'SImple Return'!B389)</f>
        <v>132.7763511936208</v>
      </c>
      <c r="Q390" s="14">
        <f>+Q389*(1+'SImple Return'!C389)</f>
        <v>150.1865497621491</v>
      </c>
      <c r="R390" s="14">
        <f>+R389*(1+'SImple Return'!D389)</f>
        <v>146.63128749423157</v>
      </c>
      <c r="S390" s="14">
        <f>+S389*(1+'SImple Return'!E389)</f>
        <v>175.22925709724063</v>
      </c>
      <c r="T390" s="14">
        <f>+T389*(1+'SImple Return'!F389)</f>
        <v>193.96230119772247</v>
      </c>
      <c r="U390" s="14">
        <f>+U389*(1+'SImple Return'!G389)</f>
        <v>161.73300409587085</v>
      </c>
      <c r="V390" s="14">
        <f>+V389*(1+'SImple Return'!H389)</f>
        <v>137.67922441537246</v>
      </c>
      <c r="W390" s="14">
        <f>+W389*(1+'SImple Return'!I389)</f>
        <v>202.29731481389155</v>
      </c>
      <c r="X390" s="14">
        <f>+X389*(1+'SImple Return'!J389)</f>
        <v>163.45962063442499</v>
      </c>
      <c r="Y390" s="14">
        <f>+Y389*(1+'SImple Return'!K389)</f>
        <v>185.11704711024743</v>
      </c>
      <c r="Z390" s="14">
        <f>+Z389*(1+'SImple Return'!L389)</f>
        <v>1104.4187971755546</v>
      </c>
      <c r="AA390" s="14">
        <f>+AA389*(1+'SImple Return'!M389)</f>
        <v>160.60546102097356</v>
      </c>
      <c r="AB390" s="14">
        <f>+AB389*(1+'SImple Return'!N389)</f>
        <v>191.54827670496206</v>
      </c>
    </row>
    <row r="391" spans="1:28">
      <c r="A391" s="8">
        <v>40347</v>
      </c>
      <c r="B391" s="10">
        <v>1115.3499999999999</v>
      </c>
      <c r="C391" s="10">
        <v>323.39</v>
      </c>
      <c r="D391" s="10">
        <v>130.19999999999999</v>
      </c>
      <c r="E391" s="11">
        <v>1822.6</v>
      </c>
      <c r="F391" s="11">
        <v>2037.35</v>
      </c>
      <c r="G391" s="11">
        <v>1738.28</v>
      </c>
      <c r="H391" s="14">
        <v>1446.65</v>
      </c>
      <c r="I391" s="14">
        <v>2096.09</v>
      </c>
      <c r="J391" s="14">
        <v>1660.23</v>
      </c>
      <c r="K391" s="14">
        <v>2002.01</v>
      </c>
      <c r="L391" s="14">
        <v>11531.95</v>
      </c>
      <c r="M391" s="14">
        <v>1675.51</v>
      </c>
      <c r="N391" s="14">
        <v>2032.7</v>
      </c>
      <c r="P391" s="14">
        <f>+P390*(1+'SImple Return'!B390)</f>
        <v>137.03603592534787</v>
      </c>
      <c r="Q391" s="14">
        <f>+Q390*(1+'SImple Return'!C390)</f>
        <v>150.82081895345587</v>
      </c>
      <c r="R391" s="14">
        <f>+R390*(1+'SImple Return'!D390)</f>
        <v>150.20766035994453</v>
      </c>
      <c r="S391" s="14">
        <f>+S390*(1+'SImple Return'!E390)</f>
        <v>181.86898168936753</v>
      </c>
      <c r="T391" s="14">
        <f>+T390*(1+'SImple Return'!F390)</f>
        <v>200.0147260946398</v>
      </c>
      <c r="U391" s="14">
        <f>+U390*(1+'SImple Return'!G390)</f>
        <v>170.32943343719995</v>
      </c>
      <c r="V391" s="14">
        <f>+V390*(1+'SImple Return'!H390)</f>
        <v>144.14176539162867</v>
      </c>
      <c r="W391" s="14">
        <f>+W390*(1+'SImple Return'!I390)</f>
        <v>209.00080764973924</v>
      </c>
      <c r="X391" s="14">
        <f>+X390*(1+'SImple Return'!J390)</f>
        <v>167.24219560596754</v>
      </c>
      <c r="Y391" s="14">
        <f>+Y390*(1+'SImple Return'!K390)</f>
        <v>194.46430305973746</v>
      </c>
      <c r="Z391" s="14">
        <f>+Z390*(1+'SImple Return'!L390)</f>
        <v>1123.1507182858541</v>
      </c>
      <c r="AA391" s="14">
        <f>+AA390*(1+'SImple Return'!M390)</f>
        <v>165.76078353779192</v>
      </c>
      <c r="AB391" s="14">
        <f>+AB390*(1+'SImple Return'!N390)</f>
        <v>198.74847225617202</v>
      </c>
    </row>
    <row r="392" spans="1:28">
      <c r="A392" s="8">
        <v>40354</v>
      </c>
      <c r="B392" s="10">
        <v>1079.52</v>
      </c>
      <c r="C392" s="10">
        <v>325.43</v>
      </c>
      <c r="D392" s="10">
        <v>128.75</v>
      </c>
      <c r="E392" s="11">
        <v>1775.1</v>
      </c>
      <c r="F392" s="11">
        <v>1988.54</v>
      </c>
      <c r="G392" s="11">
        <v>1720.87</v>
      </c>
      <c r="H392" s="14">
        <v>1394.58</v>
      </c>
      <c r="I392" s="14">
        <v>2060.67</v>
      </c>
      <c r="J392" s="14">
        <v>1662.92</v>
      </c>
      <c r="K392" s="14">
        <v>2047.59</v>
      </c>
      <c r="L392" s="14">
        <v>11296.53</v>
      </c>
      <c r="M392" s="14">
        <v>1640.36</v>
      </c>
      <c r="N392" s="14">
        <v>1990.58</v>
      </c>
      <c r="P392" s="14">
        <f>+P391*(1+'SImple Return'!B391)</f>
        <v>132.63382929316495</v>
      </c>
      <c r="Q392" s="14">
        <f>+Q391*(1+'SImple Return'!C391)</f>
        <v>151.77222274041605</v>
      </c>
      <c r="R392" s="14">
        <f>+R391*(1+'SImple Return'!D391)</f>
        <v>148.53484079372396</v>
      </c>
      <c r="S392" s="14">
        <f>+S391*(1+'SImple Return'!E391)</f>
        <v>177.12917227959855</v>
      </c>
      <c r="T392" s="14">
        <f>+T391*(1+'SImple Return'!F391)</f>
        <v>195.22285489888091</v>
      </c>
      <c r="U392" s="14">
        <f>+U391*(1+'SImple Return'!G391)</f>
        <v>168.62347384717899</v>
      </c>
      <c r="V392" s="14">
        <f>+V391*(1+'SImple Return'!H391)</f>
        <v>138.9535984376715</v>
      </c>
      <c r="W392" s="14">
        <f>+W391*(1+'SImple Return'!I391)</f>
        <v>205.46908496275836</v>
      </c>
      <c r="X392" s="14">
        <f>+X391*(1+'SImple Return'!J391)</f>
        <v>167.51317101671188</v>
      </c>
      <c r="Y392" s="14">
        <f>+Y391*(1+'SImple Return'!K391)</f>
        <v>198.89169499757134</v>
      </c>
      <c r="Z392" s="14">
        <f>+Z391*(1+'SImple Return'!L391)</f>
        <v>1100.2220598977362</v>
      </c>
      <c r="AA392" s="14">
        <f>+AA391*(1+'SImple Return'!M391)</f>
        <v>162.28333992876935</v>
      </c>
      <c r="AB392" s="14">
        <f>+AB391*(1+'SImple Return'!N391)</f>
        <v>194.63016377413828</v>
      </c>
    </row>
    <row r="393" spans="1:28">
      <c r="A393" s="8">
        <v>40361</v>
      </c>
      <c r="B393" s="10">
        <v>1036.6199999999999</v>
      </c>
      <c r="C393" s="10">
        <v>328.35</v>
      </c>
      <c r="D393" s="10">
        <v>122.71</v>
      </c>
      <c r="E393" s="11">
        <v>1779.47</v>
      </c>
      <c r="F393" s="11">
        <v>1933.62</v>
      </c>
      <c r="G393" s="11">
        <v>1688.06</v>
      </c>
      <c r="H393" s="14">
        <v>1378.51</v>
      </c>
      <c r="I393" s="14">
        <v>1971.48</v>
      </c>
      <c r="J393" s="14">
        <v>1654.82</v>
      </c>
      <c r="K393" s="14">
        <v>1961.9</v>
      </c>
      <c r="L393" s="14">
        <v>11153.38</v>
      </c>
      <c r="M393" s="14">
        <v>1626.72</v>
      </c>
      <c r="N393" s="14">
        <v>1948.35</v>
      </c>
      <c r="P393" s="14">
        <f>+P392*(1+'SImple Return'!B392)</f>
        <v>127.36297625044524</v>
      </c>
      <c r="Q393" s="14">
        <f>+Q392*(1+'SImple Return'!C392)</f>
        <v>153.13403600410416</v>
      </c>
      <c r="R393" s="14">
        <f>+R392*(1+'SImple Return'!D392)</f>
        <v>141.56668204891545</v>
      </c>
      <c r="S393" s="14">
        <f>+S392*(1+'SImple Return'!E392)</f>
        <v>177.56523474529732</v>
      </c>
      <c r="T393" s="14">
        <f>+T392*(1+'SImple Return'!F392)</f>
        <v>189.83114078146482</v>
      </c>
      <c r="U393" s="14">
        <f>+U392*(1+'SImple Return'!G392)</f>
        <v>165.40850922060875</v>
      </c>
      <c r="V393" s="14">
        <f>+V392*(1+'SImple Return'!H392)</f>
        <v>137.35241074898144</v>
      </c>
      <c r="W393" s="14">
        <f>+W392*(1+'SImple Return'!I392)</f>
        <v>196.57596394492026</v>
      </c>
      <c r="X393" s="14">
        <f>+X392*(1+'SImple Return'!J392)</f>
        <v>166.69722275387579</v>
      </c>
      <c r="Y393" s="14">
        <f>+Y392*(1+'SImple Return'!K392)</f>
        <v>190.56823700825615</v>
      </c>
      <c r="Z393" s="14">
        <f>+Z392*(1+'SImple Return'!L392)</f>
        <v>1086.2800097394697</v>
      </c>
      <c r="AA393" s="14">
        <f>+AA392*(1+'SImple Return'!M392)</f>
        <v>160.93391373169774</v>
      </c>
      <c r="AB393" s="14">
        <f>+AB392*(1+'SImple Return'!N392)</f>
        <v>190.50109997555603</v>
      </c>
    </row>
    <row r="394" spans="1:28">
      <c r="A394" s="8">
        <v>40368</v>
      </c>
      <c r="B394" s="10">
        <v>1091.53</v>
      </c>
      <c r="C394" s="10">
        <v>328.17</v>
      </c>
      <c r="D394" s="10">
        <v>128.31</v>
      </c>
      <c r="E394" s="11">
        <v>1854.27</v>
      </c>
      <c r="F394" s="11">
        <v>2040.85</v>
      </c>
      <c r="G394" s="11">
        <v>1756.56</v>
      </c>
      <c r="H394" s="14">
        <v>1424.27</v>
      </c>
      <c r="I394" s="14">
        <v>2090.5</v>
      </c>
      <c r="J394" s="14">
        <v>1725.38</v>
      </c>
      <c r="K394" s="14">
        <v>2014.25</v>
      </c>
      <c r="L394" s="14">
        <v>11605.01</v>
      </c>
      <c r="M394" s="14">
        <v>1759.61</v>
      </c>
      <c r="N394" s="14">
        <v>2049.37</v>
      </c>
      <c r="P394" s="14">
        <f>+P393*(1+'SImple Return'!B393)</f>
        <v>134.1094224177119</v>
      </c>
      <c r="Q394" s="14">
        <f>+Q393*(1+'SImple Return'!C393)</f>
        <v>153.05008861113708</v>
      </c>
      <c r="R394" s="14">
        <f>+R393*(1+'SImple Return'!D393)</f>
        <v>148.02722658052599</v>
      </c>
      <c r="S394" s="14">
        <f>+S393*(1+'SImple Return'!E393)</f>
        <v>185.02918724741775</v>
      </c>
      <c r="T394" s="14">
        <f>+T393*(1+'SImple Return'!F393)</f>
        <v>200.35833496956616</v>
      </c>
      <c r="U394" s="14">
        <f>+U393*(1+'SImple Return'!G393)</f>
        <v>172.12064201305196</v>
      </c>
      <c r="V394" s="14">
        <f>+V393*(1+'SImple Return'!H393)</f>
        <v>141.91185994838762</v>
      </c>
      <c r="W394" s="14">
        <f>+W393*(1+'SImple Return'!I393)</f>
        <v>208.44342961980635</v>
      </c>
      <c r="X394" s="14">
        <f>+X393*(1+'SImple Return'!J393)</f>
        <v>173.80503873235895</v>
      </c>
      <c r="Y394" s="14">
        <f>+Y393*(1+'SImple Return'!K393)</f>
        <v>195.65322972316628</v>
      </c>
      <c r="Z394" s="14">
        <f>+Z393*(1+'SImple Return'!L393)</f>
        <v>1130.2663744825913</v>
      </c>
      <c r="AA394" s="14">
        <f>+AA393*(1+'SImple Return'!M393)</f>
        <v>174.08092599920863</v>
      </c>
      <c r="AB394" s="14">
        <f>+AB393*(1+'SImple Return'!N393)</f>
        <v>200.37839159129791</v>
      </c>
    </row>
    <row r="395" spans="1:28">
      <c r="A395" s="8">
        <v>40375</v>
      </c>
      <c r="B395" s="10">
        <v>1089.8900000000001</v>
      </c>
      <c r="C395" s="10">
        <v>331.12</v>
      </c>
      <c r="D395" s="10">
        <v>128.11000000000001</v>
      </c>
      <c r="E395" s="11">
        <v>1891.93</v>
      </c>
      <c r="F395" s="11">
        <v>1996.74</v>
      </c>
      <c r="G395" s="11">
        <v>1774.56</v>
      </c>
      <c r="H395" s="14">
        <v>1427.13</v>
      </c>
      <c r="I395" s="14">
        <v>2112.37</v>
      </c>
      <c r="J395" s="14">
        <v>1723.72</v>
      </c>
      <c r="K395" s="14">
        <v>2030.48</v>
      </c>
      <c r="L395" s="14">
        <v>11437.6</v>
      </c>
      <c r="M395" s="14">
        <v>1802.51</v>
      </c>
      <c r="N395" s="14">
        <v>2015.8</v>
      </c>
      <c r="P395" s="14">
        <f>+P394*(1+'SImple Return'!B394)</f>
        <v>133.90792593775711</v>
      </c>
      <c r="Q395" s="14">
        <f>+Q394*(1+'SImple Return'!C394)</f>
        <v>154.42589310698634</v>
      </c>
      <c r="R395" s="14">
        <f>+R394*(1+'SImple Return'!D394)</f>
        <v>147.7964928472542</v>
      </c>
      <c r="S395" s="14">
        <f>+S394*(1+'SImple Return'!E394)</f>
        <v>188.78710771840514</v>
      </c>
      <c r="T395" s="14">
        <f>+T394*(1+'SImple Return'!F394)</f>
        <v>196.02788140585128</v>
      </c>
      <c r="U395" s="14">
        <f>+U394*(1+'SImple Return'!G394)</f>
        <v>173.88441413369398</v>
      </c>
      <c r="V395" s="14">
        <f>+V394*(1+'SImple Return'!H394)</f>
        <v>142.1968255233505</v>
      </c>
      <c r="W395" s="14">
        <f>+W394*(1+'SImple Return'!I394)</f>
        <v>210.62408391580502</v>
      </c>
      <c r="X395" s="14">
        <f>+X394*(1+'SImple Return'!J394)</f>
        <v>173.63781970565427</v>
      </c>
      <c r="Y395" s="14">
        <f>+Y394*(1+'SImple Return'!K394)</f>
        <v>197.22972316658539</v>
      </c>
      <c r="Z395" s="14">
        <f>+Z394*(1+'SImple Return'!L394)</f>
        <v>1113.9615290966649</v>
      </c>
      <c r="AA395" s="14">
        <f>+AA394*(1+'SImple Return'!M394)</f>
        <v>178.32508903838553</v>
      </c>
      <c r="AB395" s="14">
        <f>+AB394*(1+'SImple Return'!N394)</f>
        <v>197.09606453189923</v>
      </c>
    </row>
    <row r="396" spans="1:28">
      <c r="A396" s="8">
        <v>40382</v>
      </c>
      <c r="B396" s="10">
        <v>1117.45</v>
      </c>
      <c r="C396" s="10">
        <v>331.43</v>
      </c>
      <c r="D396" s="10">
        <v>133.30000000000001</v>
      </c>
      <c r="E396" s="11">
        <v>1911.82</v>
      </c>
      <c r="F396" s="11">
        <v>2073.44</v>
      </c>
      <c r="G396" s="11">
        <v>1822.01</v>
      </c>
      <c r="H396" s="14">
        <v>1473.84</v>
      </c>
      <c r="I396" s="14">
        <v>2154.75</v>
      </c>
      <c r="J396" s="14">
        <v>1765.22</v>
      </c>
      <c r="K396" s="14">
        <v>2124</v>
      </c>
      <c r="L396" s="14">
        <v>12036.07</v>
      </c>
      <c r="M396" s="14">
        <v>1787.92</v>
      </c>
      <c r="N396" s="14">
        <v>2064.98</v>
      </c>
      <c r="P396" s="14">
        <f>+P395*(1+'SImple Return'!B395)</f>
        <v>137.29404971065583</v>
      </c>
      <c r="Q396" s="14">
        <f>+Q395*(1+'SImple Return'!C395)</f>
        <v>154.57046917265185</v>
      </c>
      <c r="R396" s="14">
        <f>+R395*(1+'SImple Return'!D395)</f>
        <v>153.78403322565754</v>
      </c>
      <c r="S396" s="14">
        <f>+S395*(1+'SImple Return'!E395)</f>
        <v>190.77184054283259</v>
      </c>
      <c r="T396" s="14">
        <f>+T395*(1+'SImple Return'!F395)</f>
        <v>203.55782446495201</v>
      </c>
      <c r="U396" s="14">
        <f>+U395*(1+'SImple Return'!G395)</f>
        <v>178.53391341838639</v>
      </c>
      <c r="V396" s="14">
        <f>+V395*(1+'SImple Return'!H395)</f>
        <v>146.85093112003455</v>
      </c>
      <c r="W396" s="14">
        <f>+W395*(1+'SImple Return'!I395)</f>
        <v>214.8497871194823</v>
      </c>
      <c r="X396" s="14">
        <f>+X395*(1+'SImple Return'!J395)</f>
        <v>177.81829537327121</v>
      </c>
      <c r="Y396" s="14">
        <f>+Y395*(1+'SImple Return'!K395)</f>
        <v>206.31374453618227</v>
      </c>
      <c r="Z396" s="14">
        <f>+Z395*(1+'SImple Return'!L395)</f>
        <v>1172.2493304114932</v>
      </c>
      <c r="AA396" s="14">
        <f>+AA395*(1+'SImple Return'!M395)</f>
        <v>176.88167787890788</v>
      </c>
      <c r="AB396" s="14">
        <f>+AB395*(1+'SImple Return'!N395)</f>
        <v>201.90466878513806</v>
      </c>
    </row>
    <row r="397" spans="1:28">
      <c r="A397" s="8">
        <v>40389</v>
      </c>
      <c r="B397" s="10">
        <v>1124.83</v>
      </c>
      <c r="C397" s="10">
        <v>333.49</v>
      </c>
      <c r="D397" s="10">
        <v>134.58000000000001</v>
      </c>
      <c r="E397" s="11">
        <v>1966.82</v>
      </c>
      <c r="F397" s="11">
        <v>2058.52</v>
      </c>
      <c r="G397" s="11">
        <v>1829.77</v>
      </c>
      <c r="H397" s="14">
        <v>1498.6</v>
      </c>
      <c r="I397" s="14">
        <v>2216</v>
      </c>
      <c r="J397" s="14">
        <v>1809.05</v>
      </c>
      <c r="K397" s="14">
        <v>2218.84</v>
      </c>
      <c r="L397" s="14">
        <v>12031.94</v>
      </c>
      <c r="M397" s="14">
        <v>1804.27</v>
      </c>
      <c r="N397" s="14">
        <v>2051.75</v>
      </c>
      <c r="P397" s="14">
        <f>+P396*(1+'SImple Return'!B396)</f>
        <v>138.20078387045234</v>
      </c>
      <c r="Q397" s="14">
        <f>+Q396*(1+'SImple Return'!C396)</f>
        <v>155.53120044771947</v>
      </c>
      <c r="R397" s="14">
        <f>+R396*(1+'SImple Return'!D396)</f>
        <v>155.26072911859708</v>
      </c>
      <c r="S397" s="14">
        <f>+S396*(1+'SImple Return'!E396)</f>
        <v>196.26004091203879</v>
      </c>
      <c r="T397" s="14">
        <f>+T396*(1+'SImple Return'!F396)</f>
        <v>202.09306891812301</v>
      </c>
      <c r="U397" s="14">
        <f>+U396*(1+'SImple Return'!G396)</f>
        <v>179.29429517706319</v>
      </c>
      <c r="V397" s="14">
        <f>+V396*(1+'SImple Return'!H396)</f>
        <v>149.31797574803491</v>
      </c>
      <c r="W397" s="14">
        <f>+W396*(1+'SImple Return'!I396)</f>
        <v>220.95701508609943</v>
      </c>
      <c r="X397" s="14">
        <f>+X396*(1+'SImple Return'!J396)</f>
        <v>182.23348208439532</v>
      </c>
      <c r="Y397" s="14">
        <f>+Y396*(1+'SImple Return'!K396)</f>
        <v>215.52598348712934</v>
      </c>
      <c r="Z397" s="14">
        <f>+Z396*(1+'SImple Return'!L396)</f>
        <v>1171.8470903335776</v>
      </c>
      <c r="AA397" s="14">
        <f>+AA396*(1+'SImple Return'!M396)</f>
        <v>178.4992085476851</v>
      </c>
      <c r="AB397" s="14">
        <f>+AB396*(1+'SImple Return'!N396)</f>
        <v>200.61109753116594</v>
      </c>
    </row>
    <row r="398" spans="1:28">
      <c r="A398" s="8">
        <v>40396</v>
      </c>
      <c r="B398" s="10">
        <v>1152.25</v>
      </c>
      <c r="C398" s="10">
        <v>335.78</v>
      </c>
      <c r="D398" s="10">
        <v>138.56</v>
      </c>
      <c r="E398" s="11">
        <v>2026.48</v>
      </c>
      <c r="F398" s="11">
        <v>2107.12</v>
      </c>
      <c r="G398" s="11">
        <v>1872.09</v>
      </c>
      <c r="H398" s="14">
        <v>1548.1</v>
      </c>
      <c r="I398" s="14">
        <v>2303.25</v>
      </c>
      <c r="J398" s="14">
        <v>1869.58</v>
      </c>
      <c r="K398" s="14">
        <v>2212.9299999999998</v>
      </c>
      <c r="L398" s="14">
        <v>12109.07</v>
      </c>
      <c r="M398" s="14">
        <v>1850.74</v>
      </c>
      <c r="N398" s="14">
        <v>2104.33</v>
      </c>
      <c r="P398" s="14">
        <f>+P397*(1+'SImple Return'!B397)</f>
        <v>141.56970672433053</v>
      </c>
      <c r="Q398" s="14">
        <f>+Q397*(1+'SImple Return'!C397)</f>
        <v>156.59919783602277</v>
      </c>
      <c r="R398" s="14">
        <f>+R397*(1+'SImple Return'!D397)</f>
        <v>159.85233041070597</v>
      </c>
      <c r="S398" s="14">
        <f>+S397*(1+'SImple Return'!E397)</f>
        <v>202.21324153070867</v>
      </c>
      <c r="T398" s="14">
        <f>+T397*(1+'SImple Return'!F397)</f>
        <v>206.86432358138632</v>
      </c>
      <c r="U398" s="14">
        <f>+U397*(1+'SImple Return'!G397)</f>
        <v>183.44111940737261</v>
      </c>
      <c r="V398" s="14">
        <f>+V397*(1+'SImple Return'!H397)</f>
        <v>154.25007223777715</v>
      </c>
      <c r="W398" s="14">
        <f>+W397*(1+'SImple Return'!I397)</f>
        <v>229.65669900589282</v>
      </c>
      <c r="X398" s="14">
        <f>+X397*(1+'SImple Return'!J397)</f>
        <v>188.33093249790983</v>
      </c>
      <c r="Y398" s="14">
        <f>+Y397*(1+'SImple Return'!K397)</f>
        <v>214.95191840699331</v>
      </c>
      <c r="Z398" s="14">
        <f>+Z397*(1+'SImple Return'!L397)</f>
        <v>1179.3591429267112</v>
      </c>
      <c r="AA398" s="14">
        <f>+AA397*(1+'SImple Return'!M397)</f>
        <v>183.09655718242985</v>
      </c>
      <c r="AB398" s="14">
        <f>+AB397*(1+'SImple Return'!N397)</f>
        <v>205.75213884135903</v>
      </c>
    </row>
    <row r="399" spans="1:28">
      <c r="A399" s="8">
        <v>40403</v>
      </c>
      <c r="B399" s="10">
        <v>1103.56</v>
      </c>
      <c r="C399" s="10">
        <v>335.83</v>
      </c>
      <c r="D399" s="10">
        <v>133.62</v>
      </c>
      <c r="E399" s="11">
        <v>1949.28</v>
      </c>
      <c r="F399" s="11">
        <v>2064.0500000000002</v>
      </c>
      <c r="G399" s="11">
        <v>1815.57</v>
      </c>
      <c r="H399" s="14">
        <v>1531.04</v>
      </c>
      <c r="I399" s="14">
        <v>2177.2600000000002</v>
      </c>
      <c r="J399" s="14">
        <v>1822.15</v>
      </c>
      <c r="K399" s="14">
        <v>2081.46</v>
      </c>
      <c r="L399" s="14">
        <v>11744.51</v>
      </c>
      <c r="M399" s="14">
        <v>1777.78</v>
      </c>
      <c r="N399" s="14">
        <v>2047.45</v>
      </c>
      <c r="P399" s="14">
        <f>+P398*(1+'SImple Return'!B398)</f>
        <v>135.58747281640461</v>
      </c>
      <c r="Q399" s="14">
        <f>+Q398*(1+'SImple Return'!C398)</f>
        <v>156.6225165562914</v>
      </c>
      <c r="R399" s="14">
        <f>+R398*(1+'SImple Return'!D398)</f>
        <v>154.1532071988924</v>
      </c>
      <c r="S399" s="14">
        <f>+S398*(1+'SImple Return'!E398)</f>
        <v>194.50980392156833</v>
      </c>
      <c r="T399" s="14">
        <f>+T398*(1+'SImple Return'!F398)</f>
        <v>202.6359709405067</v>
      </c>
      <c r="U399" s="14">
        <f>+U398*(1+'SImple Return'!G398)</f>
        <v>177.9028749485567</v>
      </c>
      <c r="V399" s="14">
        <f>+V398*(1+'SImple Return'!H398)</f>
        <v>152.55024261929225</v>
      </c>
      <c r="W399" s="14">
        <f>+W398*(1+'SImple Return'!I398)</f>
        <v>217.09425571586681</v>
      </c>
      <c r="X399" s="14">
        <f>+X398*(1+'SImple Return'!J398)</f>
        <v>183.55310211441417</v>
      </c>
      <c r="Y399" s="14">
        <f>+Y398*(1+'SImple Return'!K398)</f>
        <v>202.18164157357907</v>
      </c>
      <c r="Z399" s="14">
        <f>+Z398*(1+'SImple Return'!L398)</f>
        <v>1143.8529340150969</v>
      </c>
      <c r="AA399" s="14">
        <f>+AA398*(1+'SImple Return'!M398)</f>
        <v>175.87851206964788</v>
      </c>
      <c r="AB399" s="14">
        <f>+AB398*(1+'SImple Return'!N398)</f>
        <v>200.19066242972374</v>
      </c>
    </row>
    <row r="400" spans="1:28">
      <c r="A400" s="8">
        <v>40410</v>
      </c>
      <c r="B400" s="10">
        <v>1093.77</v>
      </c>
      <c r="C400" s="10">
        <v>337.56</v>
      </c>
      <c r="D400" s="10">
        <v>133.79</v>
      </c>
      <c r="E400" s="11">
        <v>1907.36</v>
      </c>
      <c r="F400" s="11">
        <v>2066.92</v>
      </c>
      <c r="G400" s="11">
        <v>1798.69</v>
      </c>
      <c r="H400" s="14">
        <v>1506.31</v>
      </c>
      <c r="I400" s="14">
        <v>2140.59</v>
      </c>
      <c r="J400" s="14">
        <v>1760.57</v>
      </c>
      <c r="K400" s="14">
        <v>2133.23</v>
      </c>
      <c r="L400" s="14">
        <v>12043.78</v>
      </c>
      <c r="M400" s="14">
        <v>1752.76</v>
      </c>
      <c r="N400" s="14">
        <v>2030.78</v>
      </c>
      <c r="P400" s="14">
        <f>+P399*(1+'SImple Return'!B399)</f>
        <v>134.38463712204037</v>
      </c>
      <c r="Q400" s="14">
        <f>+Q399*(1+'SImple Return'!C399)</f>
        <v>157.42934427758607</v>
      </c>
      <c r="R400" s="14">
        <f>+R399*(1+'SImple Return'!D399)</f>
        <v>154.34933087217343</v>
      </c>
      <c r="S400" s="14">
        <f>+S399*(1+'SImple Return'!E399)</f>
        <v>190.32679738562064</v>
      </c>
      <c r="T400" s="14">
        <f>+T399*(1+'SImple Return'!F399)</f>
        <v>202.91773021794629</v>
      </c>
      <c r="U400" s="14">
        <f>+U399*(1+'SImple Return'!G399)</f>
        <v>176.24884864875466</v>
      </c>
      <c r="V400" s="14">
        <f>+V399*(1+'SImple Return'!H399)</f>
        <v>150.08618714067961</v>
      </c>
      <c r="W400" s="14">
        <f>+W399*(1+'SImple Return'!I399)</f>
        <v>213.43789572344477</v>
      </c>
      <c r="X400" s="14">
        <f>+X399*(1+'SImple Return'!J399)</f>
        <v>177.34988062979127</v>
      </c>
      <c r="Y400" s="14">
        <f>+Y399*(1+'SImple Return'!K399)</f>
        <v>207.21029626032018</v>
      </c>
      <c r="Z400" s="14">
        <f>+Z399*(1+'SImple Return'!L399)</f>
        <v>1173.0002434867308</v>
      </c>
      <c r="AA400" s="14">
        <f>+AA399*(1+'SImple Return'!M399)</f>
        <v>173.40324495449156</v>
      </c>
      <c r="AB400" s="14">
        <f>+AB399*(1+'SImple Return'!N399)</f>
        <v>198.56074309459785</v>
      </c>
    </row>
    <row r="401" spans="1:28">
      <c r="A401" s="8">
        <v>40417</v>
      </c>
      <c r="B401" s="10">
        <v>1089.24</v>
      </c>
      <c r="C401" s="10">
        <v>337.34</v>
      </c>
      <c r="D401" s="10">
        <v>134.5</v>
      </c>
      <c r="E401" s="11">
        <v>1950.23</v>
      </c>
      <c r="F401" s="11">
        <v>2101.75</v>
      </c>
      <c r="G401" s="11">
        <v>1815.9</v>
      </c>
      <c r="H401" s="14">
        <v>1543.09</v>
      </c>
      <c r="I401" s="14">
        <v>2151.35</v>
      </c>
      <c r="J401" s="14">
        <v>1797.52</v>
      </c>
      <c r="K401" s="14">
        <v>2077.4699999999998</v>
      </c>
      <c r="L401" s="14">
        <v>12062.96</v>
      </c>
      <c r="M401" s="14">
        <v>1780.23</v>
      </c>
      <c r="N401" s="14">
        <v>2066.02</v>
      </c>
      <c r="P401" s="14">
        <f>+P400*(1+'SImple Return'!B400)</f>
        <v>133.82806452801893</v>
      </c>
      <c r="Q401" s="14">
        <f>+Q400*(1+'SImple Return'!C400)</f>
        <v>157.32674190840407</v>
      </c>
      <c r="R401" s="14">
        <f>+R400*(1+'SImple Return'!D400)</f>
        <v>155.16843562528837</v>
      </c>
      <c r="S401" s="14">
        <f>+S400*(1+'SImple Return'!E400)</f>
        <v>194.60460010976374</v>
      </c>
      <c r="T401" s="14">
        <f>+T400*(1+'SImple Return'!F400)</f>
        <v>206.33712939328498</v>
      </c>
      <c r="U401" s="14">
        <f>+U400*(1+'SImple Return'!G400)</f>
        <v>177.93521077076849</v>
      </c>
      <c r="V401" s="14">
        <f>+V400*(1+'SImple Return'!H400)</f>
        <v>153.75088429002747</v>
      </c>
      <c r="W401" s="14">
        <f>+W400*(1+'SImple Return'!I400)</f>
        <v>214.51077364868232</v>
      </c>
      <c r="X401" s="14">
        <f>+X400*(1+'SImple Return'!J400)</f>
        <v>181.07201498927191</v>
      </c>
      <c r="Y401" s="14">
        <f>+Y400*(1+'SImple Return'!K400)</f>
        <v>201.79407479358875</v>
      </c>
      <c r="Z401" s="14">
        <f>+Z400*(1+'SImple Return'!L400)</f>
        <v>1174.8682736790852</v>
      </c>
      <c r="AA401" s="14">
        <f>+AA400*(1+'SImple Return'!M400)</f>
        <v>176.12089434111601</v>
      </c>
      <c r="AB401" s="14">
        <f>+AB400*(1+'SImple Return'!N400)</f>
        <v>202.00635541432408</v>
      </c>
    </row>
    <row r="402" spans="1:28">
      <c r="A402" s="8">
        <v>40424</v>
      </c>
      <c r="B402" s="10">
        <v>1131.49</v>
      </c>
      <c r="C402" s="10">
        <v>336.79</v>
      </c>
      <c r="D402" s="10">
        <v>140.61000000000001</v>
      </c>
      <c r="E402" s="11">
        <v>2000.93</v>
      </c>
      <c r="F402" s="11">
        <v>2142.06</v>
      </c>
      <c r="G402" s="11">
        <v>1894.49</v>
      </c>
      <c r="H402" s="14">
        <v>1556.47</v>
      </c>
      <c r="I402" s="14">
        <v>2257.8200000000002</v>
      </c>
      <c r="J402" s="14">
        <v>1832.84</v>
      </c>
      <c r="K402" s="14">
        <v>2153.91</v>
      </c>
      <c r="L402" s="14">
        <v>12369.21</v>
      </c>
      <c r="M402" s="14">
        <v>1881.72</v>
      </c>
      <c r="N402" s="14">
        <v>2113.1799999999998</v>
      </c>
      <c r="P402" s="14">
        <f>+P401*(1+'SImple Return'!B401)</f>
        <v>139.01905616100046</v>
      </c>
      <c r="Q402" s="14">
        <f>+Q401*(1+'SImple Return'!C401)</f>
        <v>157.07023598544916</v>
      </c>
      <c r="R402" s="14">
        <f>+R401*(1+'SImple Return'!D401)</f>
        <v>162.217351176742</v>
      </c>
      <c r="S402" s="14">
        <f>+S401*(1+'SImple Return'!E401)</f>
        <v>199.66372299555928</v>
      </c>
      <c r="T402" s="14">
        <f>+T401*(1+'SImple Return'!F401)</f>
        <v>210.29452189279414</v>
      </c>
      <c r="U402" s="14">
        <f>+U401*(1+'SImple Return'!G401)</f>
        <v>185.63603582417159</v>
      </c>
      <c r="V402" s="14">
        <f>+V401*(1+'SImple Return'!H401)</f>
        <v>155.08404491695177</v>
      </c>
      <c r="W402" s="14">
        <f>+W401*(1+'SImple Return'!I401)</f>
        <v>225.12688077693912</v>
      </c>
      <c r="X402" s="14">
        <f>+X401*(1+'SImple Return'!J401)</f>
        <v>184.62995235265095</v>
      </c>
      <c r="Y402" s="14">
        <f>+Y401*(1+'SImple Return'!K401)</f>
        <v>209.21903836813951</v>
      </c>
      <c r="Z402" s="14">
        <f>+Z401*(1+'SImple Return'!L401)</f>
        <v>1204.6953981008044</v>
      </c>
      <c r="AA402" s="14">
        <f>+AA401*(1+'SImple Return'!M401)</f>
        <v>186.16145627225967</v>
      </c>
      <c r="AB402" s="14">
        <f>+AB401*(1+'SImple Return'!N401)</f>
        <v>206.61745294549002</v>
      </c>
    </row>
    <row r="403" spans="1:28">
      <c r="A403" s="8">
        <v>40431</v>
      </c>
      <c r="B403" s="10">
        <v>1139.02</v>
      </c>
      <c r="C403" s="10">
        <v>335.98</v>
      </c>
      <c r="D403" s="10">
        <v>140.55000000000001</v>
      </c>
      <c r="E403" s="11">
        <v>2016.48</v>
      </c>
      <c r="F403" s="11">
        <v>2145.19</v>
      </c>
      <c r="G403" s="11">
        <v>1929.67</v>
      </c>
      <c r="H403" s="14">
        <v>1568.98</v>
      </c>
      <c r="I403" s="14">
        <v>2252.3000000000002</v>
      </c>
      <c r="J403" s="14">
        <v>1858.16</v>
      </c>
      <c r="K403" s="14">
        <v>2218.84</v>
      </c>
      <c r="L403" s="14">
        <v>12469.87</v>
      </c>
      <c r="M403" s="14">
        <v>1891.8</v>
      </c>
      <c r="N403" s="14">
        <v>2119.7800000000002</v>
      </c>
      <c r="P403" s="14">
        <f>+P402*(1+'SImple Return'!B402)</f>
        <v>139.94421987689043</v>
      </c>
      <c r="Q403" s="14">
        <f>+Q402*(1+'SImple Return'!C402)</f>
        <v>156.69247271709733</v>
      </c>
      <c r="R403" s="14">
        <f>+R402*(1+'SImple Return'!D402)</f>
        <v>162.14813105676046</v>
      </c>
      <c r="S403" s="14">
        <f>+S402*(1+'SImple Return'!E402)</f>
        <v>201.21538691812574</v>
      </c>
      <c r="T403" s="14">
        <f>+T402*(1+'SImple Return'!F402)</f>
        <v>210.60180640094256</v>
      </c>
      <c r="U403" s="14">
        <f>+U402*(1+'SImple Return'!G402)</f>
        <v>189.08323044662637</v>
      </c>
      <c r="V403" s="14">
        <f>+V402*(1+'SImple Return'!H402)</f>
        <v>156.33052021163209</v>
      </c>
      <c r="W403" s="14">
        <f>+W402*(1+'SImple Return'!I402)</f>
        <v>224.57648243611092</v>
      </c>
      <c r="X403" s="14">
        <f>+X402*(1+'SImple Return'!J402)</f>
        <v>187.18054618166445</v>
      </c>
      <c r="Y403" s="14">
        <f>+Y402*(1+'SImple Return'!K402)</f>
        <v>215.52598348712934</v>
      </c>
      <c r="Z403" s="14">
        <f>+Z402*(1+'SImple Return'!L402)</f>
        <v>1214.4991477964461</v>
      </c>
      <c r="AA403" s="14">
        <f>+AA402*(1+'SImple Return'!M402)</f>
        <v>187.15868618915715</v>
      </c>
      <c r="AB403" s="14">
        <f>+AB402*(1+'SImple Return'!N402)</f>
        <v>207.26277193840133</v>
      </c>
    </row>
    <row r="404" spans="1:28">
      <c r="A404" s="8">
        <v>40438</v>
      </c>
      <c r="B404" s="10">
        <v>1156.0999999999999</v>
      </c>
      <c r="C404" s="10">
        <v>336.45</v>
      </c>
      <c r="D404" s="10">
        <v>142.52000000000001</v>
      </c>
      <c r="E404" s="11">
        <v>2031.02</v>
      </c>
      <c r="F404" s="11">
        <v>2137.56</v>
      </c>
      <c r="G404" s="11">
        <v>1950.28</v>
      </c>
      <c r="H404" s="14">
        <v>1571.15</v>
      </c>
      <c r="I404" s="14">
        <v>2327.4</v>
      </c>
      <c r="J404" s="14">
        <v>1847.61</v>
      </c>
      <c r="K404" s="14">
        <v>2218.6</v>
      </c>
      <c r="L404" s="14">
        <v>12483.25</v>
      </c>
      <c r="M404" s="14">
        <v>1921.54</v>
      </c>
      <c r="N404" s="14">
        <v>2117.98</v>
      </c>
      <c r="P404" s="14">
        <f>+P403*(1+'SImple Return'!B403)</f>
        <v>142.04273199739515</v>
      </c>
      <c r="Q404" s="14">
        <f>+Q403*(1+'SImple Return'!C403)</f>
        <v>156.91166868762244</v>
      </c>
      <c r="R404" s="14">
        <f>+R403*(1+'SImple Return'!D403)</f>
        <v>164.42085832948771</v>
      </c>
      <c r="S404" s="14">
        <f>+S403*(1+'SImple Return'!E403)</f>
        <v>202.66626752482134</v>
      </c>
      <c r="T404" s="14">
        <f>+T403*(1+'SImple Return'!F403)</f>
        <v>209.85273905360307</v>
      </c>
      <c r="U404" s="14">
        <f>+U403*(1+'SImple Return'!G403)</f>
        <v>191.10274952476146</v>
      </c>
      <c r="V404" s="14">
        <f>+V403*(1+'SImple Return'!H403)</f>
        <v>156.54673535067735</v>
      </c>
      <c r="W404" s="14">
        <f>+W403*(1+'SImple Return'!I403)</f>
        <v>232.06469174701616</v>
      </c>
      <c r="X404" s="14">
        <f>+X403*(1+'SImple Return'!J403)</f>
        <v>186.11779875290881</v>
      </c>
      <c r="Y404" s="14">
        <f>+Y403*(1+'SImple Return'!K403)</f>
        <v>215.50267119961111</v>
      </c>
      <c r="Z404" s="14">
        <f>+Z403*(1+'SImple Return'!L403)</f>
        <v>1215.8022887752627</v>
      </c>
      <c r="AA404" s="14">
        <f>+AA403*(1+'SImple Return'!M403)</f>
        <v>190.10091017016231</v>
      </c>
      <c r="AB404" s="14">
        <f>+AB403*(1+'SImple Return'!N403)</f>
        <v>207.08677584942552</v>
      </c>
    </row>
    <row r="405" spans="1:28">
      <c r="A405" s="8">
        <v>40445</v>
      </c>
      <c r="B405" s="10">
        <v>1183.03</v>
      </c>
      <c r="C405" s="10">
        <v>339.77</v>
      </c>
      <c r="D405" s="10">
        <v>145.46</v>
      </c>
      <c r="E405" s="11">
        <v>2072.21</v>
      </c>
      <c r="F405" s="11">
        <v>2189.08</v>
      </c>
      <c r="G405" s="11">
        <v>1955.92</v>
      </c>
      <c r="H405" s="14">
        <v>1590.79</v>
      </c>
      <c r="I405" s="14">
        <v>2387.2199999999998</v>
      </c>
      <c r="J405" s="14">
        <v>1863.03</v>
      </c>
      <c r="K405" s="14">
        <v>2211.88</v>
      </c>
      <c r="L405" s="14">
        <v>12969.54</v>
      </c>
      <c r="M405" s="14">
        <v>1976.9</v>
      </c>
      <c r="N405" s="14">
        <v>2153.61</v>
      </c>
      <c r="P405" s="14">
        <f>+P404*(1+'SImple Return'!B404)</f>
        <v>145.35145163470148</v>
      </c>
      <c r="Q405" s="14">
        <f>+Q404*(1+'SImple Return'!C404)</f>
        <v>158.46003171345959</v>
      </c>
      <c r="R405" s="14">
        <f>+R404*(1+'SImple Return'!D404)</f>
        <v>167.81264420858324</v>
      </c>
      <c r="S405" s="14">
        <f>+S404*(1+'SImple Return'!E404)</f>
        <v>206.77643067405049</v>
      </c>
      <c r="T405" s="14">
        <f>+T404*(1+'SImple Return'!F404)</f>
        <v>214.91066169251923</v>
      </c>
      <c r="U405" s="14">
        <f>+U404*(1+'SImple Return'!G404)</f>
        <v>191.65539812256264</v>
      </c>
      <c r="V405" s="14">
        <f>+V404*(1+'SImple Return'!H404)</f>
        <v>158.50363181650638</v>
      </c>
      <c r="W405" s="14">
        <f>+W404*(1+'SImple Return'!I404)</f>
        <v>238.0293346362086</v>
      </c>
      <c r="X405" s="14">
        <f>+X404*(1+'SImple Return'!J404)</f>
        <v>187.67112248290044</v>
      </c>
      <c r="Y405" s="14">
        <f>+Y404*(1+'SImple Return'!K404)</f>
        <v>214.84992714910118</v>
      </c>
      <c r="Z405" s="14">
        <f>+Z404*(1+'SImple Return'!L404)</f>
        <v>1263.1643535427331</v>
      </c>
      <c r="AA405" s="14">
        <f>+AA404*(1+'SImple Return'!M404)</f>
        <v>195.57776018994863</v>
      </c>
      <c r="AB405" s="14">
        <f>+AB404*(1+'SImple Return'!N404)</f>
        <v>210.57052065509652</v>
      </c>
    </row>
    <row r="406" spans="1:28">
      <c r="A406" s="8">
        <v>40452</v>
      </c>
      <c r="B406" s="10">
        <v>1184.19</v>
      </c>
      <c r="C406" s="10">
        <v>341.79</v>
      </c>
      <c r="D406" s="10">
        <v>147.13999999999999</v>
      </c>
      <c r="E406" s="11">
        <v>2077.64</v>
      </c>
      <c r="F406" s="11">
        <v>2216.3200000000002</v>
      </c>
      <c r="G406" s="11">
        <v>1969.99</v>
      </c>
      <c r="H406" s="14">
        <v>1596.68</v>
      </c>
      <c r="I406" s="14">
        <v>2413.54</v>
      </c>
      <c r="J406" s="14">
        <v>1868.49</v>
      </c>
      <c r="K406" s="14">
        <v>2222.8000000000002</v>
      </c>
      <c r="L406" s="14">
        <v>12986.41</v>
      </c>
      <c r="M406" s="14">
        <v>2000.23</v>
      </c>
      <c r="N406" s="14">
        <v>2187.6</v>
      </c>
      <c r="P406" s="14">
        <f>+P405*(1+'SImple Return'!B405)</f>
        <v>145.49397353515729</v>
      </c>
      <c r="Q406" s="14">
        <f>+Q405*(1+'SImple Return'!C405)</f>
        <v>159.40210801231234</v>
      </c>
      <c r="R406" s="14">
        <f>+R405*(1+'SImple Return'!D405)</f>
        <v>169.75080756806639</v>
      </c>
      <c r="S406" s="14">
        <f>+S405*(1+'SImple Return'!E405)</f>
        <v>207.31826572868303</v>
      </c>
      <c r="T406" s="14">
        <f>+T405*(1+'SImple Return'!F405)</f>
        <v>217.58492047908905</v>
      </c>
      <c r="U406" s="14">
        <f>+U405*(1+'SImple Return'!G405)</f>
        <v>193.03407999686448</v>
      </c>
      <c r="V406" s="14">
        <f>+V405*(1+'SImple Return'!H405)</f>
        <v>159.09050147962924</v>
      </c>
      <c r="W406" s="14">
        <f>+W405*(1+'SImple Return'!I405)</f>
        <v>240.65369773957784</v>
      </c>
      <c r="X406" s="14">
        <f>+X405*(1+'SImple Return'!J405)</f>
        <v>188.22113205266405</v>
      </c>
      <c r="Y406" s="14">
        <f>+Y405*(1+'SImple Return'!K405)</f>
        <v>215.91063623117986</v>
      </c>
      <c r="Z406" s="14">
        <f>+Z405*(1+'SImple Return'!L405)</f>
        <v>1264.8074019965923</v>
      </c>
      <c r="AA406" s="14">
        <f>+AA405*(1+'SImple Return'!M405)</f>
        <v>197.88583300356163</v>
      </c>
      <c r="AB406" s="14">
        <f>+AB405*(1+'SImple Return'!N405)</f>
        <v>213.89391346858955</v>
      </c>
    </row>
    <row r="407" spans="1:28">
      <c r="A407" s="8">
        <v>40459</v>
      </c>
      <c r="B407" s="10">
        <v>1209.77</v>
      </c>
      <c r="C407" s="10">
        <v>345.18</v>
      </c>
      <c r="D407" s="10">
        <v>151.79</v>
      </c>
      <c r="E407" s="11">
        <v>2162.4499999999998</v>
      </c>
      <c r="F407" s="11">
        <v>2231.3000000000002</v>
      </c>
      <c r="G407" s="11">
        <v>1989.7</v>
      </c>
      <c r="H407" s="14">
        <v>1638.81</v>
      </c>
      <c r="I407" s="14">
        <v>2460.44</v>
      </c>
      <c r="J407" s="14">
        <v>1905.75</v>
      </c>
      <c r="K407" s="14">
        <v>2251.5300000000002</v>
      </c>
      <c r="L407" s="14">
        <v>12947.07</v>
      </c>
      <c r="M407" s="14">
        <v>2077.4499999999998</v>
      </c>
      <c r="N407" s="14">
        <v>2221.4499999999998</v>
      </c>
      <c r="P407" s="14">
        <f>+P406*(1+'SImple Return'!B406)</f>
        <v>148.63682716762278</v>
      </c>
      <c r="Q407" s="14">
        <f>+Q406*(1+'SImple Return'!C406)</f>
        <v>160.98311724652555</v>
      </c>
      <c r="R407" s="14">
        <f>+R406*(1+'SImple Return'!D406)</f>
        <v>175.11536686663584</v>
      </c>
      <c r="S407" s="14">
        <f>+S406*(1+'SImple Return'!E406)</f>
        <v>215.78107069799898</v>
      </c>
      <c r="T407" s="14">
        <f>+T406*(1+'SImple Return'!F406)</f>
        <v>219.05556646377391</v>
      </c>
      <c r="U407" s="14">
        <f>+U406*(1+'SImple Return'!G406)</f>
        <v>194.96541046896752</v>
      </c>
      <c r="V407" s="14">
        <f>+V406*(1+'SImple Return'!H406)</f>
        <v>163.28826360312095</v>
      </c>
      <c r="W407" s="14">
        <f>+W406*(1+'SImple Return'!I406)</f>
        <v>245.33008943973039</v>
      </c>
      <c r="X407" s="14">
        <f>+X406*(1+'SImple Return'!J406)</f>
        <v>191.97449406170998</v>
      </c>
      <c r="Y407" s="14">
        <f>+Y406*(1+'SImple Return'!K406)</f>
        <v>218.70131131617259</v>
      </c>
      <c r="Z407" s="14">
        <f>+Z406*(1+'SImple Return'!L406)</f>
        <v>1260.9758948137337</v>
      </c>
      <c r="AA407" s="14">
        <f>+AA406*(1+'SImple Return'!M406)</f>
        <v>205.52532647408</v>
      </c>
      <c r="AB407" s="14">
        <f>+AB406*(1+'SImple Return'!N406)</f>
        <v>217.20361769738443</v>
      </c>
    </row>
    <row r="408" spans="1:28">
      <c r="A408" s="8">
        <v>40466</v>
      </c>
      <c r="B408" s="10">
        <v>1223.43</v>
      </c>
      <c r="C408" s="10">
        <v>344.27</v>
      </c>
      <c r="D408" s="10">
        <v>153.83000000000001</v>
      </c>
      <c r="E408" s="11">
        <v>2199.35</v>
      </c>
      <c r="F408" s="11">
        <v>2247.46</v>
      </c>
      <c r="G408" s="11">
        <v>1998.98</v>
      </c>
      <c r="H408" s="14">
        <v>1658.16</v>
      </c>
      <c r="I408" s="14">
        <v>2502.33</v>
      </c>
      <c r="J408" s="14">
        <v>1920.76</v>
      </c>
      <c r="K408" s="14">
        <v>2291.7800000000002</v>
      </c>
      <c r="L408" s="14">
        <v>12901.82</v>
      </c>
      <c r="M408" s="14">
        <v>2130.52</v>
      </c>
      <c r="N408" s="14">
        <v>2244.52</v>
      </c>
      <c r="P408" s="14">
        <f>+P407*(1+'SImple Return'!B407)</f>
        <v>150.31514540919741</v>
      </c>
      <c r="Q408" s="14">
        <f>+Q407*(1+'SImple Return'!C407)</f>
        <v>160.55871653763646</v>
      </c>
      <c r="R408" s="14">
        <f>+R407*(1+'SImple Return'!D407)</f>
        <v>177.46885094600827</v>
      </c>
      <c r="S408" s="14">
        <f>+S407*(1+'SImple Return'!E407)</f>
        <v>219.46315421843008</v>
      </c>
      <c r="T408" s="14">
        <f>+T407*(1+'SImple Return'!F407)</f>
        <v>220.64205772629106</v>
      </c>
      <c r="U408" s="14">
        <f>+U407*(1+'SImple Return'!G407)</f>
        <v>195.87473298449851</v>
      </c>
      <c r="V408" s="14">
        <f>+V407*(1+'SImple Return'!H407)</f>
        <v>165.21626495820203</v>
      </c>
      <c r="W408" s="14">
        <f>+W407*(1+'SImple Return'!I407)</f>
        <v>249.50693481967471</v>
      </c>
      <c r="X408" s="14">
        <f>+X407*(1+'SImple Return'!J407)</f>
        <v>193.48651670679263</v>
      </c>
      <c r="Y408" s="14">
        <f>+Y407*(1+'SImple Return'!K407)</f>
        <v>222.61097620203952</v>
      </c>
      <c r="Z408" s="14">
        <f>+Z407*(1+'SImple Return'!L407)</f>
        <v>1256.5687850012184</v>
      </c>
      <c r="AA408" s="14">
        <f>+AA407*(1+'SImple Return'!M407)</f>
        <v>210.77562326869815</v>
      </c>
      <c r="AB408" s="14">
        <f>+AB407*(1+'SImple Return'!N407)</f>
        <v>219.45930090442428</v>
      </c>
    </row>
    <row r="409" spans="1:28">
      <c r="A409" s="8">
        <v>40473</v>
      </c>
      <c r="B409" s="10">
        <v>1222.96</v>
      </c>
      <c r="C409" s="10">
        <v>344.53</v>
      </c>
      <c r="D409" s="10">
        <v>153.71</v>
      </c>
      <c r="E409" s="11">
        <v>2204.14</v>
      </c>
      <c r="F409" s="11">
        <v>2245.6</v>
      </c>
      <c r="G409" s="11">
        <v>1995.08</v>
      </c>
      <c r="H409" s="14">
        <v>1669.42</v>
      </c>
      <c r="I409" s="14">
        <v>2489.6</v>
      </c>
      <c r="J409" s="14">
        <v>1925.82</v>
      </c>
      <c r="K409" s="14">
        <v>2280.75</v>
      </c>
      <c r="L409" s="14">
        <v>12817.15</v>
      </c>
      <c r="M409" s="14">
        <v>2122.5700000000002</v>
      </c>
      <c r="N409" s="14">
        <v>2234.69</v>
      </c>
      <c r="P409" s="14">
        <f>+P408*(1+'SImple Return'!B408)</f>
        <v>150.25739946677135</v>
      </c>
      <c r="Q409" s="14">
        <f>+Q408*(1+'SImple Return'!C408)</f>
        <v>160.67997388303334</v>
      </c>
      <c r="R409" s="14">
        <f>+R408*(1+'SImple Return'!D408)</f>
        <v>177.33041070604517</v>
      </c>
      <c r="S409" s="14">
        <f>+S408*(1+'SImple Return'!E408)</f>
        <v>219.94112657785732</v>
      </c>
      <c r="T409" s="14">
        <f>+T408*(1+'SImple Return'!F408)</f>
        <v>220.45945415275875</v>
      </c>
      <c r="U409" s="14">
        <f>+U408*(1+'SImple Return'!G408)</f>
        <v>195.49258235835939</v>
      </c>
      <c r="V409" s="14">
        <f>+V408*(1+'SImple Return'!H408)</f>
        <v>166.33819236172727</v>
      </c>
      <c r="W409" s="14">
        <f>+W408*(1+'SImple Return'!I408)</f>
        <v>248.23762850106186</v>
      </c>
      <c r="X409" s="14">
        <f>+X408*(1+'SImple Return'!J408)</f>
        <v>193.9962325351816</v>
      </c>
      <c r="Y409" s="14">
        <f>+Y408*(1+'SImple Return'!K408)</f>
        <v>221.53958232151498</v>
      </c>
      <c r="Z409" s="14">
        <f>+Z408*(1+'SImple Return'!L408)</f>
        <v>1248.3223764304855</v>
      </c>
      <c r="AA409" s="14">
        <f>+AA408*(1+'SImple Return'!M408)</f>
        <v>209.98911753066889</v>
      </c>
      <c r="AB409" s="14">
        <f>+AB408*(1+'SImple Return'!N408)</f>
        <v>218.49816670740645</v>
      </c>
    </row>
    <row r="410" spans="1:28">
      <c r="A410" s="8">
        <v>40480</v>
      </c>
      <c r="B410" s="10">
        <v>1222.23</v>
      </c>
      <c r="C410" s="10">
        <v>344.18</v>
      </c>
      <c r="D410" s="10">
        <v>151.22999999999999</v>
      </c>
      <c r="E410" s="11">
        <v>2247.1799999999998</v>
      </c>
      <c r="F410" s="11">
        <v>2263.92</v>
      </c>
      <c r="G410" s="11">
        <v>1996.22</v>
      </c>
      <c r="H410" s="14">
        <v>1699.22</v>
      </c>
      <c r="I410" s="14">
        <v>2510.88</v>
      </c>
      <c r="J410" s="14">
        <v>1973.58</v>
      </c>
      <c r="K410" s="14">
        <v>2294.88</v>
      </c>
      <c r="L410" s="14">
        <v>13061.22</v>
      </c>
      <c r="M410" s="14">
        <v>2151.15</v>
      </c>
      <c r="N410" s="14">
        <v>2238.15</v>
      </c>
      <c r="P410" s="14">
        <f>+P409*(1+'SImple Return'!B409)</f>
        <v>150.16770896045</v>
      </c>
      <c r="Q410" s="14">
        <f>+Q409*(1+'SImple Return'!C409)</f>
        <v>160.51674284115293</v>
      </c>
      <c r="R410" s="14">
        <f>+R409*(1+'SImple Return'!D409)</f>
        <v>174.46931241347477</v>
      </c>
      <c r="S410" s="14">
        <f>+S409*(1+'SImple Return'!E409)</f>
        <v>224.23589283041431</v>
      </c>
      <c r="T410" s="14">
        <f>+T409*(1+'SImple Return'!F409)</f>
        <v>222.25800117808765</v>
      </c>
      <c r="U410" s="14">
        <f>+U409*(1+'SImple Return'!G409)</f>
        <v>195.60428792600004</v>
      </c>
      <c r="V410" s="14">
        <f>+V409*(1+'SImple Return'!H409)</f>
        <v>169.30741408686501</v>
      </c>
      <c r="W410" s="14">
        <f>+W409*(1+'SImple Return'!I409)</f>
        <v>250.35945398889231</v>
      </c>
      <c r="X410" s="14">
        <f>+X409*(1+'SImple Return'!J409)</f>
        <v>198.80730525531138</v>
      </c>
      <c r="Y410" s="14">
        <f>+Y409*(1+'SImple Return'!K409)</f>
        <v>222.91209324914979</v>
      </c>
      <c r="Z410" s="14">
        <f>+Z409*(1+'SImple Return'!L409)</f>
        <v>1272.0934989043105</v>
      </c>
      <c r="AA410" s="14">
        <f>+AA409*(1+'SImple Return'!M409)</f>
        <v>212.81658092599932</v>
      </c>
      <c r="AB410" s="14">
        <f>+AB409*(1+'SImple Return'!N409)</f>
        <v>218.83647030065993</v>
      </c>
    </row>
    <row r="411" spans="1:28">
      <c r="A411" s="8">
        <v>40487</v>
      </c>
      <c r="B411" s="10">
        <v>1264.73</v>
      </c>
      <c r="C411" s="10">
        <v>347.07</v>
      </c>
      <c r="D411" s="10">
        <v>159.52000000000001</v>
      </c>
      <c r="E411" s="11">
        <v>2273.48</v>
      </c>
      <c r="F411" s="11">
        <v>2298.41</v>
      </c>
      <c r="G411" s="11">
        <v>2086.25</v>
      </c>
      <c r="H411" s="14">
        <v>1727.76</v>
      </c>
      <c r="I411" s="14">
        <v>2590.02</v>
      </c>
      <c r="J411" s="14">
        <v>2052.7600000000002</v>
      </c>
      <c r="K411" s="14">
        <v>2430.9699999999998</v>
      </c>
      <c r="L411" s="14">
        <v>13158.33</v>
      </c>
      <c r="M411" s="14">
        <v>2174.38</v>
      </c>
      <c r="N411" s="14">
        <v>2273.91</v>
      </c>
      <c r="P411" s="14">
        <f>+P410*(1+'SImple Return'!B410)</f>
        <v>155.38941652025389</v>
      </c>
      <c r="Q411" s="14">
        <f>+Q410*(1+'SImple Return'!C410)</f>
        <v>161.86456487267984</v>
      </c>
      <c r="R411" s="14">
        <f>+R410*(1+'SImple Return'!D410)</f>
        <v>184.03322565759109</v>
      </c>
      <c r="S411" s="14">
        <f>+S410*(1+'SImple Return'!E410)</f>
        <v>226.86025046150749</v>
      </c>
      <c r="T411" s="14">
        <f>+T410*(1+'SImple Return'!F410)</f>
        <v>225.64402120557634</v>
      </c>
      <c r="U411" s="14">
        <f>+U410*(1+'SImple Return'!G410)</f>
        <v>204.42608814941116</v>
      </c>
      <c r="V411" s="14">
        <f>+V410*(1+'SImple Return'!H410)</f>
        <v>172.15109153771843</v>
      </c>
      <c r="W411" s="14">
        <f>+W410*(1+'SImple Return'!I410)</f>
        <v>258.2504910709834</v>
      </c>
      <c r="X411" s="14">
        <f>+X410*(1+'SImple Return'!J410)</f>
        <v>206.78345136041764</v>
      </c>
      <c r="Y411" s="14">
        <f>+Y410*(1+'SImple Return'!K410)</f>
        <v>236.13113161728961</v>
      </c>
      <c r="Z411" s="14">
        <f>+Z410*(1+'SImple Return'!L410)</f>
        <v>1281.5514974433902</v>
      </c>
      <c r="AA411" s="14">
        <f>+AA410*(1+'SImple Return'!M410)</f>
        <v>215.11476058567484</v>
      </c>
      <c r="AB411" s="14">
        <f>+AB410*(1+'SImple Return'!N410)</f>
        <v>222.33292593497916</v>
      </c>
    </row>
    <row r="412" spans="1:28">
      <c r="A412" s="8">
        <v>40494</v>
      </c>
      <c r="B412" s="10">
        <v>1236.3499999999999</v>
      </c>
      <c r="C412" s="10">
        <v>341.35</v>
      </c>
      <c r="D412" s="10">
        <v>152.62</v>
      </c>
      <c r="E412" s="11">
        <v>2209.19</v>
      </c>
      <c r="F412" s="11">
        <v>2252.7399999999998</v>
      </c>
      <c r="G412" s="11">
        <v>2061.9899999999998</v>
      </c>
      <c r="H412" s="14">
        <v>1692.34</v>
      </c>
      <c r="I412" s="14">
        <v>2482.11</v>
      </c>
      <c r="J412" s="14">
        <v>2025.1</v>
      </c>
      <c r="K412" s="14">
        <v>2418.09</v>
      </c>
      <c r="L412" s="14">
        <v>12895.79</v>
      </c>
      <c r="M412" s="14">
        <v>2106.4299999999998</v>
      </c>
      <c r="N412" s="14">
        <v>2227.5100000000002</v>
      </c>
      <c r="P412" s="14">
        <f>+P411*(1+'SImple Return'!B411)</f>
        <v>151.90254450737777</v>
      </c>
      <c r="Q412" s="14">
        <f>+Q411*(1+'SImple Return'!C411)</f>
        <v>159.19690327394841</v>
      </c>
      <c r="R412" s="14">
        <f>+R411*(1+'SImple Return'!D411)</f>
        <v>176.07291185971383</v>
      </c>
      <c r="S412" s="14">
        <f>+S411*(1+'SImple Return'!E411)</f>
        <v>220.44504315721173</v>
      </c>
      <c r="T412" s="14">
        <f>+T411*(1+'SImple Return'!F411)</f>
        <v>221.16041625760855</v>
      </c>
      <c r="U412" s="14">
        <f>+U411*(1+'SImple Return'!G411)</f>
        <v>202.04891528014585</v>
      </c>
      <c r="V412" s="14">
        <f>+V411*(1+'SImple Return'!H411)</f>
        <v>168.62190249394732</v>
      </c>
      <c r="W412" s="14">
        <f>+W411*(1+'SImple Return'!I411)</f>
        <v>247.49080176685843</v>
      </c>
      <c r="X412" s="14">
        <f>+X411*(1+'SImple Return'!J411)</f>
        <v>203.99713914436259</v>
      </c>
      <c r="Y412" s="14">
        <f>+Y411*(1+'SImple Return'!K411)</f>
        <v>234.88003885381224</v>
      </c>
      <c r="Z412" s="14">
        <f>+Z411*(1+'SImple Return'!L411)</f>
        <v>1255.9814950085231</v>
      </c>
      <c r="AA412" s="14">
        <f>+AA411*(1+'SImple Return'!M411)</f>
        <v>208.39236248516036</v>
      </c>
      <c r="AB412" s="14">
        <f>+AB411*(1+'SImple Return'!N411)</f>
        <v>217.79613786360301</v>
      </c>
    </row>
    <row r="413" spans="1:28">
      <c r="A413" s="8">
        <v>40501</v>
      </c>
      <c r="B413" s="10">
        <v>1235.33</v>
      </c>
      <c r="C413" s="10">
        <v>339.25</v>
      </c>
      <c r="D413" s="10">
        <v>149.77000000000001</v>
      </c>
      <c r="E413" s="11">
        <v>2187.48</v>
      </c>
      <c r="F413" s="11">
        <v>2241.96</v>
      </c>
      <c r="G413" s="11">
        <v>2006.22</v>
      </c>
      <c r="H413" s="14">
        <v>1669.82</v>
      </c>
      <c r="I413" s="14">
        <v>2469.7199999999998</v>
      </c>
      <c r="J413" s="14">
        <v>2003.26</v>
      </c>
      <c r="K413" s="14">
        <v>2349.35</v>
      </c>
      <c r="L413" s="14">
        <v>12912.51</v>
      </c>
      <c r="M413" s="14">
        <v>2068.27</v>
      </c>
      <c r="N413" s="14">
        <v>2215.02</v>
      </c>
      <c r="P413" s="14">
        <f>+P412*(1+'SImple Return'!B412)</f>
        <v>151.77722352594247</v>
      </c>
      <c r="Q413" s="14">
        <f>+Q412*(1+'SImple Return'!C412)</f>
        <v>158.21751702266587</v>
      </c>
      <c r="R413" s="14">
        <f>+R412*(1+'SImple Return'!D412)</f>
        <v>172.78495616059061</v>
      </c>
      <c r="S413" s="14">
        <f>+S412*(1+'SImple Return'!E412)</f>
        <v>218.27870079329415</v>
      </c>
      <c r="T413" s="14">
        <f>+T412*(1+'SImple Return'!F412)</f>
        <v>220.10210092283535</v>
      </c>
      <c r="U413" s="14">
        <f>+U412*(1+'SImple Return'!G412)</f>
        <v>196.58416132635671</v>
      </c>
      <c r="V413" s="14">
        <f>+V412*(1+'SImple Return'!H412)</f>
        <v>166.37804768689691</v>
      </c>
      <c r="W413" s="14">
        <f>+W412*(1+'SImple Return'!I412)</f>
        <v>246.25539679532557</v>
      </c>
      <c r="X413" s="14">
        <f>+X412*(1+'SImple Return'!J412)</f>
        <v>201.79710086530829</v>
      </c>
      <c r="Y413" s="14">
        <f>+Y412*(1+'SImple Return'!K412)</f>
        <v>228.2030111704708</v>
      </c>
      <c r="Z413" s="14">
        <f>+Z412*(1+'SImple Return'!L412)</f>
        <v>1257.609934258584</v>
      </c>
      <c r="AA413" s="14">
        <f>+AA412*(1+'SImple Return'!M412)</f>
        <v>204.6171349426198</v>
      </c>
      <c r="AB413" s="14">
        <f>+AB412*(1+'SImple Return'!N412)</f>
        <v>216.57492055732089</v>
      </c>
    </row>
    <row r="414" spans="1:28">
      <c r="A414" s="8">
        <v>40508</v>
      </c>
      <c r="B414" s="10">
        <v>1210.3599999999999</v>
      </c>
      <c r="C414" s="10">
        <v>338.51</v>
      </c>
      <c r="D414" s="10">
        <v>146.97</v>
      </c>
      <c r="E414" s="11">
        <v>2098.21</v>
      </c>
      <c r="F414" s="11">
        <v>2243.4499999999998</v>
      </c>
      <c r="G414" s="11">
        <v>1978.91</v>
      </c>
      <c r="H414" s="14">
        <v>1631.87</v>
      </c>
      <c r="I414" s="14">
        <v>2418.17</v>
      </c>
      <c r="J414" s="14">
        <v>1987.9</v>
      </c>
      <c r="K414" s="14">
        <v>2372.36</v>
      </c>
      <c r="L414" s="14">
        <v>12831.99</v>
      </c>
      <c r="M414" s="14">
        <v>1964.99</v>
      </c>
      <c r="N414" s="14">
        <v>2201.25</v>
      </c>
      <c r="P414" s="14">
        <f>+P413*(1+'SImple Return'!B413)</f>
        <v>148.70931675492358</v>
      </c>
      <c r="Q414" s="14">
        <f>+Q413*(1+'SImple Return'!C413)</f>
        <v>157.87239996269011</v>
      </c>
      <c r="R414" s="14">
        <f>+R413*(1+'SImple Return'!D413)</f>
        <v>169.55468389478534</v>
      </c>
      <c r="S414" s="14">
        <f>+S413*(1+'SImple Return'!E413)</f>
        <v>209.37085266676621</v>
      </c>
      <c r="T414" s="14">
        <f>+T413*(1+'SImple Return'!F413)</f>
        <v>220.24838012958972</v>
      </c>
      <c r="U414" s="14">
        <f>+U413*(1+'SImple Return'!G413)</f>
        <v>193.90812706998264</v>
      </c>
      <c r="V414" s="14">
        <f>+V413*(1+'SImple Return'!H413)</f>
        <v>162.59677371142783</v>
      </c>
      <c r="W414" s="14">
        <f>+W413*(1+'SImple Return'!I413)</f>
        <v>241.11535431893188</v>
      </c>
      <c r="X414" s="14">
        <f>+X413*(1+'SImple Return'!J413)</f>
        <v>200.24982119652287</v>
      </c>
      <c r="Y414" s="14">
        <f>+Y413*(1+'SImple Return'!K413)</f>
        <v>230.43807673627947</v>
      </c>
      <c r="Z414" s="14">
        <f>+Z413*(1+'SImple Return'!L413)</f>
        <v>1249.7677136596064</v>
      </c>
      <c r="AA414" s="14">
        <f>+AA413*(1+'SImple Return'!M413)</f>
        <v>194.39948555599534</v>
      </c>
      <c r="AB414" s="14">
        <f>+AB413*(1+'SImple Return'!N413)</f>
        <v>215.22855047665601</v>
      </c>
    </row>
    <row r="415" spans="1:28">
      <c r="A415" s="8">
        <v>40515</v>
      </c>
      <c r="B415" s="10">
        <v>1247.1500000000001</v>
      </c>
      <c r="C415" s="10">
        <v>336.28</v>
      </c>
      <c r="D415" s="10">
        <v>151.29</v>
      </c>
      <c r="E415" s="11">
        <v>2100.6</v>
      </c>
      <c r="F415" s="11">
        <v>2276.56</v>
      </c>
      <c r="G415" s="11">
        <v>2018.5</v>
      </c>
      <c r="H415" s="14">
        <v>1626.81</v>
      </c>
      <c r="I415" s="14">
        <v>2506.38</v>
      </c>
      <c r="J415" s="14">
        <v>1962.2</v>
      </c>
      <c r="K415" s="14">
        <v>2449.87</v>
      </c>
      <c r="L415" s="14">
        <v>12847.37</v>
      </c>
      <c r="M415" s="14">
        <v>2026.42</v>
      </c>
      <c r="N415" s="14">
        <v>2241.21</v>
      </c>
      <c r="P415" s="14">
        <f>+P414*(1+'SImple Return'!B414)</f>
        <v>153.22947254610443</v>
      </c>
      <c r="Q415" s="14">
        <f>+Q414*(1+'SImple Return'!C414)</f>
        <v>156.83238503870913</v>
      </c>
      <c r="R415" s="14">
        <f>+R414*(1+'SImple Return'!D414)</f>
        <v>174.5385325334563</v>
      </c>
      <c r="S415" s="14">
        <f>+S414*(1+'SImple Return'!E414)</f>
        <v>209.60933991917352</v>
      </c>
      <c r="T415" s="14">
        <f>+T414*(1+'SImple Return'!F414)</f>
        <v>223.49892008639321</v>
      </c>
      <c r="U415" s="14">
        <f>+U414*(1+'SImple Return'!G414)</f>
        <v>197.78744586199471</v>
      </c>
      <c r="V415" s="14">
        <f>+V414*(1+'SImple Return'!H414)</f>
        <v>162.09260384803196</v>
      </c>
      <c r="W415" s="14">
        <f>+W414*(1+'SImple Return'!I414)</f>
        <v>249.91075968930409</v>
      </c>
      <c r="X415" s="14">
        <f>+X414*(1+'SImple Return'!J414)</f>
        <v>197.66094831320348</v>
      </c>
      <c r="Y415" s="14">
        <f>+Y414*(1+'SImple Return'!K414)</f>
        <v>237.96697425934892</v>
      </c>
      <c r="Z415" s="14">
        <f>+Z414*(1+'SImple Return'!L414)</f>
        <v>1251.2656440224018</v>
      </c>
      <c r="AA415" s="14">
        <f>+AA414*(1+'SImple Return'!M414)</f>
        <v>200.47685001978641</v>
      </c>
      <c r="AB415" s="14">
        <f>+AB414*(1+'SImple Return'!N414)</f>
        <v>219.13566365191878</v>
      </c>
    </row>
    <row r="416" spans="1:28">
      <c r="A416" s="8">
        <v>40522</v>
      </c>
      <c r="B416" s="10">
        <v>1256.52</v>
      </c>
      <c r="C416" s="10">
        <v>333.75</v>
      </c>
      <c r="D416" s="10">
        <v>150.30000000000001</v>
      </c>
      <c r="E416" s="11">
        <v>2094.2199999999998</v>
      </c>
      <c r="F416" s="11">
        <v>2259.41</v>
      </c>
      <c r="G416" s="11">
        <v>1974.53</v>
      </c>
      <c r="H416" s="14">
        <v>1621.47</v>
      </c>
      <c r="I416" s="14">
        <v>2489.63</v>
      </c>
      <c r="J416" s="14">
        <v>1967.46</v>
      </c>
      <c r="K416" s="14">
        <v>2414.5500000000002</v>
      </c>
      <c r="L416" s="14">
        <v>12707.4</v>
      </c>
      <c r="M416" s="14">
        <v>1999.17</v>
      </c>
      <c r="N416" s="14">
        <v>2220.67</v>
      </c>
      <c r="P416" s="14">
        <f>+P415*(1+'SImple Return'!B415)</f>
        <v>154.38070548340707</v>
      </c>
      <c r="Q416" s="14">
        <f>+Q415*(1+'SImple Return'!C415)</f>
        <v>155.65245779311638</v>
      </c>
      <c r="R416" s="14">
        <f>+R415*(1+'SImple Return'!D415)</f>
        <v>173.39640055376088</v>
      </c>
      <c r="S416" s="14">
        <f>+S415*(1+'SImple Return'!E415)</f>
        <v>208.9727086763456</v>
      </c>
      <c r="T416" s="14">
        <f>+T415*(1+'SImple Return'!F415)</f>
        <v>221.81523659925398</v>
      </c>
      <c r="U416" s="14">
        <f>+U415*(1+'SImple Return'!G415)</f>
        <v>193.47894252062642</v>
      </c>
      <c r="V416" s="14">
        <f>+V415*(1+'SImple Return'!H415)</f>
        <v>161.56053525701734</v>
      </c>
      <c r="W416" s="14">
        <f>+W415*(1+'SImple Return'!I415)</f>
        <v>248.24061979639245</v>
      </c>
      <c r="X416" s="14">
        <f>+X415*(1+'SImple Return'!J415)</f>
        <v>198.19081101227974</v>
      </c>
      <c r="Y416" s="14">
        <f>+Y415*(1+'SImple Return'!K415)</f>
        <v>234.53618261291865</v>
      </c>
      <c r="Z416" s="14">
        <f>+Z415*(1+'SImple Return'!L415)</f>
        <v>1237.6333089846612</v>
      </c>
      <c r="AA416" s="14">
        <f>+AA415*(1+'SImple Return'!M415)</f>
        <v>197.7809655718244</v>
      </c>
      <c r="AB416" s="14">
        <f>+AB415*(1+'SImple Return'!N415)</f>
        <v>217.12735272549494</v>
      </c>
    </row>
    <row r="417" spans="1:28">
      <c r="A417" s="8">
        <v>40529</v>
      </c>
      <c r="B417" s="10">
        <v>1257.8399999999999</v>
      </c>
      <c r="C417" s="10">
        <v>333.59</v>
      </c>
      <c r="D417" s="10">
        <v>149.33000000000001</v>
      </c>
      <c r="E417" s="11">
        <v>2078.48</v>
      </c>
      <c r="F417" s="11">
        <v>2266.62</v>
      </c>
      <c r="G417" s="11">
        <v>1958.5</v>
      </c>
      <c r="H417" s="14">
        <v>1621.7</v>
      </c>
      <c r="I417" s="14">
        <v>2476.46</v>
      </c>
      <c r="J417" s="14">
        <v>1960.66</v>
      </c>
      <c r="K417" s="14">
        <v>2338.5700000000002</v>
      </c>
      <c r="L417" s="14">
        <v>12586.55</v>
      </c>
      <c r="M417" s="14">
        <v>2011.12</v>
      </c>
      <c r="N417" s="14">
        <v>2224.0500000000002</v>
      </c>
      <c r="P417" s="14">
        <f>+P416*(1+'SImple Return'!B416)</f>
        <v>154.54288557702921</v>
      </c>
      <c r="Q417" s="14">
        <f>+Q416*(1+'SImple Return'!C416)</f>
        <v>155.57783788825677</v>
      </c>
      <c r="R417" s="14">
        <f>+R416*(1+'SImple Return'!D416)</f>
        <v>172.27734194739264</v>
      </c>
      <c r="S417" s="14">
        <f>+S416*(1+'SImple Return'!E416)</f>
        <v>207.40208551614006</v>
      </c>
      <c r="T417" s="14">
        <f>+T416*(1+'SImple Return'!F416)</f>
        <v>222.52307088160228</v>
      </c>
      <c r="U417" s="14">
        <f>+U416*(1+'SImple Return'!G416)</f>
        <v>191.90820545985468</v>
      </c>
      <c r="V417" s="14">
        <f>+V416*(1+'SImple Return'!H416)</f>
        <v>161.58345206898989</v>
      </c>
      <c r="W417" s="14">
        <f>+W416*(1+'SImple Return'!I416)</f>
        <v>246.9274411462643</v>
      </c>
      <c r="X417" s="14">
        <f>+X416*(1+'SImple Return'!J416)</f>
        <v>197.50581740891118</v>
      </c>
      <c r="Y417" s="14">
        <f>+Y416*(1+'SImple Return'!K416)</f>
        <v>227.15590092277782</v>
      </c>
      <c r="Z417" s="14">
        <f>+Z416*(1+'SImple Return'!L416)</f>
        <v>1225.8631604577558</v>
      </c>
      <c r="AA417" s="14">
        <f>+AA416*(1+'SImple Return'!M416)</f>
        <v>198.96319746735267</v>
      </c>
      <c r="AB417" s="14">
        <f>+AB416*(1+'SImple Return'!N416)</f>
        <v>217.45783427034954</v>
      </c>
    </row>
    <row r="418" spans="1:28">
      <c r="A418" s="8">
        <v>40536</v>
      </c>
      <c r="B418" s="10">
        <v>1274.42</v>
      </c>
      <c r="C418" s="10">
        <v>333.86</v>
      </c>
      <c r="D418" s="10">
        <v>153.21</v>
      </c>
      <c r="E418" s="11">
        <v>2111.42</v>
      </c>
      <c r="F418" s="11">
        <v>2294.21</v>
      </c>
      <c r="G418" s="11">
        <v>1961.77</v>
      </c>
      <c r="H418" s="14">
        <v>1643.26</v>
      </c>
      <c r="I418" s="14">
        <v>2511.9</v>
      </c>
      <c r="J418" s="14">
        <v>1997.38</v>
      </c>
      <c r="K418" s="14">
        <v>2468.66</v>
      </c>
      <c r="L418" s="14">
        <v>12767.48</v>
      </c>
      <c r="M418" s="14">
        <v>2022.45</v>
      </c>
      <c r="N418" s="14">
        <v>2249.66</v>
      </c>
      <c r="P418" s="14">
        <f>+P417*(1+'SImple Return'!B417)</f>
        <v>156.5799658438892</v>
      </c>
      <c r="Q418" s="14">
        <f>+Q417*(1+'SImple Return'!C417)</f>
        <v>155.70375897770739</v>
      </c>
      <c r="R418" s="14">
        <f>+R417*(1+'SImple Return'!D417)</f>
        <v>176.75357637286564</v>
      </c>
      <c r="S418" s="14">
        <f>+S417*(1+'SImple Return'!E417)</f>
        <v>210.68901860998832</v>
      </c>
      <c r="T418" s="14">
        <f>+T417*(1+'SImple Return'!F417)</f>
        <v>225.2316905556647</v>
      </c>
      <c r="U418" s="14">
        <f>+U417*(1+'SImple Return'!G417)</f>
        <v>192.22862406177131</v>
      </c>
      <c r="V418" s="14">
        <f>+V417*(1+'SImple Return'!H417)</f>
        <v>163.73165409563316</v>
      </c>
      <c r="W418" s="14">
        <f>+W417*(1+'SImple Return'!I417)</f>
        <v>250.46115803013222</v>
      </c>
      <c r="X418" s="14">
        <f>+X417*(1+'SImple Return'!J417)</f>
        <v>201.20478286710141</v>
      </c>
      <c r="Y418" s="14">
        <f>+Y417*(1+'SImple Return'!K417)</f>
        <v>239.79213210296234</v>
      </c>
      <c r="Z418" s="14">
        <f>+Z417*(1+'SImple Return'!L417)</f>
        <v>1243.4847820793775</v>
      </c>
      <c r="AA418" s="14">
        <f>+AA417*(1+'SImple Return'!M417)</f>
        <v>200.08409180846863</v>
      </c>
      <c r="AB418" s="14">
        <f>+AB417*(1+'SImple Return'!N417)</f>
        <v>219.9618675140552</v>
      </c>
    </row>
    <row r="419" spans="1:28">
      <c r="A419" s="8">
        <v>40543</v>
      </c>
      <c r="B419" s="10">
        <v>1280.07</v>
      </c>
      <c r="C419" s="10">
        <v>336.84</v>
      </c>
      <c r="D419" s="10">
        <v>155.5</v>
      </c>
      <c r="E419" s="11">
        <v>2106.39</v>
      </c>
      <c r="F419" s="11">
        <v>2305</v>
      </c>
      <c r="G419" s="11">
        <v>1993.3</v>
      </c>
      <c r="H419" s="14">
        <v>1637.27</v>
      </c>
      <c r="I419" s="14">
        <v>2556.6999999999998</v>
      </c>
      <c r="J419" s="14">
        <v>1999.77</v>
      </c>
      <c r="K419" s="14">
        <v>2492.96</v>
      </c>
      <c r="L419" s="14">
        <v>13006.46</v>
      </c>
      <c r="M419" s="14">
        <v>2036.61</v>
      </c>
      <c r="N419" s="14">
        <v>2254.15</v>
      </c>
      <c r="P419" s="14">
        <f>+P418*(1+'SImple Return'!B418)</f>
        <v>157.2741457900749</v>
      </c>
      <c r="Q419" s="14">
        <f>+Q418*(1+'SImple Return'!C418)</f>
        <v>157.09355470571782</v>
      </c>
      <c r="R419" s="14">
        <f>+R418*(1+'SImple Return'!D418)</f>
        <v>179.39547761882778</v>
      </c>
      <c r="S419" s="14">
        <f>+S418*(1+'SImple Return'!E418)</f>
        <v>210.18709773985907</v>
      </c>
      <c r="T419" s="14">
        <f>+T418*(1+'SImple Return'!F418)</f>
        <v>226.29098763008056</v>
      </c>
      <c r="U419" s="14">
        <f>+U418*(1+'SImple Return'!G418)</f>
        <v>195.31816489309588</v>
      </c>
      <c r="V419" s="14">
        <f>+V418*(1+'SImple Return'!H418)</f>
        <v>163.13482060121788</v>
      </c>
      <c r="W419" s="14">
        <f>+W418*(1+'SImple Return'!I418)</f>
        <v>254.92815905714357</v>
      </c>
      <c r="X419" s="14">
        <f>+X418*(1+'SImple Return'!J418)</f>
        <v>201.44553797181473</v>
      </c>
      <c r="Y419" s="14">
        <f>+Y418*(1+'SImple Return'!K418)</f>
        <v>242.1525012141814</v>
      </c>
      <c r="Z419" s="14">
        <f>+Z418*(1+'SImple Return'!L418)</f>
        <v>1266.7601655709773</v>
      </c>
      <c r="AA419" s="14">
        <f>+AA418*(1+'SImple Return'!M418)</f>
        <v>201.48496240601514</v>
      </c>
      <c r="AB419" s="14">
        <f>+AB418*(1+'SImple Return'!N418)</f>
        <v>220.40087998044487</v>
      </c>
    </row>
    <row r="420" spans="1:28">
      <c r="A420" s="8">
        <v>40550</v>
      </c>
      <c r="B420" s="10">
        <v>1281.4100000000001</v>
      </c>
      <c r="C420" s="10">
        <v>335.25</v>
      </c>
      <c r="D420" s="10">
        <v>156.1</v>
      </c>
      <c r="E420" s="11">
        <v>2093.88</v>
      </c>
      <c r="F420" s="11">
        <v>2287.89</v>
      </c>
      <c r="G420" s="11">
        <v>1993.8</v>
      </c>
      <c r="H420" s="14">
        <v>1649.9</v>
      </c>
      <c r="I420" s="14">
        <v>2538.7199999999998</v>
      </c>
      <c r="J420" s="14">
        <v>2007.21</v>
      </c>
      <c r="K420" s="14">
        <v>2545.91</v>
      </c>
      <c r="L420" s="14">
        <v>12737.25</v>
      </c>
      <c r="M420" s="14">
        <v>1990.64</v>
      </c>
      <c r="N420" s="14">
        <v>2234.8200000000002</v>
      </c>
      <c r="P420" s="14">
        <f>+P419*(1+'SImple Return'!B419)</f>
        <v>157.43878315784286</v>
      </c>
      <c r="Q420" s="14">
        <f>+Q419*(1+'SImple Return'!C419)</f>
        <v>156.35201940117534</v>
      </c>
      <c r="R420" s="14">
        <f>+R419*(1+'SImple Return'!D419)</f>
        <v>180.08767881864318</v>
      </c>
      <c r="S420" s="14">
        <f>+S419*(1+'SImple Return'!E419)</f>
        <v>208.93878161951784</v>
      </c>
      <c r="T420" s="14">
        <f>+T419*(1+'SImple Return'!F419)</f>
        <v>224.61123110151195</v>
      </c>
      <c r="U420" s="14">
        <f>+U419*(1+'SImple Return'!G419)</f>
        <v>195.36715856311372</v>
      </c>
      <c r="V420" s="14">
        <f>+V419*(1+'SImple Return'!H419)</f>
        <v>164.3932524934491</v>
      </c>
      <c r="W420" s="14">
        <f>+W419*(1+'SImple Return'!I419)</f>
        <v>253.13537605567782</v>
      </c>
      <c r="X420" s="14">
        <f>+X419*(1+'SImple Return'!J419)</f>
        <v>202.1950015613827</v>
      </c>
      <c r="Y420" s="14">
        <f>+Y419*(1+'SImple Return'!K419)</f>
        <v>247.29577464788707</v>
      </c>
      <c r="Z420" s="14">
        <f>+Z419*(1+'SImple Return'!L419)</f>
        <v>1240.5405405405415</v>
      </c>
      <c r="AA420" s="14">
        <f>+AA419*(1+'SImple Return'!M419)</f>
        <v>196.93707954095777</v>
      </c>
      <c r="AB420" s="14">
        <f>+AB419*(1+'SImple Return'!N419)</f>
        <v>218.51087753605475</v>
      </c>
    </row>
    <row r="421" spans="1:28">
      <c r="A421" s="8">
        <v>40557</v>
      </c>
      <c r="B421" s="10">
        <v>1309</v>
      </c>
      <c r="C421" s="10">
        <v>336.57</v>
      </c>
      <c r="D421" s="10">
        <v>158.24</v>
      </c>
      <c r="E421" s="11">
        <v>2109.02</v>
      </c>
      <c r="F421" s="11">
        <v>2302.58</v>
      </c>
      <c r="G421" s="11">
        <v>1995.2</v>
      </c>
      <c r="H421" s="14">
        <v>1624.85</v>
      </c>
      <c r="I421" s="14">
        <v>2540.5100000000002</v>
      </c>
      <c r="J421" s="14">
        <v>1992.48</v>
      </c>
      <c r="K421" s="14">
        <v>2669.84</v>
      </c>
      <c r="L421" s="14">
        <v>12539.31</v>
      </c>
      <c r="M421" s="14">
        <v>2089.12</v>
      </c>
      <c r="N421" s="14">
        <v>2268.0500000000002</v>
      </c>
      <c r="P421" s="14">
        <f>+P420*(1+'SImple Return'!B420)</f>
        <v>160.82859284196027</v>
      </c>
      <c r="Q421" s="14">
        <f>+Q420*(1+'SImple Return'!C420)</f>
        <v>156.96763361626722</v>
      </c>
      <c r="R421" s="14">
        <f>+R420*(1+'SImple Return'!D420)</f>
        <v>182.55652976465151</v>
      </c>
      <c r="S421" s="14">
        <f>+S420*(1+'SImple Return'!E420)</f>
        <v>210.44953350296839</v>
      </c>
      <c r="T421" s="14">
        <f>+T420*(1+'SImple Return'!F420)</f>
        <v>226.05340663656006</v>
      </c>
      <c r="U421" s="14">
        <f>+U420*(1+'SImple Return'!G420)</f>
        <v>195.50434083916363</v>
      </c>
      <c r="V421" s="14">
        <f>+V420*(1+'SImple Return'!H420)</f>
        <v>161.89731275470075</v>
      </c>
      <c r="W421" s="14">
        <f>+W420*(1+'SImple Return'!I420)</f>
        <v>253.31385667706959</v>
      </c>
      <c r="X421" s="14">
        <f>+X420*(1+'SImple Return'!J420)</f>
        <v>200.71118453526228</v>
      </c>
      <c r="Y421" s="14">
        <f>+Y420*(1+'SImple Return'!K420)</f>
        <v>259.33365711510419</v>
      </c>
      <c r="Z421" s="14">
        <f>+Z420*(1+'SImple Return'!L420)</f>
        <v>1221.2622352081821</v>
      </c>
      <c r="AA421" s="14">
        <f>+AA420*(1+'SImple Return'!M420)</f>
        <v>206.67985753858341</v>
      </c>
      <c r="AB421" s="14">
        <f>+AB420*(1+'SImple Return'!N420)</f>
        <v>221.75996088975799</v>
      </c>
    </row>
    <row r="422" spans="1:28">
      <c r="A422" s="8">
        <v>40564</v>
      </c>
      <c r="B422" s="10">
        <v>1302.54</v>
      </c>
      <c r="C422" s="10">
        <v>335.84</v>
      </c>
      <c r="D422" s="10">
        <v>157.32</v>
      </c>
      <c r="E422" s="11">
        <v>2158.02</v>
      </c>
      <c r="F422" s="11">
        <v>2303.23</v>
      </c>
      <c r="G422" s="11">
        <v>1975.57</v>
      </c>
      <c r="H422" s="14">
        <v>1656.05</v>
      </c>
      <c r="I422" s="14">
        <v>2557.88</v>
      </c>
      <c r="J422" s="14">
        <v>1945.13</v>
      </c>
      <c r="K422" s="14">
        <v>2584.13</v>
      </c>
      <c r="L422" s="14">
        <v>12695.5</v>
      </c>
      <c r="M422" s="14">
        <v>2126.1999999999998</v>
      </c>
      <c r="N422" s="14">
        <v>2263.15</v>
      </c>
      <c r="P422" s="14">
        <f>+P421*(1+'SImple Return'!B421)</f>
        <v>160.03489329287007</v>
      </c>
      <c r="Q422" s="14">
        <f>+Q421*(1+'SImple Return'!C421)</f>
        <v>156.6271803003452</v>
      </c>
      <c r="R422" s="14">
        <f>+R421*(1+'SImple Return'!D421)</f>
        <v>181.49515459160119</v>
      </c>
      <c r="S422" s="14">
        <f>+S421*(1+'SImple Return'!E421)</f>
        <v>215.33902110462483</v>
      </c>
      <c r="T422" s="14">
        <f>+T421*(1+'SImple Return'!F421)</f>
        <v>226.11721971333208</v>
      </c>
      <c r="U422" s="14">
        <f>+U421*(1+'SImple Return'!G421)</f>
        <v>193.58084935426345</v>
      </c>
      <c r="V422" s="14">
        <f>+V421*(1+'SImple Return'!H421)</f>
        <v>165.00602811793223</v>
      </c>
      <c r="W422" s="14">
        <f>+W421*(1+'SImple Return'!I421)</f>
        <v>255.04581667348003</v>
      </c>
      <c r="X422" s="14">
        <f>+X421*(1+'SImple Return'!J421)</f>
        <v>195.94141290004151</v>
      </c>
      <c r="Y422" s="14">
        <f>+Y421*(1+'SImple Return'!K421)</f>
        <v>251.00825643516248</v>
      </c>
      <c r="Z422" s="14">
        <f>+Z421*(1+'SImple Return'!L421)</f>
        <v>1236.4743121499887</v>
      </c>
      <c r="AA422" s="14">
        <f>+AA421*(1+'SImple Return'!M421)</f>
        <v>210.3482390185992</v>
      </c>
      <c r="AB422" s="14">
        <f>+AB421*(1+'SImple Return'!N421)</f>
        <v>221.28086042532388</v>
      </c>
    </row>
    <row r="423" spans="1:28">
      <c r="A423" s="8">
        <v>40571</v>
      </c>
      <c r="B423" s="10">
        <v>1302.1300000000001</v>
      </c>
      <c r="C423" s="10">
        <v>337.7</v>
      </c>
      <c r="D423" s="10">
        <v>158.06</v>
      </c>
      <c r="E423" s="11">
        <v>2161.88</v>
      </c>
      <c r="F423" s="11">
        <v>2312.84</v>
      </c>
      <c r="G423" s="11">
        <v>1974.93</v>
      </c>
      <c r="H423" s="14">
        <v>1659.19</v>
      </c>
      <c r="I423" s="14">
        <v>2587.85</v>
      </c>
      <c r="J423" s="14">
        <v>1924.17</v>
      </c>
      <c r="K423" s="14">
        <v>2647.99</v>
      </c>
      <c r="L423" s="14">
        <v>12924.8</v>
      </c>
      <c r="M423" s="14">
        <v>2137.25</v>
      </c>
      <c r="N423" s="14">
        <v>2257.9899999999998</v>
      </c>
      <c r="P423" s="14">
        <f>+P422*(1+'SImple Return'!B422)</f>
        <v>159.98451917288139</v>
      </c>
      <c r="Q423" s="14">
        <f>+Q422*(1+'SImple Return'!C422)</f>
        <v>157.49463669433831</v>
      </c>
      <c r="R423" s="14">
        <f>+R422*(1+'SImple Return'!D422)</f>
        <v>182.34886940470687</v>
      </c>
      <c r="S423" s="14">
        <f>+S422*(1+'SImple Return'!E422)</f>
        <v>215.72419298508186</v>
      </c>
      <c r="T423" s="14">
        <f>+T422*(1+'SImple Return'!F422)</f>
        <v>227.06067150991564</v>
      </c>
      <c r="U423" s="14">
        <f>+U422*(1+'SImple Return'!G422)</f>
        <v>193.51813745664063</v>
      </c>
      <c r="V423" s="14">
        <f>+V422*(1+'SImple Return'!H422)</f>
        <v>165.31889242051386</v>
      </c>
      <c r="W423" s="14">
        <f>+W422*(1+'SImple Return'!I422)</f>
        <v>258.03412070873742</v>
      </c>
      <c r="X423" s="14">
        <f>+X422*(1+'SImple Return'!J422)</f>
        <v>193.83002085201136</v>
      </c>
      <c r="Y423" s="14">
        <f>+Y422*(1+'SImple Return'!K422)</f>
        <v>257.21126760563357</v>
      </c>
      <c r="Z423" s="14">
        <f>+Z422*(1+'SImple Return'!L422)</f>
        <v>1258.806915023132</v>
      </c>
      <c r="AA423" s="14">
        <f>+AA422*(1+'SImple Return'!M422)</f>
        <v>211.44143252869023</v>
      </c>
      <c r="AB423" s="14">
        <f>+AB422*(1+'SImple Return'!N422)</f>
        <v>220.77633830359323</v>
      </c>
    </row>
    <row r="424" spans="1:28">
      <c r="A424" s="8">
        <v>40578</v>
      </c>
      <c r="B424" s="10">
        <v>1331.65</v>
      </c>
      <c r="C424" s="10">
        <v>335.16</v>
      </c>
      <c r="D424" s="10">
        <v>160.37</v>
      </c>
      <c r="E424" s="11">
        <v>2203.5500000000002</v>
      </c>
      <c r="F424" s="11">
        <v>2365.16</v>
      </c>
      <c r="G424" s="11">
        <v>2002.48</v>
      </c>
      <c r="H424" s="14">
        <v>1683.24</v>
      </c>
      <c r="I424" s="14">
        <v>2629.18</v>
      </c>
      <c r="J424" s="14">
        <v>2004.73</v>
      </c>
      <c r="K424" s="14">
        <v>2651.82</v>
      </c>
      <c r="L424" s="14">
        <v>13489.54</v>
      </c>
      <c r="M424" s="14">
        <v>2151.6799999999998</v>
      </c>
      <c r="N424" s="14">
        <v>2296.39</v>
      </c>
      <c r="P424" s="14">
        <f>+P423*(1+'SImple Return'!B423)</f>
        <v>163.61145581206756</v>
      </c>
      <c r="Q424" s="14">
        <f>+Q423*(1+'SImple Return'!C423)</f>
        <v>156.31004570469185</v>
      </c>
      <c r="R424" s="14">
        <f>+R423*(1+'SImple Return'!D423)</f>
        <v>185.01384402399623</v>
      </c>
      <c r="S424" s="14">
        <f>+S423*(1+'SImple Return'!E423)</f>
        <v>219.88225315571498</v>
      </c>
      <c r="T424" s="14">
        <f>+T423*(1+'SImple Return'!F423)</f>
        <v>232.19713332024349</v>
      </c>
      <c r="U424" s="14">
        <f>+U423*(1+'SImple Return'!G423)</f>
        <v>196.21768867462328</v>
      </c>
      <c r="V424" s="14">
        <f>+V423*(1+'SImple Return'!H423)</f>
        <v>167.71519384633811</v>
      </c>
      <c r="W424" s="14">
        <f>+W423*(1+'SImple Return'!I423)</f>
        <v>262.15512857584412</v>
      </c>
      <c r="X424" s="14">
        <f>+X423*(1+'SImple Return'!J423)</f>
        <v>201.94518036486002</v>
      </c>
      <c r="Y424" s="14">
        <f>+Y423*(1+'SImple Return'!K423)</f>
        <v>257.58329286061172</v>
      </c>
      <c r="Z424" s="14">
        <f>+Z423*(1+'SImple Return'!L423)</f>
        <v>1313.8095933771619</v>
      </c>
      <c r="AA424" s="14">
        <f>+AA423*(1+'SImple Return'!M423)</f>
        <v>212.86901464186789</v>
      </c>
      <c r="AB424" s="14">
        <f>+AB423*(1+'SImple Return'!N423)</f>
        <v>224.53092153507697</v>
      </c>
    </row>
    <row r="425" spans="1:28">
      <c r="A425" s="8">
        <v>40585</v>
      </c>
      <c r="B425" s="10">
        <v>1340.99</v>
      </c>
      <c r="C425" s="10">
        <v>334</v>
      </c>
      <c r="D425" s="10">
        <v>158.32</v>
      </c>
      <c r="E425" s="11">
        <v>2240.83</v>
      </c>
      <c r="F425" s="11">
        <v>2388.62</v>
      </c>
      <c r="G425" s="11">
        <v>1929</v>
      </c>
      <c r="H425" s="14">
        <v>1708.6</v>
      </c>
      <c r="I425" s="14">
        <v>2613.3200000000002</v>
      </c>
      <c r="J425" s="14">
        <v>2001.16</v>
      </c>
      <c r="K425" s="14">
        <v>2505.35</v>
      </c>
      <c r="L425" s="14">
        <v>13982.09</v>
      </c>
      <c r="M425" s="14">
        <v>2161.5</v>
      </c>
      <c r="N425" s="14">
        <v>2295.41</v>
      </c>
      <c r="P425" s="14">
        <f>+P424*(1+'SImple Return'!B424)</f>
        <v>164.7590028381515</v>
      </c>
      <c r="Q425" s="14">
        <f>+Q424*(1+'SImple Return'!C424)</f>
        <v>155.76905139445958</v>
      </c>
      <c r="R425" s="14">
        <f>+R424*(1+'SImple Return'!D424)</f>
        <v>182.64882325796023</v>
      </c>
      <c r="S425" s="14">
        <f>+S424*(1+'SImple Return'!E424)</f>
        <v>223.60225515142417</v>
      </c>
      <c r="T425" s="14">
        <f>+T424*(1+'SImple Return'!F424)</f>
        <v>234.50029452189281</v>
      </c>
      <c r="U425" s="14">
        <f>+U424*(1+'SImple Return'!G424)</f>
        <v>189.01757892880244</v>
      </c>
      <c r="V425" s="14">
        <f>+V424*(1+'SImple Return'!H424)</f>
        <v>170.24202146209294</v>
      </c>
      <c r="W425" s="14">
        <f>+W424*(1+'SImple Return'!I424)</f>
        <v>260.57373044440664</v>
      </c>
      <c r="X425" s="14">
        <f>+X424*(1+'SImple Return'!J424)</f>
        <v>201.58555872309154</v>
      </c>
      <c r="Y425" s="14">
        <f>+Y424*(1+'SImple Return'!K424)</f>
        <v>243.35599805730914</v>
      </c>
      <c r="Z425" s="14">
        <f>+Z424*(1+'SImple Return'!L424)</f>
        <v>1361.7813489164851</v>
      </c>
      <c r="AA425" s="14">
        <f>+AA424*(1+'SImple Return'!M424)</f>
        <v>213.84052235852798</v>
      </c>
      <c r="AB425" s="14">
        <f>+AB424*(1+'SImple Return'!N424)</f>
        <v>224.43510144219016</v>
      </c>
    </row>
    <row r="426" spans="1:28">
      <c r="A426" s="8">
        <v>40592</v>
      </c>
      <c r="B426" s="10">
        <v>1362.62</v>
      </c>
      <c r="C426" s="10">
        <v>335.3</v>
      </c>
      <c r="D426" s="10">
        <v>161.1</v>
      </c>
      <c r="E426" s="11">
        <v>2267.96</v>
      </c>
      <c r="F426" s="11">
        <v>2389.39</v>
      </c>
      <c r="G426" s="11">
        <v>1984.98</v>
      </c>
      <c r="H426" s="14">
        <v>1717.42</v>
      </c>
      <c r="I426" s="14">
        <v>2637.47</v>
      </c>
      <c r="J426" s="14">
        <v>2067.0500000000002</v>
      </c>
      <c r="K426" s="14">
        <v>2632.56</v>
      </c>
      <c r="L426" s="14">
        <v>13529.37</v>
      </c>
      <c r="M426" s="14">
        <v>2189.15</v>
      </c>
      <c r="N426" s="14">
        <v>2325.5100000000002</v>
      </c>
      <c r="P426" s="14">
        <f>+P425*(1+'SImple Return'!B425)</f>
        <v>167.41654482682344</v>
      </c>
      <c r="Q426" s="14">
        <f>+Q425*(1+'SImple Return'!C425)</f>
        <v>156.375338121444</v>
      </c>
      <c r="R426" s="14">
        <f>+R425*(1+'SImple Return'!D425)</f>
        <v>185.85602215043829</v>
      </c>
      <c r="S426" s="14">
        <f>+S425*(1+'SImple Return'!E425)</f>
        <v>226.3094347153617</v>
      </c>
      <c r="T426" s="14">
        <f>+T425*(1+'SImple Return'!F425)</f>
        <v>234.57588847437663</v>
      </c>
      <c r="U426" s="14">
        <f>+U425*(1+'SImple Return'!G425)</f>
        <v>194.50291022399909</v>
      </c>
      <c r="V426" s="14">
        <f>+V425*(1+'SImple Return'!H425)</f>
        <v>171.1208313820834</v>
      </c>
      <c r="W426" s="14">
        <f>+W425*(1+'SImple Return'!I425)</f>
        <v>262.98172318552992</v>
      </c>
      <c r="X426" s="14">
        <f>+X425*(1+'SImple Return'!J425)</f>
        <v>208.22294527102599</v>
      </c>
      <c r="Y426" s="14">
        <f>+Y425*(1+'SImple Return'!K425)</f>
        <v>255.71248178727512</v>
      </c>
      <c r="Z426" s="14">
        <f>+Z425*(1+'SImple Return'!L425)</f>
        <v>1317.6888239590951</v>
      </c>
      <c r="AA426" s="14">
        <f>+AA425*(1+'SImple Return'!M425)</f>
        <v>216.5759794222399</v>
      </c>
      <c r="AB426" s="14">
        <f>+AB425*(1+'SImple Return'!N425)</f>
        <v>227.37814715228552</v>
      </c>
    </row>
    <row r="427" spans="1:28">
      <c r="A427" s="8">
        <v>40599</v>
      </c>
      <c r="B427" s="10">
        <v>1341.3</v>
      </c>
      <c r="C427" s="10">
        <v>338.62</v>
      </c>
      <c r="D427" s="10">
        <v>159.61000000000001</v>
      </c>
      <c r="E427" s="11">
        <v>2249.59</v>
      </c>
      <c r="F427" s="11">
        <v>2383.2800000000002</v>
      </c>
      <c r="G427" s="11">
        <v>1957.93</v>
      </c>
      <c r="H427" s="14">
        <v>1707.45</v>
      </c>
      <c r="I427" s="14">
        <v>2584.7800000000002</v>
      </c>
      <c r="J427" s="14">
        <v>2030.44</v>
      </c>
      <c r="K427" s="14">
        <v>2433.5500000000002</v>
      </c>
      <c r="L427" s="14">
        <v>13407.53</v>
      </c>
      <c r="M427" s="14">
        <v>2177.12</v>
      </c>
      <c r="N427" s="14">
        <v>2333.3200000000002</v>
      </c>
      <c r="P427" s="14">
        <f>+P426*(1+'SImple Return'!B426)</f>
        <v>164.79709058741122</v>
      </c>
      <c r="Q427" s="14">
        <f>+Q426*(1+'SImple Return'!C426)</f>
        <v>157.92370114728115</v>
      </c>
      <c r="R427" s="14">
        <f>+R426*(1+'SImple Return'!D426)</f>
        <v>184.13705583756337</v>
      </c>
      <c r="S427" s="14">
        <f>+S426*(1+'SImple Return'!E426)</f>
        <v>224.47637579204684</v>
      </c>
      <c r="T427" s="14">
        <f>+T426*(1+'SImple Return'!F426)</f>
        <v>233.97604555271948</v>
      </c>
      <c r="U427" s="14">
        <f>+U426*(1+'SImple Return'!G426)</f>
        <v>191.85235267603429</v>
      </c>
      <c r="V427" s="14">
        <f>+V426*(1+'SImple Return'!H426)</f>
        <v>170.12743740223024</v>
      </c>
      <c r="W427" s="14">
        <f>+W426*(1+'SImple Return'!I426)</f>
        <v>257.72801148657391</v>
      </c>
      <c r="X427" s="14">
        <f>+X426*(1+'SImple Return'!J426)</f>
        <v>204.5350605917138</v>
      </c>
      <c r="Y427" s="14">
        <f>+Y426*(1+'SImple Return'!K426)</f>
        <v>236.38173870811053</v>
      </c>
      <c r="Z427" s="14">
        <f>+Z426*(1+'SImple Return'!L426)</f>
        <v>1305.8222546871204</v>
      </c>
      <c r="AA427" s="14">
        <f>+AA426*(1+'SImple Return'!M426)</f>
        <v>215.3858330035616</v>
      </c>
      <c r="AB427" s="14">
        <f>+AB426*(1+'SImple Return'!N426)</f>
        <v>228.14177462723052</v>
      </c>
    </row>
    <row r="428" spans="1:28">
      <c r="A428" s="8">
        <v>40606</v>
      </c>
      <c r="B428" s="10">
        <v>1348.44</v>
      </c>
      <c r="C428" s="10">
        <v>338.33</v>
      </c>
      <c r="D428" s="10">
        <v>160.38</v>
      </c>
      <c r="E428" s="11">
        <v>2290.83</v>
      </c>
      <c r="F428" s="11">
        <v>2400.59</v>
      </c>
      <c r="G428" s="11">
        <v>1996.66</v>
      </c>
      <c r="H428" s="14">
        <v>1728.64</v>
      </c>
      <c r="I428" s="14">
        <v>2654.29</v>
      </c>
      <c r="J428" s="14">
        <v>2067.71</v>
      </c>
      <c r="K428" s="14">
        <v>2525.59</v>
      </c>
      <c r="L428" s="14">
        <v>13317.88</v>
      </c>
      <c r="M428" s="14">
        <v>2203.5</v>
      </c>
      <c r="N428" s="14">
        <v>2369.6</v>
      </c>
      <c r="P428" s="14">
        <f>+P427*(1+'SImple Return'!B427)</f>
        <v>165.67433745745828</v>
      </c>
      <c r="Q428" s="14">
        <f>+Q427*(1+'SImple Return'!C427)</f>
        <v>157.78845256972309</v>
      </c>
      <c r="R428" s="14">
        <f>+R427*(1+'SImple Return'!D427)</f>
        <v>185.02538071065979</v>
      </c>
      <c r="S428" s="14">
        <f>+S427*(1+'SImple Return'!E427)</f>
        <v>228.59152821433889</v>
      </c>
      <c r="T428" s="14">
        <f>+T427*(1+'SImple Return'!F427)</f>
        <v>235.67543687414101</v>
      </c>
      <c r="U428" s="14">
        <f>+U427*(1+'SImple Return'!G427)</f>
        <v>195.64740235561567</v>
      </c>
      <c r="V428" s="14">
        <f>+V427*(1+'SImple Return'!H427)</f>
        <v>172.23877325309161</v>
      </c>
      <c r="W428" s="14">
        <f>+W427*(1+'SImple Return'!I427)</f>
        <v>264.65884276754622</v>
      </c>
      <c r="X428" s="14">
        <f>+X427*(1+'SImple Return'!J427)</f>
        <v>208.28942994429408</v>
      </c>
      <c r="Y428" s="14">
        <f>+Y427*(1+'SImple Return'!K427)</f>
        <v>245.32200097134509</v>
      </c>
      <c r="Z428" s="14">
        <f>+Z427*(1+'SImple Return'!L427)</f>
        <v>1297.0908205502808</v>
      </c>
      <c r="AA428" s="14">
        <f>+AA427*(1+'SImple Return'!M427)</f>
        <v>217.9956470122676</v>
      </c>
      <c r="AB428" s="14">
        <f>+AB427*(1+'SImple Return'!N427)</f>
        <v>231.68907357614273</v>
      </c>
    </row>
    <row r="429" spans="1:28">
      <c r="A429" s="8">
        <v>40613</v>
      </c>
      <c r="B429" s="10">
        <v>1315.07</v>
      </c>
      <c r="C429" s="10">
        <v>338.8</v>
      </c>
      <c r="D429" s="10">
        <v>158.19</v>
      </c>
      <c r="E429" s="11">
        <v>2237.0100000000002</v>
      </c>
      <c r="F429" s="11">
        <v>2370.5500000000002</v>
      </c>
      <c r="G429" s="11">
        <v>1947.55</v>
      </c>
      <c r="H429" s="14">
        <v>1712.64</v>
      </c>
      <c r="I429" s="14">
        <v>2593.86</v>
      </c>
      <c r="J429" s="14">
        <v>2015.32</v>
      </c>
      <c r="K429" s="14">
        <v>2521.69</v>
      </c>
      <c r="L429" s="14">
        <v>12759.7</v>
      </c>
      <c r="M429" s="14">
        <v>2154.6999999999998</v>
      </c>
      <c r="N429" s="14">
        <v>2339.0500000000002</v>
      </c>
      <c r="P429" s="14">
        <f>+P428*(1+'SImple Return'!B428)</f>
        <v>161.57437554520754</v>
      </c>
      <c r="Q429" s="14">
        <f>+Q428*(1+'SImple Return'!C428)</f>
        <v>158.00764854024825</v>
      </c>
      <c r="R429" s="14">
        <f>+R428*(1+'SImple Return'!D428)</f>
        <v>182.49884633133354</v>
      </c>
      <c r="S429" s="14">
        <f>+S428*(1+'SImple Return'!E428)</f>
        <v>223.22107468941749</v>
      </c>
      <c r="T429" s="14">
        <f>+T428*(1+'SImple Return'!F428)</f>
        <v>232.72629098763011</v>
      </c>
      <c r="U429" s="14">
        <f>+U428*(1+'SImple Return'!G428)</f>
        <v>190.83524408646403</v>
      </c>
      <c r="V429" s="14">
        <f>+V428*(1+'SImple Return'!H428)</f>
        <v>170.64456024630624</v>
      </c>
      <c r="W429" s="14">
        <f>+W428*(1+'SImple Return'!I428)</f>
        <v>258.63337687329852</v>
      </c>
      <c r="X429" s="14">
        <f>+X428*(1+'SImple Return'!J428)</f>
        <v>203.01195716775311</v>
      </c>
      <c r="Y429" s="14">
        <f>+Y428*(1+'SImple Return'!K428)</f>
        <v>244.94317629917413</v>
      </c>
      <c r="Z429" s="14">
        <f>+Z428*(1+'SImple Return'!L428)</f>
        <v>1242.727051375701</v>
      </c>
      <c r="AA429" s="14">
        <f>+AA428*(1+'SImple Return'!M428)</f>
        <v>213.16778789077964</v>
      </c>
      <c r="AB429" s="14">
        <f>+AB428*(1+'SImple Return'!N428)</f>
        <v>228.70202884380348</v>
      </c>
    </row>
    <row r="430" spans="1:28">
      <c r="A430" s="8">
        <v>40620</v>
      </c>
      <c r="B430" s="10">
        <v>1287.1300000000001</v>
      </c>
      <c r="C430" s="10">
        <v>343.05</v>
      </c>
      <c r="D430" s="10">
        <v>153.93</v>
      </c>
      <c r="E430" s="11">
        <v>2250.1799999999998</v>
      </c>
      <c r="F430" s="11">
        <v>2343.94</v>
      </c>
      <c r="G430" s="11">
        <v>1921.2</v>
      </c>
      <c r="H430" s="14">
        <v>1713.63</v>
      </c>
      <c r="I430" s="14">
        <v>2536.39</v>
      </c>
      <c r="J430" s="14">
        <v>2010.03</v>
      </c>
      <c r="K430" s="14">
        <v>2470.63</v>
      </c>
      <c r="L430" s="14">
        <v>12758.88</v>
      </c>
      <c r="M430" s="14">
        <v>2140.4499999999998</v>
      </c>
      <c r="N430" s="14">
        <v>2316.0700000000002</v>
      </c>
      <c r="P430" s="14">
        <f>+P429*(1+'SImple Return'!B429)</f>
        <v>158.14156356353882</v>
      </c>
      <c r="Q430" s="14">
        <f>+Q429*(1+'SImple Return'!C429)</f>
        <v>159.98973976308193</v>
      </c>
      <c r="R430" s="14">
        <f>+R429*(1+'SImple Return'!D429)</f>
        <v>177.58421781264411</v>
      </c>
      <c r="S430" s="14">
        <f>+S429*(1+'SImple Return'!E429)</f>
        <v>224.53524921418918</v>
      </c>
      <c r="T430" s="14">
        <f>+T429*(1+'SImple Return'!F429)</f>
        <v>230.11388179854706</v>
      </c>
      <c r="U430" s="14">
        <f>+U429*(1+'SImple Return'!G429)</f>
        <v>188.25327767652422</v>
      </c>
      <c r="V430" s="14">
        <f>+V429*(1+'SImple Return'!H429)</f>
        <v>170.74320217610108</v>
      </c>
      <c r="W430" s="14">
        <f>+W429*(1+'SImple Return'!I429)</f>
        <v>252.90305211833544</v>
      </c>
      <c r="X430" s="14">
        <f>+X429*(1+'SImple Return'!J429)</f>
        <v>202.47907243807376</v>
      </c>
      <c r="Y430" s="14">
        <f>+Y429*(1+'SImple Return'!K429)</f>
        <v>239.98348712967439</v>
      </c>
      <c r="Z430" s="14">
        <f>+Z429*(1+'SImple Return'!L429)</f>
        <v>1242.6471877282695</v>
      </c>
      <c r="AA430" s="14">
        <f>+AA429*(1+'SImple Return'!M429)</f>
        <v>211.7580134546894</v>
      </c>
      <c r="AB430" s="14">
        <f>+AB429*(1+'SImple Return'!N429)</f>
        <v>226.45514544121241</v>
      </c>
    </row>
    <row r="431" spans="1:28">
      <c r="A431" s="8">
        <v>40627</v>
      </c>
      <c r="B431" s="10">
        <v>1325.85</v>
      </c>
      <c r="C431" s="10">
        <v>340.81</v>
      </c>
      <c r="D431" s="10">
        <v>156.72</v>
      </c>
      <c r="E431" s="11">
        <v>2298.48</v>
      </c>
      <c r="F431" s="11">
        <v>2387.73</v>
      </c>
      <c r="G431" s="11">
        <v>2009.67</v>
      </c>
      <c r="H431" s="14">
        <v>1746.73</v>
      </c>
      <c r="I431" s="14">
        <v>2603.6799999999998</v>
      </c>
      <c r="J431" s="14">
        <v>2047.44</v>
      </c>
      <c r="K431" s="14">
        <v>2579.29</v>
      </c>
      <c r="L431" s="14">
        <v>12682.19</v>
      </c>
      <c r="M431" s="14">
        <v>2213.4499999999998</v>
      </c>
      <c r="N431" s="14">
        <v>2383.9499999999998</v>
      </c>
      <c r="P431" s="14">
        <f>+P430*(1+'SImple Return'!B430)</f>
        <v>162.89884630978838</v>
      </c>
      <c r="Q431" s="14">
        <f>+Q430*(1+'SImple Return'!C430)</f>
        <v>158.94506109504721</v>
      </c>
      <c r="R431" s="14">
        <f>+R430*(1+'SImple Return'!D430)</f>
        <v>180.80295339178576</v>
      </c>
      <c r="S431" s="14">
        <f>+S430*(1+'SImple Return'!E430)</f>
        <v>229.35488699296482</v>
      </c>
      <c r="T431" s="14">
        <f>+T430*(1+'SImple Return'!F430)</f>
        <v>234.41291969369726</v>
      </c>
      <c r="U431" s="14">
        <f>+U430*(1+'SImple Return'!G430)</f>
        <v>196.92221764947973</v>
      </c>
      <c r="V431" s="14">
        <f>+V430*(1+'SImple Return'!H430)</f>
        <v>174.04123033388831</v>
      </c>
      <c r="W431" s="14">
        <f>+W430*(1+'SImple Return'!I430)</f>
        <v>259.61252754484428</v>
      </c>
      <c r="X431" s="14">
        <f>+X430*(1+'SImple Return'!J430)</f>
        <v>206.2475446001352</v>
      </c>
      <c r="Y431" s="14">
        <f>+Y430*(1+'SImple Return'!K430)</f>
        <v>250.5381253035452</v>
      </c>
      <c r="Z431" s="14">
        <f>+Z430*(1+'SImple Return'!L430)</f>
        <v>1235.1779887996113</v>
      </c>
      <c r="AA431" s="14">
        <f>+AA430*(1+'SImple Return'!M430)</f>
        <v>218.98001582904638</v>
      </c>
      <c r="AB431" s="14">
        <f>+AB430*(1+'SImple Return'!N430)</f>
        <v>233.09215350769978</v>
      </c>
    </row>
    <row r="432" spans="1:28">
      <c r="A432" s="8">
        <v>40634</v>
      </c>
      <c r="B432" s="10">
        <v>1341.45</v>
      </c>
      <c r="C432" s="10">
        <v>339.53</v>
      </c>
      <c r="D432" s="10">
        <v>158.80000000000001</v>
      </c>
      <c r="E432" s="11">
        <v>2344.0100000000002</v>
      </c>
      <c r="F432" s="11">
        <v>2452.64</v>
      </c>
      <c r="G432" s="11">
        <v>2039.03</v>
      </c>
      <c r="H432" s="14">
        <v>1777.36</v>
      </c>
      <c r="I432" s="14">
        <v>2684.44</v>
      </c>
      <c r="J432" s="14">
        <v>2100.79</v>
      </c>
      <c r="K432" s="14">
        <v>2585.83</v>
      </c>
      <c r="L432" s="14">
        <v>13294.95</v>
      </c>
      <c r="M432" s="14">
        <v>2284.94</v>
      </c>
      <c r="N432" s="14">
        <v>2429.8200000000002</v>
      </c>
      <c r="P432" s="14">
        <f>+P431*(1+'SImple Return'!B431)</f>
        <v>164.81552014350464</v>
      </c>
      <c r="Q432" s="14">
        <f>+Q431*(1+'SImple Return'!C431)</f>
        <v>158.34810185617022</v>
      </c>
      <c r="R432" s="14">
        <f>+R431*(1+'SImple Return'!D431)</f>
        <v>183.20258421781253</v>
      </c>
      <c r="S432" s="14">
        <f>+S431*(1+'SImple Return'!E431)</f>
        <v>233.89811904405499</v>
      </c>
      <c r="T432" s="14">
        <f>+T431*(1+'SImple Return'!F431)</f>
        <v>240.78539171411745</v>
      </c>
      <c r="U432" s="14">
        <f>+U431*(1+'SImple Return'!G431)</f>
        <v>199.79912595292691</v>
      </c>
      <c r="V432" s="14">
        <f>+V431*(1+'SImple Return'!H431)</f>
        <v>177.09315185875306</v>
      </c>
      <c r="W432" s="14">
        <f>+W431*(1+'SImple Return'!I431)</f>
        <v>267.66509457478713</v>
      </c>
      <c r="X432" s="14">
        <f>+X431*(1+'SImple Return'!J431)</f>
        <v>211.62172235597527</v>
      </c>
      <c r="Y432" s="14">
        <f>+Y431*(1+'SImple Return'!K431)</f>
        <v>251.17338513841648</v>
      </c>
      <c r="Z432" s="14">
        <f>+Z431*(1+'SImple Return'!L431)</f>
        <v>1294.8575602629667</v>
      </c>
      <c r="AA432" s="14">
        <f>+AA431*(1+'SImple Return'!M431)</f>
        <v>226.05263157894748</v>
      </c>
      <c r="AB432" s="14">
        <f>+AB431*(1+'SImple Return'!N431)</f>
        <v>237.5771205084331</v>
      </c>
    </row>
    <row r="433" spans="1:28">
      <c r="A433" s="8">
        <v>40641</v>
      </c>
      <c r="B433" s="10">
        <v>1351.43</v>
      </c>
      <c r="C433" s="10">
        <v>338.03</v>
      </c>
      <c r="D433" s="10">
        <v>159.18</v>
      </c>
      <c r="E433" s="11">
        <v>2383.65</v>
      </c>
      <c r="F433" s="11">
        <v>2427.69</v>
      </c>
      <c r="G433" s="11">
        <v>2064.75</v>
      </c>
      <c r="H433" s="14">
        <v>1781.14</v>
      </c>
      <c r="I433" s="14">
        <v>2670.19</v>
      </c>
      <c r="J433" s="14">
        <v>2103.19</v>
      </c>
      <c r="K433" s="14">
        <v>2675.68</v>
      </c>
      <c r="L433" s="14">
        <v>13051.2</v>
      </c>
      <c r="M433" s="14">
        <v>2317.65</v>
      </c>
      <c r="N433" s="14">
        <v>2431.81</v>
      </c>
      <c r="P433" s="14">
        <f>+P432*(1+'SImple Return'!B432)</f>
        <v>166.0416999422539</v>
      </c>
      <c r="Q433" s="14">
        <f>+Q432*(1+'SImple Return'!C432)</f>
        <v>157.64854024811126</v>
      </c>
      <c r="R433" s="14">
        <f>+R432*(1+'SImple Return'!D432)</f>
        <v>183.64097831102893</v>
      </c>
      <c r="S433" s="14">
        <f>+S432*(1+'SImple Return'!E432)</f>
        <v>237.85361472833381</v>
      </c>
      <c r="T433" s="14">
        <f>+T432*(1+'SImple Return'!F432)</f>
        <v>238.33595130571379</v>
      </c>
      <c r="U433" s="14">
        <f>+U432*(1+'SImple Return'!G432)</f>
        <v>202.31936033864432</v>
      </c>
      <c r="V433" s="14">
        <f>+V432*(1+'SImple Return'!H432)</f>
        <v>177.46978468160611</v>
      </c>
      <c r="W433" s="14">
        <f>+W432*(1+'SImple Return'!I432)</f>
        <v>266.24422929275784</v>
      </c>
      <c r="X433" s="14">
        <f>+X432*(1+'SImple Return'!J432)</f>
        <v>211.86348480422302</v>
      </c>
      <c r="Y433" s="14">
        <f>+Y432*(1+'SImple Return'!K432)</f>
        <v>259.90092277804735</v>
      </c>
      <c r="Z433" s="14">
        <f>+Z432*(1+'SImple Return'!L432)</f>
        <v>1271.1176040905782</v>
      </c>
      <c r="AA433" s="14">
        <f>+AA432*(1+'SImple Return'!M432)</f>
        <v>229.28868223189565</v>
      </c>
      <c r="AB433" s="14">
        <f>+AB432*(1+'SImple Return'!N432)</f>
        <v>237.77169396235632</v>
      </c>
    </row>
    <row r="434" spans="1:28">
      <c r="A434" s="8">
        <v>40648</v>
      </c>
      <c r="B434" s="10">
        <v>1338.04</v>
      </c>
      <c r="C434" s="10">
        <v>341.6</v>
      </c>
      <c r="D434" s="10">
        <v>159.79</v>
      </c>
      <c r="E434" s="11">
        <v>2387.81</v>
      </c>
      <c r="F434" s="11">
        <v>2429.5100000000002</v>
      </c>
      <c r="G434" s="11">
        <v>2066.73</v>
      </c>
      <c r="H434" s="14">
        <v>1783.01</v>
      </c>
      <c r="I434" s="14">
        <v>2659.47</v>
      </c>
      <c r="J434" s="14">
        <v>2124.61</v>
      </c>
      <c r="K434" s="14">
        <v>2711.76</v>
      </c>
      <c r="L434" s="14">
        <v>13054.96</v>
      </c>
      <c r="M434" s="14">
        <v>2292.06</v>
      </c>
      <c r="N434" s="14">
        <v>2433.6799999999998</v>
      </c>
      <c r="P434" s="14">
        <f>+P433*(1+'SImple Return'!B433)</f>
        <v>164.39655490164742</v>
      </c>
      <c r="Q434" s="14">
        <f>+Q433*(1+'SImple Return'!C433)</f>
        <v>159.31349687529158</v>
      </c>
      <c r="R434" s="14">
        <f>+R433*(1+'SImple Return'!D433)</f>
        <v>184.34471619750789</v>
      </c>
      <c r="S434" s="14">
        <f>+S433*(1+'SImple Return'!E433)</f>
        <v>238.26872224716828</v>
      </c>
      <c r="T434" s="14">
        <f>+T433*(1+'SImple Return'!F433)</f>
        <v>238.51462792067551</v>
      </c>
      <c r="U434" s="14">
        <f>+U433*(1+'SImple Return'!G433)</f>
        <v>202.51337527191492</v>
      </c>
      <c r="V434" s="14">
        <f>+V433*(1+'SImple Return'!H433)</f>
        <v>177.65610832677413</v>
      </c>
      <c r="W434" s="14">
        <f>+W433*(1+'SImple Return'!I433)</f>
        <v>265.17533976129437</v>
      </c>
      <c r="X434" s="14">
        <f>+X433*(1+'SImple Return'!J433)</f>
        <v>214.02121465483395</v>
      </c>
      <c r="Y434" s="14">
        <f>+Y433*(1+'SImple Return'!K433)</f>
        <v>263.40553666828538</v>
      </c>
      <c r="Z434" s="14">
        <f>+Z433*(1+'SImple Return'!L433)</f>
        <v>1271.4838081324579</v>
      </c>
      <c r="AA434" s="14">
        <f>+AA433*(1+'SImple Return'!M433)</f>
        <v>226.75702413929571</v>
      </c>
      <c r="AB434" s="14">
        <f>+AB433*(1+'SImple Return'!N433)</f>
        <v>237.95453434368119</v>
      </c>
    </row>
    <row r="435" spans="1:28">
      <c r="A435" s="8">
        <v>40655</v>
      </c>
      <c r="B435" s="10">
        <v>1361.03</v>
      </c>
      <c r="C435" s="10">
        <v>343.39</v>
      </c>
      <c r="D435" s="10">
        <v>161.96</v>
      </c>
      <c r="E435" s="11">
        <v>2429.89</v>
      </c>
      <c r="F435" s="11">
        <v>2458.92</v>
      </c>
      <c r="G435" s="11">
        <v>2117.37</v>
      </c>
      <c r="H435" s="14">
        <v>1805.43</v>
      </c>
      <c r="I435" s="14">
        <v>2741.27</v>
      </c>
      <c r="J435" s="14">
        <v>2143.9299999999998</v>
      </c>
      <c r="K435" s="14">
        <v>2805.24</v>
      </c>
      <c r="L435" s="14">
        <v>13187.09</v>
      </c>
      <c r="M435" s="14">
        <v>2340.83</v>
      </c>
      <c r="N435" s="14">
        <v>2470.9699999999998</v>
      </c>
      <c r="P435" s="14">
        <f>+P434*(1+'SImple Return'!B434)</f>
        <v>167.22119153223309</v>
      </c>
      <c r="Q435" s="14">
        <f>+Q434*(1+'SImple Return'!C434)</f>
        <v>160.14830706090856</v>
      </c>
      <c r="R435" s="14">
        <f>+R434*(1+'SImple Return'!D434)</f>
        <v>186.84817720350699</v>
      </c>
      <c r="S435" s="14">
        <f>+S434*(1+'SImple Return'!E434)</f>
        <v>242.46769445691731</v>
      </c>
      <c r="T435" s="14">
        <f>+T434*(1+'SImple Return'!F434)</f>
        <v>241.40192420969962</v>
      </c>
      <c r="U435" s="14">
        <f>+U434*(1+'SImple Return'!G434)</f>
        <v>207.47545417132113</v>
      </c>
      <c r="V435" s="14">
        <f>+V434*(1+'SImple Return'!H434)</f>
        <v>179.88999930253215</v>
      </c>
      <c r="W435" s="14">
        <f>+W434*(1+'SImple Return'!I434)</f>
        <v>273.33160502936425</v>
      </c>
      <c r="X435" s="14">
        <f>+X434*(1+'SImple Return'!J434)</f>
        <v>215.96740236322813</v>
      </c>
      <c r="Y435" s="14">
        <f>+Y434*(1+'SImple Return'!K434)</f>
        <v>272.48567265662922</v>
      </c>
      <c r="Z435" s="14">
        <f>+Z434*(1+'SImple Return'!L434)</f>
        <v>1284.3525687850022</v>
      </c>
      <c r="AA435" s="14">
        <f>+AA434*(1+'SImple Return'!M434)</f>
        <v>231.58191531460238</v>
      </c>
      <c r="AB435" s="14">
        <f>+AB434*(1+'SImple Return'!N434)</f>
        <v>241.60058665362985</v>
      </c>
    </row>
    <row r="436" spans="1:28">
      <c r="A436" s="8">
        <v>40662</v>
      </c>
      <c r="B436" s="10">
        <v>1388.62</v>
      </c>
      <c r="C436" s="10">
        <v>345.96</v>
      </c>
      <c r="D436" s="10">
        <v>164.88</v>
      </c>
      <c r="E436" s="11">
        <v>2502.5700000000002</v>
      </c>
      <c r="F436" s="11">
        <v>2510.06</v>
      </c>
      <c r="G436" s="11">
        <v>2092.91</v>
      </c>
      <c r="H436" s="14">
        <v>1859.92</v>
      </c>
      <c r="I436" s="14">
        <v>2776.67</v>
      </c>
      <c r="J436" s="14">
        <v>2203.61</v>
      </c>
      <c r="K436" s="14">
        <v>2739.63</v>
      </c>
      <c r="L436" s="14">
        <v>13329.35</v>
      </c>
      <c r="M436" s="14">
        <v>2382.88</v>
      </c>
      <c r="N436" s="14">
        <v>2516.14</v>
      </c>
      <c r="P436" s="14">
        <f>+P435*(1+'SImple Return'!B435)</f>
        <v>170.6110012163505</v>
      </c>
      <c r="Q436" s="14">
        <f>+Q435*(1+'SImple Return'!C435)</f>
        <v>161.34688928271621</v>
      </c>
      <c r="R436" s="14">
        <f>+R435*(1+'SImple Return'!D435)</f>
        <v>190.21688970927531</v>
      </c>
      <c r="S436" s="14">
        <f>+S435*(1+'SImple Return'!E435)</f>
        <v>249.7201017811702</v>
      </c>
      <c r="T436" s="14">
        <f>+T435*(1+'SImple Return'!F435)</f>
        <v>246.42254074219517</v>
      </c>
      <c r="U436" s="14">
        <f>+U435*(1+'SImple Return'!G435)</f>
        <v>205.07868383404872</v>
      </c>
      <c r="V436" s="14">
        <f>+V435*(1+'SImple Return'!H435)</f>
        <v>185.31929097376556</v>
      </c>
      <c r="W436" s="14">
        <f>+W435*(1+'SImple Return'!I435)</f>
        <v>276.86133351945807</v>
      </c>
      <c r="X436" s="14">
        <f>+X435*(1+'SImple Return'!J435)</f>
        <v>221.97922857632162</v>
      </c>
      <c r="Y436" s="14">
        <f>+Y435*(1+'SImple Return'!K435)</f>
        <v>266.11267605633782</v>
      </c>
      <c r="Z436" s="14">
        <f>+Z435*(1+'SImple Return'!L435)</f>
        <v>1298.207937667398</v>
      </c>
      <c r="AA436" s="14">
        <f>+AA435*(1+'SImple Return'!M435)</f>
        <v>235.74198654531077</v>
      </c>
      <c r="AB436" s="14">
        <f>+AB435*(1+'SImple Return'!N435)</f>
        <v>246.01711073087259</v>
      </c>
    </row>
    <row r="437" spans="1:28">
      <c r="A437" s="8">
        <v>40669</v>
      </c>
      <c r="B437" s="10">
        <v>1359.27</v>
      </c>
      <c r="C437" s="10">
        <v>347.77</v>
      </c>
      <c r="D437" s="10">
        <v>162.19999999999999</v>
      </c>
      <c r="E437" s="11">
        <v>2450.36</v>
      </c>
      <c r="F437" s="11">
        <v>2487.9499999999998</v>
      </c>
      <c r="G437" s="11">
        <v>2084.1999999999998</v>
      </c>
      <c r="H437" s="14">
        <v>1846.92</v>
      </c>
      <c r="I437" s="14">
        <v>2733.65</v>
      </c>
      <c r="J437" s="14">
        <v>2174.2199999999998</v>
      </c>
      <c r="K437" s="14">
        <v>2657.21</v>
      </c>
      <c r="L437" s="14">
        <v>13242.35</v>
      </c>
      <c r="M437" s="14">
        <v>2339.21</v>
      </c>
      <c r="N437" s="14">
        <v>2481.06</v>
      </c>
      <c r="P437" s="14">
        <f>+P436*(1+'SImple Return'!B436)</f>
        <v>167.00495140740358</v>
      </c>
      <c r="Q437" s="14">
        <f>+Q436*(1+'SImple Return'!C436)</f>
        <v>162.19102695644068</v>
      </c>
      <c r="R437" s="14">
        <f>+R436*(1+'SImple Return'!D436)</f>
        <v>187.12505768343311</v>
      </c>
      <c r="S437" s="14">
        <f>+S436*(1+'SImple Return'!E436)</f>
        <v>244.51030284887463</v>
      </c>
      <c r="T437" s="14">
        <f>+T436*(1+'SImple Return'!F436)</f>
        <v>244.25191439230312</v>
      </c>
      <c r="U437" s="14">
        <f>+U436*(1+'SImple Return'!G436)</f>
        <v>204.22521410233804</v>
      </c>
      <c r="V437" s="14">
        <f>+V436*(1+'SImple Return'!H436)</f>
        <v>184.02399290575244</v>
      </c>
      <c r="W437" s="14">
        <f>+W436*(1+'SImple Return'!I436)</f>
        <v>272.57181601539492</v>
      </c>
      <c r="X437" s="14">
        <f>+X436*(1+'SImple Return'!J436)</f>
        <v>219.01864592882131</v>
      </c>
      <c r="Y437" s="14">
        <f>+Y436*(1+'SImple Return'!K436)</f>
        <v>258.10684798445828</v>
      </c>
      <c r="Z437" s="14">
        <f>+Z436*(1+'SImple Return'!L436)</f>
        <v>1289.7345994643301</v>
      </c>
      <c r="AA437" s="14">
        <f>+AA436*(1+'SImple Return'!M436)</f>
        <v>231.42164622081532</v>
      </c>
      <c r="AB437" s="14">
        <f>+AB436*(1+'SImple Return'!N436)</f>
        <v>242.58714250794421</v>
      </c>
    </row>
    <row r="438" spans="1:28">
      <c r="A438" s="8">
        <v>40676</v>
      </c>
      <c r="B438" s="10">
        <v>1343.17</v>
      </c>
      <c r="C438" s="10">
        <v>346.87</v>
      </c>
      <c r="D438" s="10">
        <v>160.59</v>
      </c>
      <c r="E438" s="11">
        <v>2410.5100000000002</v>
      </c>
      <c r="F438" s="11">
        <v>2491.87</v>
      </c>
      <c r="G438" s="11">
        <v>2076.17</v>
      </c>
      <c r="H438" s="14">
        <v>1852.15</v>
      </c>
      <c r="I438" s="14">
        <v>2701.61</v>
      </c>
      <c r="J438" s="14">
        <v>2160.16</v>
      </c>
      <c r="K438" s="14">
        <v>2690.74</v>
      </c>
      <c r="L438" s="14">
        <v>13301.22</v>
      </c>
      <c r="M438" s="14">
        <v>2292.4</v>
      </c>
      <c r="N438" s="14">
        <v>2462.4699999999998</v>
      </c>
      <c r="P438" s="14">
        <f>+P437*(1+'SImple Return'!B437)</f>
        <v>165.02684572004259</v>
      </c>
      <c r="Q438" s="14">
        <f>+Q437*(1+'SImple Return'!C437)</f>
        <v>161.77128999160533</v>
      </c>
      <c r="R438" s="14">
        <f>+R437*(1+'SImple Return'!D437)</f>
        <v>185.26765113059511</v>
      </c>
      <c r="S438" s="14">
        <f>+S437*(1+'SImple Return'!E437)</f>
        <v>240.53385221773161</v>
      </c>
      <c r="T438" s="14">
        <f>+T437*(1+'SImple Return'!F437)</f>
        <v>244.63675633222067</v>
      </c>
      <c r="U438" s="14">
        <f>+U437*(1+'SImple Return'!G437)</f>
        <v>203.43837576185166</v>
      </c>
      <c r="V438" s="14">
        <f>+V437*(1+'SImple Return'!H437)</f>
        <v>184.5451012823454</v>
      </c>
      <c r="W438" s="14">
        <f>+W437*(1+'SImple Return'!I437)</f>
        <v>269.37711260232697</v>
      </c>
      <c r="X438" s="14">
        <f>+X437*(1+'SImple Return'!J437)</f>
        <v>217.6023209195034</v>
      </c>
      <c r="Y438" s="14">
        <f>+Y437*(1+'SImple Return'!K437)</f>
        <v>261.36376881981522</v>
      </c>
      <c r="Z438" s="14">
        <f>+Z437*(1+'SImple Return'!L437)</f>
        <v>1295.4682249817392</v>
      </c>
      <c r="AA438" s="14">
        <f>+AA437*(1+'SImple Return'!M437)</f>
        <v>226.79066086268315</v>
      </c>
      <c r="AB438" s="14">
        <f>+AB437*(1+'SImple Return'!N437)</f>
        <v>240.76949401124412</v>
      </c>
    </row>
    <row r="439" spans="1:28">
      <c r="A439" s="8">
        <v>40683</v>
      </c>
      <c r="B439" s="10">
        <v>1336.65</v>
      </c>
      <c r="C439" s="10">
        <v>346.82</v>
      </c>
      <c r="D439" s="10">
        <v>161.4</v>
      </c>
      <c r="E439" s="11">
        <v>2414.11</v>
      </c>
      <c r="F439" s="11">
        <v>2517.9299999999998</v>
      </c>
      <c r="G439" s="11">
        <v>2086.5</v>
      </c>
      <c r="H439" s="14">
        <v>1864.27</v>
      </c>
      <c r="I439" s="14">
        <v>2694.7</v>
      </c>
      <c r="J439" s="14">
        <v>2176.0100000000002</v>
      </c>
      <c r="K439" s="14">
        <v>2702.14</v>
      </c>
      <c r="L439" s="14">
        <v>13391.74</v>
      </c>
      <c r="M439" s="14">
        <v>2290.9499999999998</v>
      </c>
      <c r="N439" s="14">
        <v>2491.39</v>
      </c>
      <c r="P439" s="14">
        <f>+P438*(1+'SImple Return'!B438)</f>
        <v>164.22577434851505</v>
      </c>
      <c r="Q439" s="14">
        <f>+Q438*(1+'SImple Return'!C438)</f>
        <v>161.7479712713367</v>
      </c>
      <c r="R439" s="14">
        <f>+R438*(1+'SImple Return'!D438)</f>
        <v>186.20212275034595</v>
      </c>
      <c r="S439" s="14">
        <f>+S438*(1+'SImple Return'!E438)</f>
        <v>240.89307987826149</v>
      </c>
      <c r="T439" s="14">
        <f>+T438*(1+'SImple Return'!F438)</f>
        <v>247.19516984095819</v>
      </c>
      <c r="U439" s="14">
        <f>+U438*(1+'SImple Return'!G438)</f>
        <v>204.45058498442009</v>
      </c>
      <c r="V439" s="14">
        <f>+V438*(1+'SImple Return'!H438)</f>
        <v>185.75271763498529</v>
      </c>
      <c r="W439" s="14">
        <f>+W438*(1+'SImple Return'!I438)</f>
        <v>268.68811757784817</v>
      </c>
      <c r="X439" s="14">
        <f>+X438*(1+'SImple Return'!J438)</f>
        <v>219.19896042147278</v>
      </c>
      <c r="Y439" s="14">
        <f>+Y438*(1+'SImple Return'!K438)</f>
        <v>262.47110247693035</v>
      </c>
      <c r="Z439" s="14">
        <f>+Z438*(1+'SImple Return'!L438)</f>
        <v>1304.2843925006096</v>
      </c>
      <c r="AA439" s="14">
        <f>+AA438*(1+'SImple Return'!M438)</f>
        <v>226.64721013058974</v>
      </c>
      <c r="AB439" s="14">
        <f>+AB438*(1+'SImple Return'!N438)</f>
        <v>243.59716450745535</v>
      </c>
    </row>
    <row r="440" spans="1:28">
      <c r="A440" s="8">
        <v>40690</v>
      </c>
      <c r="B440" s="10">
        <v>1338.47</v>
      </c>
      <c r="C440" s="10">
        <v>346.63</v>
      </c>
      <c r="D440" s="10">
        <v>162</v>
      </c>
      <c r="E440" s="11">
        <v>2424.44</v>
      </c>
      <c r="F440" s="11">
        <v>2522.83</v>
      </c>
      <c r="G440" s="11">
        <v>2075.83</v>
      </c>
      <c r="H440" s="14">
        <v>1849.33</v>
      </c>
      <c r="I440" s="14">
        <v>2736.22</v>
      </c>
      <c r="J440" s="14">
        <v>2207.77</v>
      </c>
      <c r="K440" s="14">
        <v>2641.12</v>
      </c>
      <c r="L440" s="14">
        <v>13571.83</v>
      </c>
      <c r="M440" s="14">
        <v>2288.0700000000002</v>
      </c>
      <c r="N440" s="14">
        <v>2495.21</v>
      </c>
      <c r="P440" s="14">
        <f>+P439*(1+'SImple Return'!B439)</f>
        <v>164.44938629578192</v>
      </c>
      <c r="Q440" s="14">
        <f>+Q439*(1+'SImple Return'!C439)</f>
        <v>161.6593601343159</v>
      </c>
      <c r="R440" s="14">
        <f>+R439*(1+'SImple Return'!D439)</f>
        <v>186.89432395016135</v>
      </c>
      <c r="S440" s="14">
        <f>+S439*(1+'SImple Return'!E439)</f>
        <v>241.92386369305967</v>
      </c>
      <c r="T440" s="14">
        <f>+T439*(1+'SImple Return'!F439)</f>
        <v>247.67622226585513</v>
      </c>
      <c r="U440" s="14">
        <f>+U439*(1+'SImple Return'!G439)</f>
        <v>203.40506006623951</v>
      </c>
      <c r="V440" s="14">
        <f>+V439*(1+'SImple Return'!H439)</f>
        <v>184.26412123989942</v>
      </c>
      <c r="W440" s="14">
        <f>+W439*(1+'SImple Return'!I439)</f>
        <v>272.82807031538192</v>
      </c>
      <c r="X440" s="14">
        <f>+X439*(1+'SImple Return'!J439)</f>
        <v>222.39828348661766</v>
      </c>
      <c r="Y440" s="14">
        <f>+Y439*(1+'SImple Return'!K439)</f>
        <v>256.54395337542479</v>
      </c>
      <c r="Z440" s="14">
        <f>+Z439*(1+'SImple Return'!L439)</f>
        <v>1321.82420258096</v>
      </c>
      <c r="AA440" s="14">
        <f>+AA439*(1+'SImple Return'!M439)</f>
        <v>226.36228729719051</v>
      </c>
      <c r="AB440" s="14">
        <f>+AB439*(1+'SImple Return'!N439)</f>
        <v>243.97066731850401</v>
      </c>
    </row>
    <row r="441" spans="1:28">
      <c r="A441" s="8">
        <v>40697</v>
      </c>
      <c r="B441" s="10">
        <v>1320.11</v>
      </c>
      <c r="C441" s="10">
        <v>349.99</v>
      </c>
      <c r="D441" s="10">
        <v>160.75</v>
      </c>
      <c r="E441" s="11">
        <v>2419.31</v>
      </c>
      <c r="F441" s="11">
        <v>2471.5100000000002</v>
      </c>
      <c r="G441" s="11">
        <v>2048.3200000000002</v>
      </c>
      <c r="H441" s="14">
        <v>1804.02</v>
      </c>
      <c r="I441" s="14">
        <v>2754</v>
      </c>
      <c r="J441" s="14">
        <v>2157.52</v>
      </c>
      <c r="K441" s="14">
        <v>2569.9299999999998</v>
      </c>
      <c r="L441" s="14">
        <v>13090.53</v>
      </c>
      <c r="M441" s="14">
        <v>2322.8000000000002</v>
      </c>
      <c r="N441" s="14">
        <v>2474.89</v>
      </c>
      <c r="P441" s="14">
        <f>+P440*(1+'SImple Return'!B440)</f>
        <v>162.19360862994662</v>
      </c>
      <c r="Q441" s="14">
        <f>+Q440*(1+'SImple Return'!C440)</f>
        <v>163.22637813636794</v>
      </c>
      <c r="R441" s="14">
        <f>+R440*(1+'SImple Return'!D440)</f>
        <v>185.45223811721257</v>
      </c>
      <c r="S441" s="14">
        <f>+S440*(1+'SImple Return'!E440)</f>
        <v>241.41196427680461</v>
      </c>
      <c r="T441" s="14">
        <f>+T440*(1+'SImple Return'!F440)</f>
        <v>242.63793441979192</v>
      </c>
      <c r="U441" s="14">
        <f>+U440*(1+'SImple Return'!G440)</f>
        <v>200.70942834185831</v>
      </c>
      <c r="V441" s="14">
        <f>+V440*(1+'SImple Return'!H440)</f>
        <v>179.74950928130912</v>
      </c>
      <c r="W441" s="14">
        <f>+W440*(1+'SImple Return'!I440)</f>
        <v>274.6009113479771</v>
      </c>
      <c r="X441" s="14">
        <f>+X440*(1+'SImple Return'!J440)</f>
        <v>217.33638222643091</v>
      </c>
      <c r="Y441" s="14">
        <f>+Y440*(1+'SImple Return'!K440)</f>
        <v>249.62894609033495</v>
      </c>
      <c r="Z441" s="14">
        <f>+Z440*(1+'SImple Return'!L440)</f>
        <v>1274.9481373265164</v>
      </c>
      <c r="AA441" s="14">
        <f>+AA440*(1+'SImple Return'!M440)</f>
        <v>229.79817965967567</v>
      </c>
      <c r="AB441" s="14">
        <f>+AB440*(1+'SImple Return'!N440)</f>
        <v>241.98386702517718</v>
      </c>
    </row>
    <row r="442" spans="1:28">
      <c r="A442" s="8">
        <v>40704</v>
      </c>
      <c r="B442" s="10">
        <v>1288.49</v>
      </c>
      <c r="C442" s="10">
        <v>350.31</v>
      </c>
      <c r="D442" s="10">
        <v>156.56</v>
      </c>
      <c r="E442" s="11">
        <v>2367.42</v>
      </c>
      <c r="F442" s="11">
        <v>2424.96</v>
      </c>
      <c r="G442" s="11">
        <v>2030.59</v>
      </c>
      <c r="H442" s="14">
        <v>1779.18</v>
      </c>
      <c r="I442" s="14">
        <v>2718.58</v>
      </c>
      <c r="J442" s="14">
        <v>2114.5</v>
      </c>
      <c r="K442" s="14">
        <v>2462.54</v>
      </c>
      <c r="L442" s="14">
        <v>12884.93</v>
      </c>
      <c r="M442" s="14">
        <v>2253.2399999999998</v>
      </c>
      <c r="N442" s="14">
        <v>2425.11</v>
      </c>
      <c r="P442" s="14">
        <f>+P441*(1+'SImple Return'!B441)</f>
        <v>158.30865820545253</v>
      </c>
      <c r="Q442" s="14">
        <f>+Q441*(1+'SImple Return'!C441)</f>
        <v>163.37561794608717</v>
      </c>
      <c r="R442" s="14">
        <f>+R441*(1+'SImple Return'!D441)</f>
        <v>180.61836640516827</v>
      </c>
      <c r="S442" s="14">
        <f>+S441*(1+'SImple Return'!E441)</f>
        <v>236.23409669211173</v>
      </c>
      <c r="T442" s="14">
        <f>+T441*(1+'SImple Return'!F441)</f>
        <v>238.06793638327119</v>
      </c>
      <c r="U442" s="14">
        <f>+U441*(1+'SImple Return'!G441)</f>
        <v>198.97211280302591</v>
      </c>
      <c r="V442" s="14">
        <f>+V441*(1+'SImple Return'!H441)</f>
        <v>177.27449358827485</v>
      </c>
      <c r="W442" s="14">
        <f>+W441*(1+'SImple Return'!I441)</f>
        <v>271.06918866099619</v>
      </c>
      <c r="X442" s="14">
        <f>+X441*(1+'SImple Return'!J441)</f>
        <v>213.00279034159041</v>
      </c>
      <c r="Y442" s="14">
        <f>+Y441*(1+'SImple Return'!K441)</f>
        <v>239.19766877124803</v>
      </c>
      <c r="Z442" s="14">
        <f>+Z441*(1+'SImple Return'!L441)</f>
        <v>1254.9237886535191</v>
      </c>
      <c r="AA442" s="14">
        <f>+AA441*(1+'SImple Return'!M441)</f>
        <v>222.91650178076785</v>
      </c>
      <c r="AB442" s="14">
        <f>+AB441*(1+'SImple Return'!N441)</f>
        <v>237.11659740894646</v>
      </c>
    </row>
    <row r="443" spans="1:28">
      <c r="A443" s="8">
        <v>40711</v>
      </c>
      <c r="B443" s="10">
        <v>1280.58</v>
      </c>
      <c r="C443" s="10">
        <v>350.19</v>
      </c>
      <c r="D443" s="10">
        <v>156.22</v>
      </c>
      <c r="E443" s="11">
        <v>2342.02</v>
      </c>
      <c r="F443" s="11">
        <v>2432.87</v>
      </c>
      <c r="G443" s="11">
        <v>1988.95</v>
      </c>
      <c r="H443" s="14">
        <v>1784.94</v>
      </c>
      <c r="I443" s="14">
        <v>2725.22</v>
      </c>
      <c r="J443" s="14">
        <v>2108.62</v>
      </c>
      <c r="K443" s="14">
        <v>2371.38</v>
      </c>
      <c r="L443" s="14">
        <v>12866.05</v>
      </c>
      <c r="M443" s="14">
        <v>2190.04</v>
      </c>
      <c r="N443" s="14">
        <v>2419.46</v>
      </c>
      <c r="P443" s="14">
        <f>+P442*(1+'SImple Return'!B442)</f>
        <v>157.33680628079256</v>
      </c>
      <c r="Q443" s="14">
        <f>+Q442*(1+'SImple Return'!C442)</f>
        <v>163.31965301744248</v>
      </c>
      <c r="R443" s="14">
        <f>+R442*(1+'SImple Return'!D442)</f>
        <v>180.2261190586062</v>
      </c>
      <c r="S443" s="14">
        <f>+S442*(1+'SImple Return'!E442)</f>
        <v>233.69954597615106</v>
      </c>
      <c r="T443" s="14">
        <f>+T442*(1+'SImple Return'!F442)</f>
        <v>238.84449244060477</v>
      </c>
      <c r="U443" s="14">
        <f>+U442*(1+'SImple Return'!G442)</f>
        <v>194.89191996394072</v>
      </c>
      <c r="V443" s="14">
        <f>+V442*(1+'SImple Return'!H442)</f>
        <v>177.84841027071758</v>
      </c>
      <c r="W443" s="14">
        <f>+W442*(1+'SImple Return'!I442)</f>
        <v>271.73126202749961</v>
      </c>
      <c r="X443" s="14">
        <f>+X442*(1+'SImple Return'!J442)</f>
        <v>212.41047234338347</v>
      </c>
      <c r="Y443" s="14">
        <f>+Y442*(1+'SImple Return'!K442)</f>
        <v>230.34288489558026</v>
      </c>
      <c r="Z443" s="14">
        <f>+Z442*(1+'SImple Return'!L442)</f>
        <v>1253.0849768687613</v>
      </c>
      <c r="AA443" s="14">
        <f>+AA442*(1+'SImple Return'!M442)</f>
        <v>216.66402849228351</v>
      </c>
      <c r="AB443" s="14">
        <f>+AB442*(1+'SImple Return'!N442)</f>
        <v>236.56416524077241</v>
      </c>
    </row>
    <row r="444" spans="1:28">
      <c r="A444" s="8">
        <v>40718</v>
      </c>
      <c r="B444" s="10">
        <v>1275.45</v>
      </c>
      <c r="C444" s="10">
        <v>350.49</v>
      </c>
      <c r="D444" s="10">
        <v>155.94999999999999</v>
      </c>
      <c r="E444" s="11">
        <v>2285.94</v>
      </c>
      <c r="F444" s="11">
        <v>2460.7399999999998</v>
      </c>
      <c r="G444" s="11">
        <v>1975.53</v>
      </c>
      <c r="H444" s="14">
        <v>1756.98</v>
      </c>
      <c r="I444" s="14">
        <v>2705.25</v>
      </c>
      <c r="J444" s="14">
        <v>2066.2199999999998</v>
      </c>
      <c r="K444" s="14">
        <v>2375.0300000000002</v>
      </c>
      <c r="L444" s="14">
        <v>13131.25</v>
      </c>
      <c r="M444" s="14">
        <v>2140.89</v>
      </c>
      <c r="N444" s="14">
        <v>2439.1799999999998</v>
      </c>
      <c r="P444" s="14">
        <f>+P443*(1+'SImple Return'!B443)</f>
        <v>156.70651546239742</v>
      </c>
      <c r="Q444" s="14">
        <f>+Q443*(1+'SImple Return'!C443)</f>
        <v>163.45956533905428</v>
      </c>
      <c r="R444" s="14">
        <f>+R443*(1+'SImple Return'!D443)</f>
        <v>179.91462851868926</v>
      </c>
      <c r="S444" s="14">
        <f>+S443*(1+'SImple Return'!E443)</f>
        <v>228.1035773087859</v>
      </c>
      <c r="T444" s="14">
        <f>+T443*(1+'SImple Return'!F443)</f>
        <v>241.5806008246613</v>
      </c>
      <c r="U444" s="14">
        <f>+U443*(1+'SImple Return'!G443)</f>
        <v>193.57692986066206</v>
      </c>
      <c r="V444" s="14">
        <f>+V443*(1+'SImple Return'!H443)</f>
        <v>175.06252304136015</v>
      </c>
      <c r="W444" s="14">
        <f>+W443*(1+'SImple Return'!I443)</f>
        <v>269.74005643577158</v>
      </c>
      <c r="X444" s="14">
        <f>+X443*(1+'SImple Return'!J443)</f>
        <v>208.13933575767365</v>
      </c>
      <c r="Y444" s="14">
        <f>+Y443*(1+'SImple Return'!K443)</f>
        <v>230.69742593491975</v>
      </c>
      <c r="Z444" s="14">
        <f>+Z443*(1+'SImple Return'!L443)</f>
        <v>1278.91404918432</v>
      </c>
      <c r="AA444" s="14">
        <f>+AA443*(1+'SImple Return'!M443)</f>
        <v>211.8015433320144</v>
      </c>
      <c r="AB444" s="14">
        <f>+AB443*(1+'SImple Return'!N443)</f>
        <v>238.4923001711073</v>
      </c>
    </row>
    <row r="445" spans="1:28">
      <c r="A445" s="8">
        <v>40725</v>
      </c>
      <c r="B445" s="10">
        <v>1343.81</v>
      </c>
      <c r="C445" s="10">
        <v>348.11</v>
      </c>
      <c r="D445" s="10">
        <v>161.52000000000001</v>
      </c>
      <c r="E445" s="11">
        <v>2416.4299999999998</v>
      </c>
      <c r="F445" s="11">
        <v>2554.7199999999998</v>
      </c>
      <c r="G445" s="11">
        <v>2049.63</v>
      </c>
      <c r="H445" s="14">
        <v>1831.82</v>
      </c>
      <c r="I445" s="14">
        <v>2807.75</v>
      </c>
      <c r="J445" s="14">
        <v>2198.5100000000002</v>
      </c>
      <c r="K445" s="14">
        <v>2449.83</v>
      </c>
      <c r="L445" s="14">
        <v>13718.48</v>
      </c>
      <c r="M445" s="14">
        <v>2229.2399999999998</v>
      </c>
      <c r="N445" s="14">
        <v>2536.66</v>
      </c>
      <c r="P445" s="14">
        <f>+P444*(1+'SImple Return'!B444)</f>
        <v>165.10547849270787</v>
      </c>
      <c r="Q445" s="14">
        <f>+Q444*(1+'SImple Return'!C444)</f>
        <v>162.3495942542674</v>
      </c>
      <c r="R445" s="14">
        <f>+R444*(1+'SImple Return'!D444)</f>
        <v>186.34056299030902</v>
      </c>
      <c r="S445" s="14">
        <f>+S444*(1+'SImple Return'!E444)</f>
        <v>241.12458214838071</v>
      </c>
      <c r="T445" s="14">
        <f>+T444*(1+'SImple Return'!F444)</f>
        <v>250.80698998625567</v>
      </c>
      <c r="U445" s="14">
        <f>+U444*(1+'SImple Return'!G444)</f>
        <v>200.83779175730504</v>
      </c>
      <c r="V445" s="14">
        <f>+V444*(1+'SImple Return'!H444)</f>
        <v>182.51945438059872</v>
      </c>
      <c r="W445" s="14">
        <f>+W444*(1+'SImple Return'!I444)</f>
        <v>279.96031548194725</v>
      </c>
      <c r="X445" s="14">
        <f>+X444*(1+'SImple Return'!J444)</f>
        <v>221.46548337379525</v>
      </c>
      <c r="Y445" s="14">
        <f>+Y444*(1+'SImple Return'!K444)</f>
        <v>237.96308887809599</v>
      </c>
      <c r="Z445" s="14">
        <f>+Z444*(1+'SImple Return'!L444)</f>
        <v>1336.1071341611887</v>
      </c>
      <c r="AA445" s="14">
        <f>+AA444*(1+'SImple Return'!M444)</f>
        <v>220.54214483577377</v>
      </c>
      <c r="AB445" s="14">
        <f>+AB444*(1+'SImple Return'!N444)</f>
        <v>248.02346614519678</v>
      </c>
    </row>
    <row r="446" spans="1:28">
      <c r="A446" s="8">
        <v>40732</v>
      </c>
      <c r="B446" s="10">
        <v>1343.13</v>
      </c>
      <c r="C446" s="10">
        <v>349.97</v>
      </c>
      <c r="D446" s="10">
        <v>164.22</v>
      </c>
      <c r="E446" s="11">
        <v>2360.7800000000002</v>
      </c>
      <c r="F446" s="11">
        <v>2539.39</v>
      </c>
      <c r="G446" s="11">
        <v>2086.35</v>
      </c>
      <c r="H446" s="14">
        <v>1817.2</v>
      </c>
      <c r="I446" s="14">
        <v>2812.57</v>
      </c>
      <c r="J446" s="14">
        <v>2205.52</v>
      </c>
      <c r="K446" s="14">
        <v>2449.83</v>
      </c>
      <c r="L446" s="14">
        <v>13588.75</v>
      </c>
      <c r="M446" s="14">
        <v>2134.54</v>
      </c>
      <c r="N446" s="14">
        <v>2520.2399999999998</v>
      </c>
      <c r="P446" s="14">
        <f>+P445*(1+'SImple Return'!B445)</f>
        <v>165.02193117175105</v>
      </c>
      <c r="Q446" s="14">
        <f>+Q445*(1+'SImple Return'!C445)</f>
        <v>163.21705064826048</v>
      </c>
      <c r="R446" s="14">
        <f>+R445*(1+'SImple Return'!D445)</f>
        <v>189.45546838947837</v>
      </c>
      <c r="S446" s="14">
        <f>+S445*(1+'SImple Return'!E445)</f>
        <v>235.57152122935665</v>
      </c>
      <c r="T446" s="14">
        <f>+T445*(1+'SImple Return'!F445)</f>
        <v>249.30198311407818</v>
      </c>
      <c r="U446" s="14">
        <f>+U445*(1+'SImple Return'!G445)</f>
        <v>204.4358868834147</v>
      </c>
      <c r="V446" s="14">
        <f>+V445*(1+'SImple Return'!H445)</f>
        <v>181.06274224564859</v>
      </c>
      <c r="W446" s="14">
        <f>+W445*(1+'SImple Return'!I445)</f>
        <v>280.4409169317284</v>
      </c>
      <c r="X446" s="14">
        <f>+X445*(1+'SImple Return'!J445)</f>
        <v>222.17163119138547</v>
      </c>
      <c r="Y446" s="14">
        <f>+Y445*(1+'SImple Return'!K445)</f>
        <v>237.96308887809599</v>
      </c>
      <c r="Z446" s="14">
        <f>+Z445*(1+'SImple Return'!L445)</f>
        <v>1323.4721207694186</v>
      </c>
      <c r="AA446" s="14">
        <f>+AA445*(1+'SImple Return'!M445)</f>
        <v>211.1733280569847</v>
      </c>
      <c r="AB446" s="14">
        <f>+AB445*(1+'SImple Return'!N445)</f>
        <v>246.41799071131751</v>
      </c>
    </row>
    <row r="447" spans="1:28">
      <c r="A447" s="8">
        <v>40739</v>
      </c>
      <c r="B447" s="10">
        <v>1313.17</v>
      </c>
      <c r="C447" s="10">
        <v>351.46</v>
      </c>
      <c r="D447" s="10">
        <v>160.05000000000001</v>
      </c>
      <c r="E447" s="11">
        <v>2301.2800000000002</v>
      </c>
      <c r="F447" s="11">
        <v>2520.08</v>
      </c>
      <c r="G447" s="11">
        <v>2035.89</v>
      </c>
      <c r="H447" s="14">
        <v>1788.62</v>
      </c>
      <c r="I447" s="14">
        <v>2798.54</v>
      </c>
      <c r="J447" s="14">
        <v>2164.4499999999998</v>
      </c>
      <c r="K447" s="14">
        <v>2326.2399999999998</v>
      </c>
      <c r="L447" s="14">
        <v>13404.48</v>
      </c>
      <c r="M447" s="14">
        <v>2058.46</v>
      </c>
      <c r="N447" s="14">
        <v>2497.2800000000002</v>
      </c>
      <c r="P447" s="14">
        <f>+P446*(1+'SImple Return'!B446)</f>
        <v>161.34093450135751</v>
      </c>
      <c r="Q447" s="14">
        <f>+Q446*(1+'SImple Return'!C446)</f>
        <v>163.9119485122657</v>
      </c>
      <c r="R447" s="14">
        <f>+R446*(1+'SImple Return'!D446)</f>
        <v>184.64467005076125</v>
      </c>
      <c r="S447" s="14">
        <f>+S446*(1+'SImple Return'!E446)</f>
        <v>229.6342862844881</v>
      </c>
      <c r="T447" s="14">
        <f>+T446*(1+'SImple Return'!F446)</f>
        <v>247.40624386412728</v>
      </c>
      <c r="U447" s="14">
        <f>+U446*(1+'SImple Return'!G446)</f>
        <v>199.49144570521494</v>
      </c>
      <c r="V447" s="14">
        <f>+V446*(1+'SImple Return'!H446)</f>
        <v>178.21507926227821</v>
      </c>
      <c r="W447" s="14">
        <f>+W446*(1+'SImple Return'!I446)</f>
        <v>279.04198781545671</v>
      </c>
      <c r="X447" s="14">
        <f>+X446*(1+'SImple Return'!J446)</f>
        <v>218.03447129574624</v>
      </c>
      <c r="Y447" s="14">
        <f>+Y446*(1+'SImple Return'!K446)</f>
        <v>225.9582321515297</v>
      </c>
      <c r="Z447" s="14">
        <f>+Z446*(1+'SImple Return'!L446)</f>
        <v>1305.5252008765526</v>
      </c>
      <c r="AA447" s="14">
        <f>+AA446*(1+'SImple Return'!M446)</f>
        <v>203.64661654135352</v>
      </c>
      <c r="AB447" s="14">
        <f>+AB446*(1+'SImple Return'!N446)</f>
        <v>244.17306282082623</v>
      </c>
    </row>
    <row r="448" spans="1:28">
      <c r="A448" s="8">
        <v>40746</v>
      </c>
      <c r="B448" s="10">
        <v>1348.69</v>
      </c>
      <c r="C448" s="10">
        <v>352.54</v>
      </c>
      <c r="D448" s="10">
        <v>163.88</v>
      </c>
      <c r="E448" s="11">
        <v>2390.6799999999998</v>
      </c>
      <c r="F448" s="11">
        <v>2545.83</v>
      </c>
      <c r="G448" s="11">
        <v>2078.89</v>
      </c>
      <c r="H448" s="14">
        <v>1827.8</v>
      </c>
      <c r="I448" s="14">
        <v>2848.55</v>
      </c>
      <c r="J448" s="14">
        <v>2200.8000000000002</v>
      </c>
      <c r="K448" s="14">
        <v>2354.83</v>
      </c>
      <c r="L448" s="14">
        <v>13543.38</v>
      </c>
      <c r="M448" s="14">
        <v>2162.98</v>
      </c>
      <c r="N448" s="14">
        <v>2539.4</v>
      </c>
      <c r="P448" s="14">
        <f>+P447*(1+'SImple Return'!B447)</f>
        <v>165.70505338428069</v>
      </c>
      <c r="Q448" s="14">
        <f>+Q447*(1+'SImple Return'!C447)</f>
        <v>164.41563287006815</v>
      </c>
      <c r="R448" s="14">
        <f>+R447*(1+'SImple Return'!D447)</f>
        <v>189.0632210429163</v>
      </c>
      <c r="S448" s="14">
        <f>+S447*(1+'SImple Return'!E447)</f>
        <v>238.55510652097959</v>
      </c>
      <c r="T448" s="14">
        <f>+T447*(1+'SImple Return'!F447)</f>
        <v>249.9342234439427</v>
      </c>
      <c r="U448" s="14">
        <f>+U447*(1+'SImple Return'!G447)</f>
        <v>203.70490132674863</v>
      </c>
      <c r="V448" s="14">
        <f>+V447*(1+'SImple Return'!H447)</f>
        <v>182.11890836264391</v>
      </c>
      <c r="W448" s="14">
        <f>+W447*(1+'SImple Return'!I447)</f>
        <v>284.02847713154694</v>
      </c>
      <c r="X448" s="14">
        <f>+X447*(1+'SImple Return'!J447)</f>
        <v>221.69616504316497</v>
      </c>
      <c r="Y448" s="14">
        <f>+Y447*(1+'SImple Return'!K447)</f>
        <v>228.73530840213684</v>
      </c>
      <c r="Z448" s="14">
        <f>+Z447*(1+'SImple Return'!L447)</f>
        <v>1319.0533235938647</v>
      </c>
      <c r="AA448" s="14">
        <f>+AA447*(1+'SImple Return'!M447)</f>
        <v>213.9869410368027</v>
      </c>
      <c r="AB448" s="14">
        <f>+AB447*(1+'SImple Return'!N447)</f>
        <v>248.29137130285997</v>
      </c>
    </row>
    <row r="449" spans="1:28">
      <c r="A449" s="8">
        <v>40753</v>
      </c>
      <c r="B449" s="10">
        <v>1306.05</v>
      </c>
      <c r="C449" s="10">
        <v>355.29</v>
      </c>
      <c r="D449" s="10">
        <v>160.44999999999999</v>
      </c>
      <c r="E449" s="11">
        <v>2349.1799999999998</v>
      </c>
      <c r="F449" s="11">
        <v>2489.59</v>
      </c>
      <c r="G449" s="11">
        <v>2069.64</v>
      </c>
      <c r="H449" s="14">
        <v>1787.86</v>
      </c>
      <c r="I449" s="14">
        <v>2833.3</v>
      </c>
      <c r="J449" s="14">
        <v>2172.54</v>
      </c>
      <c r="K449" s="14">
        <v>2287.92</v>
      </c>
      <c r="L449" s="14">
        <v>13427.56</v>
      </c>
      <c r="M449" s="14">
        <v>2086.9699999999998</v>
      </c>
      <c r="N449" s="14">
        <v>2492.13</v>
      </c>
      <c r="P449" s="14">
        <f>+P448*(1+'SImple Return'!B448)</f>
        <v>160.46614490545625</v>
      </c>
      <c r="Q449" s="14">
        <f>+Q448*(1+'SImple Return'!C448)</f>
        <v>165.6981624848429</v>
      </c>
      <c r="R449" s="14">
        <f>+R448*(1+'SImple Return'!D448)</f>
        <v>185.10613751730486</v>
      </c>
      <c r="S449" s="14">
        <f>+S448*(1+'SImple Return'!E448)</f>
        <v>234.41400987876037</v>
      </c>
      <c r="T449" s="14">
        <f>+T448*(1+'SImple Return'!F448)</f>
        <v>244.41291969369729</v>
      </c>
      <c r="U449" s="14">
        <f>+U448*(1+'SImple Return'!G448)</f>
        <v>202.7985184314187</v>
      </c>
      <c r="V449" s="14">
        <f>+V448*(1+'SImple Return'!H448)</f>
        <v>178.13935414445592</v>
      </c>
      <c r="W449" s="14">
        <f>+W448*(1+'SImple Return'!I448)</f>
        <v>282.50790200516468</v>
      </c>
      <c r="X449" s="14">
        <f>+X448*(1+'SImple Return'!J448)</f>
        <v>218.84941221504798</v>
      </c>
      <c r="Y449" s="14">
        <f>+Y448*(1+'SImple Return'!K448)</f>
        <v>222.2360369111218</v>
      </c>
      <c r="Z449" s="14">
        <f>+Z448*(1+'SImple Return'!L448)</f>
        <v>1307.7730703676655</v>
      </c>
      <c r="AA449" s="14">
        <f>+AA448*(1+'SImple Return'!M448)</f>
        <v>206.46715472892774</v>
      </c>
      <c r="AB449" s="14">
        <f>+AB448*(1+'SImple Return'!N448)</f>
        <v>243.66951845514546</v>
      </c>
    </row>
    <row r="450" spans="1:28">
      <c r="A450" s="8">
        <v>40760</v>
      </c>
      <c r="B450" s="10">
        <v>1194.05</v>
      </c>
      <c r="C450" s="10">
        <v>356.51</v>
      </c>
      <c r="D450" s="10">
        <v>145.57</v>
      </c>
      <c r="E450" s="11">
        <v>2192.9899999999998</v>
      </c>
      <c r="F450" s="11">
        <v>2353.87</v>
      </c>
      <c r="G450" s="11">
        <v>1926.82</v>
      </c>
      <c r="H450" s="14">
        <v>1734.64</v>
      </c>
      <c r="I450" s="14">
        <v>2600.15</v>
      </c>
      <c r="J450" s="14">
        <v>2124.2399999999998</v>
      </c>
      <c r="K450" s="14">
        <v>2135.42</v>
      </c>
      <c r="L450" s="14">
        <v>12668.27</v>
      </c>
      <c r="M450" s="14">
        <v>1826.22</v>
      </c>
      <c r="N450" s="14">
        <v>2313.84</v>
      </c>
      <c r="P450" s="14">
        <f>+P449*(1+'SImple Return'!B449)</f>
        <v>146.70540968903182</v>
      </c>
      <c r="Q450" s="14">
        <f>+Q449*(1+'SImple Return'!C449)</f>
        <v>166.26713925939748</v>
      </c>
      <c r="R450" s="14">
        <f>+R449*(1+'SImple Return'!D449)</f>
        <v>167.93954776188264</v>
      </c>
      <c r="S450" s="14">
        <f>+S449*(1+'SImple Return'!E449)</f>
        <v>218.82851868482734</v>
      </c>
      <c r="T450" s="14">
        <f>+T449*(1+'SImple Return'!F449)</f>
        <v>231.08874926369529</v>
      </c>
      <c r="U450" s="14">
        <f>+U449*(1+'SImple Return'!G449)</f>
        <v>188.80396652752466</v>
      </c>
      <c r="V450" s="14">
        <f>+V449*(1+'SImple Return'!H449)</f>
        <v>172.83660313063609</v>
      </c>
      <c r="W450" s="14">
        <f>+W449*(1+'SImple Return'!I449)</f>
        <v>259.2605517942784</v>
      </c>
      <c r="X450" s="14">
        <f>+X449*(1+'SImple Return'!J449)</f>
        <v>213.98394294406245</v>
      </c>
      <c r="Y450" s="14">
        <f>+Y449*(1+'SImple Return'!K449)</f>
        <v>207.42302088392415</v>
      </c>
      <c r="Z450" s="14">
        <f>+Z449*(1+'SImple Return'!L449)</f>
        <v>1233.82225468712</v>
      </c>
      <c r="AA450" s="14">
        <f>+AA449*(1+'SImple Return'!M449)</f>
        <v>180.67075583696098</v>
      </c>
      <c r="AB450" s="14">
        <f>+AB449*(1+'SImple Return'!N449)</f>
        <v>226.23710584209243</v>
      </c>
    </row>
    <row r="451" spans="1:28">
      <c r="A451" s="8">
        <v>40767</v>
      </c>
      <c r="B451" s="10">
        <v>1180.82</v>
      </c>
      <c r="C451" s="10">
        <v>360.2</v>
      </c>
      <c r="D451" s="10">
        <v>143.76</v>
      </c>
      <c r="E451" s="11">
        <v>2199.29</v>
      </c>
      <c r="F451" s="11">
        <v>2400.2199999999998</v>
      </c>
      <c r="G451" s="11">
        <v>1880.73</v>
      </c>
      <c r="H451" s="14">
        <v>1742.22</v>
      </c>
      <c r="I451" s="14">
        <v>2571.54</v>
      </c>
      <c r="J451" s="14">
        <v>2136.83</v>
      </c>
      <c r="K451" s="14">
        <v>2034.41</v>
      </c>
      <c r="L451" s="14">
        <v>12709.97</v>
      </c>
      <c r="M451" s="14">
        <v>1828.51</v>
      </c>
      <c r="N451" s="14">
        <v>2358.9499999999998</v>
      </c>
      <c r="P451" s="14">
        <f>+P450*(1+'SImple Return'!B450)</f>
        <v>145.0799228415917</v>
      </c>
      <c r="Q451" s="14">
        <f>+Q450*(1+'SImple Return'!C450)</f>
        <v>167.9880608152225</v>
      </c>
      <c r="R451" s="14">
        <f>+R450*(1+'SImple Return'!D450)</f>
        <v>165.85140747577279</v>
      </c>
      <c r="S451" s="14">
        <f>+S450*(1+'SImple Return'!E450)</f>
        <v>219.45716709075461</v>
      </c>
      <c r="T451" s="14">
        <f>+T450*(1+'SImple Return'!F450)</f>
        <v>235.63911250736305</v>
      </c>
      <c r="U451" s="14">
        <f>+U450*(1+'SImple Return'!G450)</f>
        <v>184.28773002528075</v>
      </c>
      <c r="V451" s="14">
        <f>+V450*(1+'SImple Return'!H450)</f>
        <v>173.59186154260064</v>
      </c>
      <c r="W451" s="14">
        <f>+W450*(1+'SImple Return'!I450)</f>
        <v>256.40785314734097</v>
      </c>
      <c r="X451" s="14">
        <f>+X450*(1+'SImple Return'!J450)</f>
        <v>215.25218845382867</v>
      </c>
      <c r="Y451" s="14">
        <f>+Y450*(1+'SImple Return'!K450)</f>
        <v>197.61146187469637</v>
      </c>
      <c r="Z451" s="14">
        <f>+Z450*(1+'SImple Return'!L450)</f>
        <v>1237.8836133430732</v>
      </c>
      <c r="AA451" s="14">
        <f>+AA450*(1+'SImple Return'!M450)</f>
        <v>180.89730906212915</v>
      </c>
      <c r="AB451" s="14">
        <f>+AB450*(1+'SImple Return'!N450)</f>
        <v>230.64776338303594</v>
      </c>
    </row>
    <row r="452" spans="1:28">
      <c r="A452" s="8">
        <v>40774</v>
      </c>
      <c r="B452" s="10">
        <v>1131.69</v>
      </c>
      <c r="C452" s="10">
        <v>362.69</v>
      </c>
      <c r="D452" s="10">
        <v>140.63999999999999</v>
      </c>
      <c r="E452" s="11">
        <v>2133.85</v>
      </c>
      <c r="F452" s="11">
        <v>2364.77</v>
      </c>
      <c r="G452" s="11">
        <v>1882.52</v>
      </c>
      <c r="H452" s="14">
        <v>1730.58</v>
      </c>
      <c r="I452" s="14">
        <v>2490.16</v>
      </c>
      <c r="J452" s="14">
        <v>2082.96</v>
      </c>
      <c r="K452" s="14">
        <v>1940.42</v>
      </c>
      <c r="L452" s="14">
        <v>12429.71</v>
      </c>
      <c r="M452" s="14">
        <v>1786.49</v>
      </c>
      <c r="N452" s="14">
        <v>2314.2800000000002</v>
      </c>
      <c r="P452" s="14">
        <f>+P451*(1+'SImple Return'!B451)</f>
        <v>139.04362890245841</v>
      </c>
      <c r="Q452" s="14">
        <f>+Q451*(1+'SImple Return'!C451)</f>
        <v>169.14933308460039</v>
      </c>
      <c r="R452" s="14">
        <f>+R451*(1+'SImple Return'!D451)</f>
        <v>162.25196123673265</v>
      </c>
      <c r="S452" s="14">
        <f>+S451*(1+'SImple Return'!E451)</f>
        <v>212.9272065060118</v>
      </c>
      <c r="T452" s="14">
        <f>+T451*(1+'SImple Return'!F451)</f>
        <v>232.15884547418028</v>
      </c>
      <c r="U452" s="14">
        <f>+U451*(1+'SImple Return'!G451)</f>
        <v>184.46312736394458</v>
      </c>
      <c r="V452" s="14">
        <f>+V451*(1+'SImple Return'!H451)</f>
        <v>172.43207158016429</v>
      </c>
      <c r="W452" s="14">
        <f>+W451*(1+'SImple Return'!I451)</f>
        <v>248.29346601389929</v>
      </c>
      <c r="X452" s="14">
        <f>+X451*(1+'SImple Return'!J451)</f>
        <v>209.82562883420158</v>
      </c>
      <c r="Y452" s="14">
        <f>+Y451*(1+'SImple Return'!K451)</f>
        <v>188.48178727537632</v>
      </c>
      <c r="Z452" s="14">
        <f>+Z451*(1+'SImple Return'!L451)</f>
        <v>1210.5877769661558</v>
      </c>
      <c r="AA452" s="14">
        <f>+AA451*(1+'SImple Return'!M451)</f>
        <v>176.74020577760206</v>
      </c>
      <c r="AB452" s="14">
        <f>+AB451*(1+'SImple Return'!N451)</f>
        <v>226.28012710828651</v>
      </c>
    </row>
    <row r="453" spans="1:28">
      <c r="A453" s="8">
        <v>40781</v>
      </c>
      <c r="B453" s="10">
        <v>1163.02</v>
      </c>
      <c r="C453" s="10">
        <v>359.9</v>
      </c>
      <c r="D453" s="10">
        <v>143.84</v>
      </c>
      <c r="E453" s="11">
        <v>2153.1</v>
      </c>
      <c r="F453" s="11">
        <v>2455.37</v>
      </c>
      <c r="G453" s="11">
        <v>1938.59</v>
      </c>
      <c r="H453" s="14">
        <v>1762.41</v>
      </c>
      <c r="I453" s="14">
        <v>2564.88</v>
      </c>
      <c r="J453" s="14">
        <v>2115.5500000000002</v>
      </c>
      <c r="K453" s="14">
        <v>1970.67</v>
      </c>
      <c r="L453" s="14">
        <v>13030.82</v>
      </c>
      <c r="M453" s="14">
        <v>1806.51</v>
      </c>
      <c r="N453" s="14">
        <v>2391.61</v>
      </c>
      <c r="P453" s="14">
        <f>+P452*(1+'SImple Return'!B452)</f>
        <v>142.89294885183853</v>
      </c>
      <c r="Q453" s="14">
        <f>+Q452*(1+'SImple Return'!C452)</f>
        <v>167.84814849361072</v>
      </c>
      <c r="R453" s="14">
        <f>+R452*(1+'SImple Return'!D452)</f>
        <v>165.94370096908156</v>
      </c>
      <c r="S453" s="14">
        <f>+S452*(1+'SImple Return'!E452)</f>
        <v>214.84807663523398</v>
      </c>
      <c r="T453" s="14">
        <f>+T452*(1+'SImple Return'!F452)</f>
        <v>241.05340663656</v>
      </c>
      <c r="U453" s="14">
        <f>+U452*(1+'SImple Return'!G452)</f>
        <v>189.95727751974442</v>
      </c>
      <c r="V453" s="14">
        <f>+V452*(1+'SImple Return'!H452)</f>
        <v>175.60355908053796</v>
      </c>
      <c r="W453" s="14">
        <f>+W452*(1+'SImple Return'!I452)</f>
        <v>255.74378558395046</v>
      </c>
      <c r="X453" s="14">
        <f>+X452*(1+'SImple Return'!J452)</f>
        <v>213.10856141269886</v>
      </c>
      <c r="Y453" s="14">
        <f>+Y452*(1+'SImple Return'!K452)</f>
        <v>191.42010684798439</v>
      </c>
      <c r="Z453" s="14">
        <f>+Z452*(1+'SImple Return'!L452)</f>
        <v>1269.1327002678358</v>
      </c>
      <c r="AA453" s="14">
        <f>+AA452*(1+'SImple Return'!M452)</f>
        <v>178.7208151958846</v>
      </c>
      <c r="AB453" s="14">
        <f>+AB452*(1+'SImple Return'!N452)</f>
        <v>233.84111464189687</v>
      </c>
    </row>
    <row r="454" spans="1:28">
      <c r="A454" s="8">
        <v>40788</v>
      </c>
      <c r="B454" s="10">
        <v>1175.26</v>
      </c>
      <c r="C454" s="10">
        <v>362.09</v>
      </c>
      <c r="D454" s="10">
        <v>146.72999999999999</v>
      </c>
      <c r="E454" s="11">
        <v>2207.44</v>
      </c>
      <c r="F454" s="11">
        <v>2493.7399999999998</v>
      </c>
      <c r="G454" s="11">
        <v>1968.99</v>
      </c>
      <c r="H454" s="14">
        <v>1791.53</v>
      </c>
      <c r="I454" s="14">
        <v>2668.1</v>
      </c>
      <c r="J454" s="14">
        <v>2138.2199999999998</v>
      </c>
      <c r="K454" s="14">
        <v>1994.96</v>
      </c>
      <c r="L454" s="14">
        <v>13403.33</v>
      </c>
      <c r="M454" s="14">
        <v>1856.08</v>
      </c>
      <c r="N454" s="14">
        <v>2432.7399999999998</v>
      </c>
      <c r="P454" s="14">
        <f>+P453*(1+'SImple Return'!B453)</f>
        <v>144.39680062906206</v>
      </c>
      <c r="Q454" s="14">
        <f>+Q453*(1+'SImple Return'!C453)</f>
        <v>168.86950844137678</v>
      </c>
      <c r="R454" s="14">
        <f>+R453*(1+'SImple Return'!D453)</f>
        <v>169.27780341485911</v>
      </c>
      <c r="S454" s="14">
        <f>+S453*(1+'SImple Return'!E453)</f>
        <v>220.27041860000975</v>
      </c>
      <c r="T454" s="14">
        <f>+T453*(1+'SImple Return'!F453)</f>
        <v>244.82034164539567</v>
      </c>
      <c r="U454" s="14">
        <f>+U453*(1+'SImple Return'!G453)</f>
        <v>192.93609265682872</v>
      </c>
      <c r="V454" s="14">
        <f>+V453*(1+'SImple Return'!H453)</f>
        <v>178.50502675288732</v>
      </c>
      <c r="W454" s="14">
        <f>+W453*(1+'SImple Return'!I453)</f>
        <v>266.03583571806018</v>
      </c>
      <c r="X454" s="14">
        <f>+X453*(1+'SImple Return'!J453)</f>
        <v>215.39220920510547</v>
      </c>
      <c r="Y454" s="14">
        <f>+Y453*(1+'SImple Return'!K453)</f>
        <v>193.77950461389014</v>
      </c>
      <c r="Z454" s="14">
        <f>+Z453*(1+'SImple Return'!L453)</f>
        <v>1305.413196980765</v>
      </c>
      <c r="AA454" s="14">
        <f>+AA453*(1+'SImple Return'!M453)</f>
        <v>183.62485160269108</v>
      </c>
      <c r="AB454" s="14">
        <f>+AB453*(1+'SImple Return'!N453)</f>
        <v>237.86262527499389</v>
      </c>
    </row>
    <row r="455" spans="1:28">
      <c r="A455" s="8">
        <v>40795</v>
      </c>
      <c r="B455" s="10">
        <v>1134.68</v>
      </c>
      <c r="C455" s="10">
        <v>361.15</v>
      </c>
      <c r="D455" s="10">
        <v>143.41999999999999</v>
      </c>
      <c r="E455" s="11">
        <v>2119.12</v>
      </c>
      <c r="F455" s="11">
        <v>2445.4899999999998</v>
      </c>
      <c r="G455" s="11">
        <v>1992.23</v>
      </c>
      <c r="H455" s="14">
        <v>1751.12</v>
      </c>
      <c r="I455" s="14">
        <v>2582.9899999999998</v>
      </c>
      <c r="J455" s="14">
        <v>2102.79</v>
      </c>
      <c r="K455" s="14">
        <v>1938.51</v>
      </c>
      <c r="L455" s="14">
        <v>13078.68</v>
      </c>
      <c r="M455" s="14">
        <v>1788.7</v>
      </c>
      <c r="N455" s="14">
        <v>2386.41</v>
      </c>
      <c r="P455" s="14">
        <f>+P454*(1+'SImple Return'!B454)</f>
        <v>139.410991387254</v>
      </c>
      <c r="Q455" s="14">
        <f>+Q454*(1+'SImple Return'!C454)</f>
        <v>168.43111650032651</v>
      </c>
      <c r="R455" s="14">
        <f>+R454*(1+'SImple Return'!D454)</f>
        <v>165.45916012921074</v>
      </c>
      <c r="S455" s="14">
        <f>+S454*(1+'SImple Return'!E454)</f>
        <v>211.45736666167716</v>
      </c>
      <c r="T455" s="14">
        <f>+T454*(1+'SImple Return'!F454)</f>
        <v>240.08344786962499</v>
      </c>
      <c r="U455" s="14">
        <f>+U454*(1+'SImple Return'!G454)</f>
        <v>195.21331843925762</v>
      </c>
      <c r="V455" s="14">
        <f>+V454*(1+'SImple Return'!H454)</f>
        <v>174.478642527625</v>
      </c>
      <c r="W455" s="14">
        <f>+W454*(1+'SImple Return'!I454)</f>
        <v>257.54953086518208</v>
      </c>
      <c r="X455" s="14">
        <f>+X454*(1+'SImple Return'!J454)</f>
        <v>211.82319106284845</v>
      </c>
      <c r="Y455" s="14">
        <f>+Y454*(1+'SImple Return'!K454)</f>
        <v>188.29626032054384</v>
      </c>
      <c r="Z455" s="14">
        <f>+Z454*(1+'SImple Return'!L454)</f>
        <v>1273.7940102264431</v>
      </c>
      <c r="AA455" s="14">
        <f>+AA454*(1+'SImple Return'!M454)</f>
        <v>176.95884447962027</v>
      </c>
      <c r="AB455" s="14">
        <f>+AB454*(1+'SImple Return'!N454)</f>
        <v>233.33268149596677</v>
      </c>
    </row>
    <row r="456" spans="1:28">
      <c r="A456" s="8">
        <v>40802</v>
      </c>
      <c r="B456" s="10">
        <v>1176.03</v>
      </c>
      <c r="C456" s="10">
        <v>360.06</v>
      </c>
      <c r="D456" s="10">
        <v>144.47</v>
      </c>
      <c r="E456" s="11">
        <v>2144.6</v>
      </c>
      <c r="F456" s="11">
        <v>2515.4499999999998</v>
      </c>
      <c r="G456" s="11">
        <v>1960.99</v>
      </c>
      <c r="H456" s="14">
        <v>1788.3</v>
      </c>
      <c r="I456" s="14">
        <v>2563.46</v>
      </c>
      <c r="J456" s="14">
        <v>2143.9699999999998</v>
      </c>
      <c r="K456" s="14">
        <v>1903.01</v>
      </c>
      <c r="L456" s="14">
        <v>13494.19</v>
      </c>
      <c r="M456" s="14">
        <v>1799.4</v>
      </c>
      <c r="N456" s="14">
        <v>2432.4899999999998</v>
      </c>
      <c r="P456" s="14">
        <f>+P455*(1+'SImple Return'!B455)</f>
        <v>144.49140568367497</v>
      </c>
      <c r="Q456" s="14">
        <f>+Q455*(1+'SImple Return'!C455)</f>
        <v>167.92276839847037</v>
      </c>
      <c r="R456" s="14">
        <f>+R455*(1+'SImple Return'!D455)</f>
        <v>166.67051222888773</v>
      </c>
      <c r="S456" s="14">
        <f>+S455*(1+'SImple Return'!E455)</f>
        <v>213.99990021453851</v>
      </c>
      <c r="T456" s="14">
        <f>+T455*(1+'SImple Return'!F455)</f>
        <v>246.95169840958184</v>
      </c>
      <c r="U456" s="14">
        <f>+U455*(1+'SImple Return'!G455)</f>
        <v>192.15219393654337</v>
      </c>
      <c r="V456" s="14">
        <f>+V455*(1+'SImple Return'!H455)</f>
        <v>178.1831950021425</v>
      </c>
      <c r="W456" s="14">
        <f>+W455*(1+'SImple Return'!I455)</f>
        <v>255.60219760496935</v>
      </c>
      <c r="X456" s="14">
        <f>+X455*(1+'SImple Return'!J455)</f>
        <v>215.97143173736566</v>
      </c>
      <c r="Y456" s="14">
        <f>+Y455*(1+'SImple Return'!K455)</f>
        <v>184.84798445847488</v>
      </c>
      <c r="Z456" s="14">
        <f>+Z455*(1+'SImple Return'!L455)</f>
        <v>1314.2624786949116</v>
      </c>
      <c r="AA456" s="14">
        <f>+AA455*(1+'SImple Return'!M455)</f>
        <v>178.01741195093012</v>
      </c>
      <c r="AB456" s="14">
        <f>+AB455*(1+'SImple Return'!N455)</f>
        <v>237.83818137374723</v>
      </c>
    </row>
    <row r="457" spans="1:28">
      <c r="A457" s="8">
        <v>40809</v>
      </c>
      <c r="B457" s="10">
        <v>1094.92</v>
      </c>
      <c r="C457" s="10">
        <v>361.57</v>
      </c>
      <c r="D457" s="10">
        <v>133.58000000000001</v>
      </c>
      <c r="E457" s="11">
        <v>2050.79</v>
      </c>
      <c r="F457" s="11">
        <v>2414.41</v>
      </c>
      <c r="G457" s="11">
        <v>1831.89</v>
      </c>
      <c r="H457" s="14">
        <v>1743.07</v>
      </c>
      <c r="I457" s="14">
        <v>2359.2399999999998</v>
      </c>
      <c r="J457" s="14">
        <v>2062.4299999999998</v>
      </c>
      <c r="K457" s="14">
        <v>1786.86</v>
      </c>
      <c r="L457" s="14">
        <v>12820.72</v>
      </c>
      <c r="M457" s="14">
        <v>1663.2</v>
      </c>
      <c r="N457" s="14">
        <v>2321.2399999999998</v>
      </c>
      <c r="P457" s="14">
        <f>+P456*(1+'SImple Return'!B456)</f>
        <v>134.52593038542335</v>
      </c>
      <c r="Q457" s="14">
        <f>+Q456*(1+'SImple Return'!C456)</f>
        <v>168.62699375058304</v>
      </c>
      <c r="R457" s="14">
        <f>+R456*(1+'SImple Return'!D456)</f>
        <v>154.10706045223802</v>
      </c>
      <c r="S457" s="14">
        <f>+S456*(1+'SImple Return'!E456)</f>
        <v>204.63902609389788</v>
      </c>
      <c r="T457" s="14">
        <f>+T456*(1+'SImple Return'!F456)</f>
        <v>237.03220106027888</v>
      </c>
      <c r="U457" s="14">
        <f>+U456*(1+'SImple Return'!G456)</f>
        <v>179.50202833793873</v>
      </c>
      <c r="V457" s="14">
        <f>+V456*(1+'SImple Return'!H456)</f>
        <v>173.67655410858612</v>
      </c>
      <c r="W457" s="14">
        <f>+W456*(1+'SImple Return'!I456)</f>
        <v>235.23945319121339</v>
      </c>
      <c r="X457" s="14">
        <f>+X456*(1+'SImple Return'!J456)</f>
        <v>207.75755255814917</v>
      </c>
      <c r="Y457" s="14">
        <f>+Y456*(1+'SImple Return'!K456)</f>
        <v>173.56580864497317</v>
      </c>
      <c r="Z457" s="14">
        <f>+Z456*(1+'SImple Return'!L456)</f>
        <v>1248.6700754808865</v>
      </c>
      <c r="AA457" s="14">
        <f>+AA456*(1+'SImple Return'!M456)</f>
        <v>164.54293628808878</v>
      </c>
      <c r="AB457" s="14">
        <f>+AB456*(1+'SImple Return'!N456)</f>
        <v>226.96064531899287</v>
      </c>
    </row>
    <row r="458" spans="1:28">
      <c r="A458" s="8">
        <v>40816</v>
      </c>
      <c r="B458" s="10">
        <v>1104.06</v>
      </c>
      <c r="C458" s="10">
        <v>359.55</v>
      </c>
      <c r="D458" s="10">
        <v>132.71</v>
      </c>
      <c r="E458" s="11">
        <v>2144.15</v>
      </c>
      <c r="F458" s="11">
        <v>2445.52</v>
      </c>
      <c r="G458" s="11">
        <v>1851.69</v>
      </c>
      <c r="H458" s="14">
        <v>1780.18</v>
      </c>
      <c r="I458" s="14">
        <v>2404.88</v>
      </c>
      <c r="J458" s="14">
        <v>2124.64</v>
      </c>
      <c r="K458" s="14">
        <v>1881.58</v>
      </c>
      <c r="L458" s="14">
        <v>13032.08</v>
      </c>
      <c r="M458" s="14">
        <v>1774.8</v>
      </c>
      <c r="N458" s="14">
        <v>2355.4699999999998</v>
      </c>
      <c r="P458" s="14">
        <f>+P457*(1+'SImple Return'!B457)</f>
        <v>135.6489046700494</v>
      </c>
      <c r="Q458" s="14">
        <f>+Q457*(1+'SImple Return'!C457)</f>
        <v>167.68491745173034</v>
      </c>
      <c r="R458" s="14">
        <f>+R457*(1+'SImple Return'!D457)</f>
        <v>153.10336871250567</v>
      </c>
      <c r="S458" s="14">
        <f>+S457*(1+'SImple Return'!E457)</f>
        <v>213.95499675697226</v>
      </c>
      <c r="T458" s="14">
        <f>+T457*(1+'SImple Return'!F457)</f>
        <v>240.086393088553</v>
      </c>
      <c r="U458" s="14">
        <f>+U457*(1+'SImple Return'!G457)</f>
        <v>181.44217767064492</v>
      </c>
      <c r="V458" s="14">
        <f>+V457*(1+'SImple Return'!H457)</f>
        <v>177.37413190119895</v>
      </c>
      <c r="W458" s="14">
        <f>+W457*(1+'SImple Return'!I457)</f>
        <v>239.79021048748129</v>
      </c>
      <c r="X458" s="14">
        <f>+X457*(1+'SImple Return'!J457)</f>
        <v>214.0242366854371</v>
      </c>
      <c r="Y458" s="14">
        <f>+Y457*(1+'SImple Return'!K457)</f>
        <v>182.76639145216112</v>
      </c>
      <c r="Z458" s="14">
        <f>+Z457*(1+'SImple Return'!L457)</f>
        <v>1269.2554175797422</v>
      </c>
      <c r="AA458" s="14">
        <f>+AA457*(1+'SImple Return'!M457)</f>
        <v>175.58369608231118</v>
      </c>
      <c r="AB458" s="14">
        <f>+AB457*(1+'SImple Return'!N457)</f>
        <v>230.30750427768265</v>
      </c>
    </row>
    <row r="459" spans="1:28">
      <c r="A459" s="8">
        <v>40823</v>
      </c>
      <c r="B459" s="10">
        <v>1126.1500000000001</v>
      </c>
      <c r="C459" s="10">
        <v>358.16</v>
      </c>
      <c r="D459" s="10">
        <v>133.16</v>
      </c>
      <c r="E459" s="11">
        <v>2171.1</v>
      </c>
      <c r="F459" s="11">
        <v>2439.1799999999998</v>
      </c>
      <c r="G459" s="11">
        <v>1852.46</v>
      </c>
      <c r="H459" s="14">
        <v>1772.73</v>
      </c>
      <c r="I459" s="14">
        <v>2459.87</v>
      </c>
      <c r="J459" s="14">
        <v>2141.14</v>
      </c>
      <c r="K459" s="14">
        <v>1890.61</v>
      </c>
      <c r="L459" s="14">
        <v>13088.31</v>
      </c>
      <c r="M459" s="14">
        <v>1790.02</v>
      </c>
      <c r="N459" s="14">
        <v>2361.06</v>
      </c>
      <c r="P459" s="14">
        <f>+P458*(1+'SImple Return'!B458)</f>
        <v>138.36296396407457</v>
      </c>
      <c r="Q459" s="14">
        <f>+Q458*(1+'SImple Return'!C458)</f>
        <v>167.0366570282624</v>
      </c>
      <c r="R459" s="14">
        <f>+R458*(1+'SImple Return'!D458)</f>
        <v>153.62251961236723</v>
      </c>
      <c r="S459" s="14">
        <f>+S458*(1+'SImple Return'!E458)</f>
        <v>216.64421493788328</v>
      </c>
      <c r="T459" s="14">
        <f>+T458*(1+'SImple Return'!F458)</f>
        <v>239.46397015511494</v>
      </c>
      <c r="U459" s="14">
        <f>+U458*(1+'SImple Return'!G458)</f>
        <v>181.5176279224724</v>
      </c>
      <c r="V459" s="14">
        <f>+V458*(1+'SImple Return'!H458)</f>
        <v>176.6318264699145</v>
      </c>
      <c r="W459" s="14">
        <f>+W458*(1+'SImple Return'!I458)</f>
        <v>245.27325482844907</v>
      </c>
      <c r="X459" s="14">
        <f>+X458*(1+'SImple Return'!J458)</f>
        <v>215.68635351714022</v>
      </c>
      <c r="Y459" s="14">
        <f>+Y458*(1+'SImple Return'!K458)</f>
        <v>183.64351627003387</v>
      </c>
      <c r="Z459" s="14">
        <f>+Z458*(1+'SImple Return'!L458)</f>
        <v>1274.7319211102997</v>
      </c>
      <c r="AA459" s="14">
        <f>+AA458*(1+'SImple Return'!M458)</f>
        <v>177.08943411159493</v>
      </c>
      <c r="AB459" s="14">
        <f>+AB458*(1+'SImple Return'!N458)</f>
        <v>230.8540699095575</v>
      </c>
    </row>
    <row r="460" spans="1:28">
      <c r="A460" s="8">
        <v>40830</v>
      </c>
      <c r="B460" s="10">
        <v>1186.4000000000001</v>
      </c>
      <c r="C460" s="10">
        <v>357.99</v>
      </c>
      <c r="D460" s="10">
        <v>140.36000000000001</v>
      </c>
      <c r="E460" s="11">
        <v>2229.81</v>
      </c>
      <c r="F460" s="11">
        <v>2526</v>
      </c>
      <c r="G460" s="11">
        <v>1908.1</v>
      </c>
      <c r="H460" s="14">
        <v>1802.69</v>
      </c>
      <c r="I460" s="14">
        <v>2575.29</v>
      </c>
      <c r="J460" s="14">
        <v>2150.79</v>
      </c>
      <c r="K460" s="14">
        <v>1965.46</v>
      </c>
      <c r="L460" s="14">
        <v>13622.48</v>
      </c>
      <c r="M460" s="14">
        <v>1898.92</v>
      </c>
      <c r="N460" s="14">
        <v>2447.33</v>
      </c>
      <c r="P460" s="14">
        <f>+P459*(1+'SImple Return'!B459)</f>
        <v>145.76550232826716</v>
      </c>
      <c r="Q460" s="14">
        <f>+Q459*(1+'SImple Return'!C459)</f>
        <v>166.95737337934904</v>
      </c>
      <c r="R460" s="14">
        <f>+R459*(1+'SImple Return'!D459)</f>
        <v>161.92893401015218</v>
      </c>
      <c r="S460" s="14">
        <f>+S459*(1+'SImple Return'!E459)</f>
        <v>222.50261936835773</v>
      </c>
      <c r="T460" s="14">
        <f>+T459*(1+'SImple Return'!F459)</f>
        <v>247.98743373257423</v>
      </c>
      <c r="U460" s="14">
        <f>+U459*(1+'SImple Return'!G459)</f>
        <v>186.96964352205691</v>
      </c>
      <c r="V460" s="14">
        <f>+V459*(1+'SImple Return'!H459)</f>
        <v>179.61699032512013</v>
      </c>
      <c r="W460" s="14">
        <f>+W459*(1+'SImple Return'!I459)</f>
        <v>256.78176506366464</v>
      </c>
      <c r="X460" s="14">
        <f>+X459*(1+'SImple Return'!J459)</f>
        <v>216.65844002780295</v>
      </c>
      <c r="Y460" s="14">
        <f>+Y459*(1+'SImple Return'!K459)</f>
        <v>190.91403593977648</v>
      </c>
      <c r="Z460" s="14">
        <f>+Z459*(1+'SImple Return'!L459)</f>
        <v>1326.7572437302172</v>
      </c>
      <c r="AA460" s="14">
        <f>+AA459*(1+'SImple Return'!M459)</f>
        <v>187.86307874950552</v>
      </c>
      <c r="AB460" s="14">
        <f>+AB459*(1+'SImple Return'!N459)</f>
        <v>239.28917135174765</v>
      </c>
    </row>
    <row r="461" spans="1:28">
      <c r="A461" s="8">
        <v>40837</v>
      </c>
      <c r="B461" s="10">
        <v>1194.33</v>
      </c>
      <c r="C461" s="10">
        <v>359.98</v>
      </c>
      <c r="D461" s="10">
        <v>141.46</v>
      </c>
      <c r="E461" s="11">
        <v>2254.67</v>
      </c>
      <c r="F461" s="11">
        <v>2604.33</v>
      </c>
      <c r="G461" s="11">
        <v>1920.97</v>
      </c>
      <c r="H461" s="14">
        <v>1833.22</v>
      </c>
      <c r="I461" s="14">
        <v>2559.1</v>
      </c>
      <c r="J461" s="14">
        <v>2193.3200000000002</v>
      </c>
      <c r="K461" s="14">
        <v>1935.2</v>
      </c>
      <c r="L461" s="14">
        <v>13782.46</v>
      </c>
      <c r="M461" s="14">
        <v>1896</v>
      </c>
      <c r="N461" s="14">
        <v>2533.86</v>
      </c>
      <c r="P461" s="14">
        <f>+P460*(1+'SImple Return'!B460)</f>
        <v>146.7398115270729</v>
      </c>
      <c r="Q461" s="14">
        <f>+Q460*(1+'SImple Return'!C460)</f>
        <v>167.88545844604056</v>
      </c>
      <c r="R461" s="14">
        <f>+R460*(1+'SImple Return'!D460)</f>
        <v>163.19796954314711</v>
      </c>
      <c r="S461" s="14">
        <f>+S460*(1+'SImple Return'!E460)</f>
        <v>224.98328593523894</v>
      </c>
      <c r="T461" s="14">
        <f>+T460*(1+'SImple Return'!F460)</f>
        <v>255.67740035342635</v>
      </c>
      <c r="U461" s="14">
        <f>+U460*(1+'SImple Return'!G460)</f>
        <v>188.23074058831597</v>
      </c>
      <c r="V461" s="14">
        <f>+V460*(1+'SImple Return'!H460)</f>
        <v>182.65894801869248</v>
      </c>
      <c r="W461" s="14">
        <f>+W460*(1+'SImple Return'!I460)</f>
        <v>255.16746268359066</v>
      </c>
      <c r="X461" s="14">
        <f>+X460*(1+'SImple Return'!J460)</f>
        <v>220.94267207945956</v>
      </c>
      <c r="Y461" s="14">
        <f>+Y460*(1+'SImple Return'!K460)</f>
        <v>187.97474502185517</v>
      </c>
      <c r="Z461" s="14">
        <f>+Z460*(1+'SImple Return'!L460)</f>
        <v>1342.3384465546633</v>
      </c>
      <c r="AA461" s="14">
        <f>+AA460*(1+'SImple Return'!M460)</f>
        <v>187.57419865453122</v>
      </c>
      <c r="AB461" s="14">
        <f>+AB460*(1+'SImple Return'!N460)</f>
        <v>247.74969445123432</v>
      </c>
    </row>
    <row r="462" spans="1:28">
      <c r="A462" s="8">
        <v>40844</v>
      </c>
      <c r="B462" s="10">
        <v>1254.2</v>
      </c>
      <c r="C462" s="10">
        <v>361.55</v>
      </c>
      <c r="D462" s="10">
        <v>151.22999999999999</v>
      </c>
      <c r="E462" s="11">
        <v>2280.5300000000002</v>
      </c>
      <c r="F462" s="11">
        <v>2627.24</v>
      </c>
      <c r="G462" s="11">
        <v>2024.33</v>
      </c>
      <c r="H462" s="14">
        <v>1834.13</v>
      </c>
      <c r="I462" s="14">
        <v>2659.77</v>
      </c>
      <c r="J462" s="14">
        <v>2213.91</v>
      </c>
      <c r="K462" s="14">
        <v>2106.4499999999998</v>
      </c>
      <c r="L462" s="14">
        <v>13796.09</v>
      </c>
      <c r="M462" s="14">
        <v>1990.48</v>
      </c>
      <c r="N462" s="14">
        <v>2576.3000000000002</v>
      </c>
      <c r="P462" s="14">
        <f>+P461*(1+'SImple Return'!B461)</f>
        <v>154.09566168249552</v>
      </c>
      <c r="Q462" s="14">
        <f>+Q461*(1+'SImple Return'!C461)</f>
        <v>168.61766626247561</v>
      </c>
      <c r="R462" s="14">
        <f>+R461*(1+'SImple Return'!D461)</f>
        <v>174.46931241347474</v>
      </c>
      <c r="S462" s="14">
        <f>+S461*(1+'SImple Return'!E461)</f>
        <v>227.56373796337843</v>
      </c>
      <c r="T462" s="14">
        <f>+T461*(1+'SImple Return'!F461)</f>
        <v>257.92656587473004</v>
      </c>
      <c r="U462" s="14">
        <f>+U461*(1+'SImple Return'!G461)</f>
        <v>198.35871205440253</v>
      </c>
      <c r="V462" s="14">
        <f>+V461*(1+'SImple Return'!H461)</f>
        <v>182.74961888345342</v>
      </c>
      <c r="W462" s="14">
        <f>+W461*(1+'SImple Return'!I461)</f>
        <v>265.20525271460042</v>
      </c>
      <c r="X462" s="14">
        <f>+X461*(1+'SImple Return'!J461)</f>
        <v>223.01679241671815</v>
      </c>
      <c r="Y462" s="14">
        <f>+Y461*(1+'SImple Return'!K461)</f>
        <v>204.6090335114132</v>
      </c>
      <c r="Z462" s="14">
        <f>+Z461*(1+'SImple Return'!L461)</f>
        <v>1343.6659362064772</v>
      </c>
      <c r="AA462" s="14">
        <f>+AA461*(1+'SImple Return'!M461)</f>
        <v>196.92125049465784</v>
      </c>
      <c r="AB462" s="14">
        <f>+AB461*(1+'SImple Return'!N461)</f>
        <v>251.89929112686374</v>
      </c>
    </row>
    <row r="463" spans="1:28">
      <c r="A463" s="8">
        <v>40851</v>
      </c>
      <c r="B463" s="10">
        <v>1203.07</v>
      </c>
      <c r="C463" s="10">
        <v>361.73</v>
      </c>
      <c r="D463" s="10">
        <v>146.19999999999999</v>
      </c>
      <c r="E463" s="11">
        <v>2198.79</v>
      </c>
      <c r="F463" s="11">
        <v>2606.39</v>
      </c>
      <c r="G463" s="11">
        <v>1979.15</v>
      </c>
      <c r="H463" s="14">
        <v>1813.15</v>
      </c>
      <c r="I463" s="14">
        <v>2556.9499999999998</v>
      </c>
      <c r="J463" s="14">
        <v>2222.14</v>
      </c>
      <c r="K463" s="14">
        <v>2014.06</v>
      </c>
      <c r="L463" s="14">
        <v>13883.31</v>
      </c>
      <c r="M463" s="14">
        <v>1844.14</v>
      </c>
      <c r="N463" s="14">
        <v>2532.14</v>
      </c>
      <c r="P463" s="14">
        <f>+P462*(1+'SImple Return'!B462)</f>
        <v>147.81364032878318</v>
      </c>
      <c r="Q463" s="14">
        <f>+Q462*(1+'SImple Return'!C462)</f>
        <v>168.70161365544269</v>
      </c>
      <c r="R463" s="14">
        <f>+R462*(1+'SImple Return'!D462)</f>
        <v>168.66635902168886</v>
      </c>
      <c r="S463" s="14">
        <f>+S462*(1+'SImple Return'!E462)</f>
        <v>219.40727436012543</v>
      </c>
      <c r="T463" s="14">
        <f>+T462*(1+'SImple Return'!F462)</f>
        <v>255.87963871981154</v>
      </c>
      <c r="U463" s="14">
        <f>+U462*(1+'SImple Return'!G462)</f>
        <v>193.93164403159111</v>
      </c>
      <c r="V463" s="14">
        <f>+V462*(1+'SImple Return'!H462)</f>
        <v>180.65920707830608</v>
      </c>
      <c r="W463" s="14">
        <f>+W462*(1+'SImple Return'!I462)</f>
        <v>254.95308651823183</v>
      </c>
      <c r="X463" s="14">
        <f>+X462*(1+'SImple Return'!J462)</f>
        <v>223.84583614550098</v>
      </c>
      <c r="Y463" s="14">
        <f>+Y462*(1+'SImple Return'!K462)</f>
        <v>195.63477416221457</v>
      </c>
      <c r="Z463" s="14">
        <f>+Z462*(1+'SImple Return'!L462)</f>
        <v>1352.1607012417828</v>
      </c>
      <c r="AA463" s="14">
        <f>+AA462*(1+'SImple Return'!M462)</f>
        <v>182.44360902255653</v>
      </c>
      <c r="AB463" s="14">
        <f>+AB462*(1+'SImple Return'!N462)</f>
        <v>247.58152041065742</v>
      </c>
    </row>
    <row r="464" spans="1:28">
      <c r="A464" s="8">
        <v>40858</v>
      </c>
      <c r="B464" s="10">
        <v>1205.46</v>
      </c>
      <c r="C464" s="10">
        <v>361.23</v>
      </c>
      <c r="D464" s="10">
        <v>144.46</v>
      </c>
      <c r="E464" s="11">
        <v>2206.29</v>
      </c>
      <c r="F464" s="11">
        <v>2609.87</v>
      </c>
      <c r="G464" s="11">
        <v>1983.11</v>
      </c>
      <c r="H464" s="14">
        <v>1832.39</v>
      </c>
      <c r="I464" s="14">
        <v>2546.2199999999998</v>
      </c>
      <c r="J464" s="14">
        <v>2273.52</v>
      </c>
      <c r="K464" s="14">
        <v>1975.77</v>
      </c>
      <c r="L464" s="14">
        <v>13822.94</v>
      </c>
      <c r="M464" s="14">
        <v>1829.47</v>
      </c>
      <c r="N464" s="14">
        <v>2528.84</v>
      </c>
      <c r="P464" s="14">
        <f>+P463*(1+'SImple Return'!B463)</f>
        <v>148.10728458920508</v>
      </c>
      <c r="Q464" s="14">
        <f>+Q463*(1+'SImple Return'!C463)</f>
        <v>168.46842645275638</v>
      </c>
      <c r="R464" s="14">
        <f>+R463*(1+'SImple Return'!D463)</f>
        <v>166.65897554222417</v>
      </c>
      <c r="S464" s="14">
        <f>+S463*(1+'SImple Return'!E463)</f>
        <v>220.15566531956262</v>
      </c>
      <c r="T464" s="14">
        <f>+T463*(1+'SImple Return'!F463)</f>
        <v>256.22128411545259</v>
      </c>
      <c r="U464" s="14">
        <f>+U463*(1+'SImple Return'!G463)</f>
        <v>194.31967389813235</v>
      </c>
      <c r="V464" s="14">
        <f>+V463*(1+'SImple Return'!H463)</f>
        <v>182.5762482189655</v>
      </c>
      <c r="W464" s="14">
        <f>+W463*(1+'SImple Return'!I463)</f>
        <v>253.88319988832487</v>
      </c>
      <c r="X464" s="14">
        <f>+X463*(1+'SImple Return'!J463)</f>
        <v>229.02156722507107</v>
      </c>
      <c r="Y464" s="14">
        <f>+Y463*(1+'SImple Return'!K463)</f>
        <v>191.91549295774638</v>
      </c>
      <c r="Z464" s="14">
        <f>+Z463*(1+'SImple Return'!L463)</f>
        <v>1346.2809836863896</v>
      </c>
      <c r="AA464" s="14">
        <f>+AA463*(1+'SImple Return'!M463)</f>
        <v>180.99228333992889</v>
      </c>
      <c r="AB464" s="14">
        <f>+AB463*(1+'SImple Return'!N463)</f>
        <v>247.25886091420182</v>
      </c>
    </row>
    <row r="465" spans="1:28">
      <c r="A465" s="8">
        <v>40865</v>
      </c>
      <c r="B465" s="10">
        <v>1157.5</v>
      </c>
      <c r="C465" s="10">
        <v>360.26</v>
      </c>
      <c r="D465" s="10">
        <v>138.28</v>
      </c>
      <c r="E465" s="11">
        <v>2146.27</v>
      </c>
      <c r="F465" s="11">
        <v>2582.09</v>
      </c>
      <c r="G465" s="11">
        <v>1947.81</v>
      </c>
      <c r="H465" s="14">
        <v>1804.01</v>
      </c>
      <c r="I465" s="14">
        <v>2455.6799999999998</v>
      </c>
      <c r="J465" s="14">
        <v>2205.96</v>
      </c>
      <c r="K465" s="14">
        <v>1916.29</v>
      </c>
      <c r="L465" s="14">
        <v>13315.81</v>
      </c>
      <c r="M465" s="14">
        <v>1783.29</v>
      </c>
      <c r="N465" s="14">
        <v>2523.0700000000002</v>
      </c>
      <c r="P465" s="14">
        <f>+P464*(1+'SImple Return'!B464)</f>
        <v>142.21474118760048</v>
      </c>
      <c r="Q465" s="14">
        <f>+Q464*(1+'SImple Return'!C464)</f>
        <v>168.0160432795449</v>
      </c>
      <c r="R465" s="14">
        <f>+R464*(1+'SImple Return'!D464)</f>
        <v>159.52930318412541</v>
      </c>
      <c r="S465" s="14">
        <f>+S464*(1+'SImple Return'!E464)</f>
        <v>214.16654193483978</v>
      </c>
      <c r="T465" s="14">
        <f>+T464*(1+'SImple Return'!F464)</f>
        <v>253.4940113881799</v>
      </c>
      <c r="U465" s="14">
        <f>+U464*(1+'SImple Return'!G464)</f>
        <v>190.86072079487329</v>
      </c>
      <c r="V465" s="14">
        <f>+V464*(1+'SImple Return'!H464)</f>
        <v>179.74851289817994</v>
      </c>
      <c r="W465" s="14">
        <f>+W464*(1+'SImple Return'!I464)</f>
        <v>244.85547058061033</v>
      </c>
      <c r="X465" s="14">
        <f>+X464*(1+'SImple Return'!J464)</f>
        <v>222.21595430689757</v>
      </c>
      <c r="Y465" s="14">
        <f>+Y464*(1+'SImple Return'!K464)</f>
        <v>186.13793103448265</v>
      </c>
      <c r="Z465" s="14">
        <f>+Z464*(1+'SImple Return'!L464)</f>
        <v>1296.8892135378626</v>
      </c>
      <c r="AA465" s="14">
        <f>+AA464*(1+'SImple Return'!M464)</f>
        <v>176.42362485160282</v>
      </c>
      <c r="AB465" s="14">
        <f>+AB464*(1+'SImple Return'!N464)</f>
        <v>246.69469567342941</v>
      </c>
    </row>
    <row r="466" spans="1:28">
      <c r="A466" s="8">
        <v>40872</v>
      </c>
      <c r="B466" s="10">
        <v>1097.81</v>
      </c>
      <c r="C466" s="10">
        <v>357.64</v>
      </c>
      <c r="D466" s="10">
        <v>131.85</v>
      </c>
      <c r="E466" s="11">
        <v>2026.9</v>
      </c>
      <c r="F466" s="11">
        <v>2498.6999999999998</v>
      </c>
      <c r="G466" s="11">
        <v>1880.75</v>
      </c>
      <c r="H466" s="14">
        <v>1731.37</v>
      </c>
      <c r="I466" s="14">
        <v>2312.71</v>
      </c>
      <c r="J466" s="14">
        <v>2099.86</v>
      </c>
      <c r="K466" s="14">
        <v>1800</v>
      </c>
      <c r="L466" s="14">
        <v>13041.08</v>
      </c>
      <c r="M466" s="14">
        <v>1650.12</v>
      </c>
      <c r="N466" s="14">
        <v>2433.1</v>
      </c>
      <c r="P466" s="14">
        <f>+P465*(1+'SImple Return'!B465)</f>
        <v>134.88100649949001</v>
      </c>
      <c r="Q466" s="14">
        <f>+Q465*(1+'SImple Return'!C465)</f>
        <v>166.7941423374686</v>
      </c>
      <c r="R466" s="14">
        <f>+R465*(1+'SImple Return'!D465)</f>
        <v>152.11121365943688</v>
      </c>
      <c r="S466" s="14">
        <f>+S465*(1+'SImple Return'!E465)</f>
        <v>202.25515142443717</v>
      </c>
      <c r="T466" s="14">
        <f>+T465*(1+'SImple Return'!F465)</f>
        <v>245.30728450814846</v>
      </c>
      <c r="U466" s="14">
        <f>+U465*(1+'SImple Return'!G465)</f>
        <v>184.28968977208143</v>
      </c>
      <c r="V466" s="14">
        <f>+V465*(1+'SImple Return'!H465)</f>
        <v>172.51078584737434</v>
      </c>
      <c r="W466" s="14">
        <f>+W465*(1+'SImple Return'!I465)</f>
        <v>230.59995413347153</v>
      </c>
      <c r="X466" s="14">
        <f>+X465*(1+'SImple Return'!J465)</f>
        <v>211.52803940727935</v>
      </c>
      <c r="Y466" s="14">
        <f>+Y465*(1+'SImple Return'!K465)</f>
        <v>174.84215638659532</v>
      </c>
      <c r="Z466" s="14">
        <f>+Z465*(1+'SImple Return'!L465)</f>
        <v>1270.1319698076459</v>
      </c>
      <c r="AA466" s="14">
        <f>+AA465*(1+'SImple Return'!M465)</f>
        <v>163.24891175306701</v>
      </c>
      <c r="AB466" s="14">
        <f>+AB465*(1+'SImple Return'!N465)</f>
        <v>237.89782449278894</v>
      </c>
    </row>
    <row r="467" spans="1:28">
      <c r="A467" s="8">
        <v>40879</v>
      </c>
      <c r="B467" s="10">
        <v>1187.6400000000001</v>
      </c>
      <c r="C467" s="10">
        <v>359.37</v>
      </c>
      <c r="D467" s="10">
        <v>140.74</v>
      </c>
      <c r="E467" s="11">
        <v>2104.89</v>
      </c>
      <c r="F467" s="11">
        <v>2636.24</v>
      </c>
      <c r="G467" s="11">
        <v>2004.23</v>
      </c>
      <c r="H467" s="14">
        <v>1763.27</v>
      </c>
      <c r="I467" s="14">
        <v>2507.9299999999998</v>
      </c>
      <c r="J467" s="14">
        <v>2170.66</v>
      </c>
      <c r="K467" s="14">
        <v>1936.13</v>
      </c>
      <c r="L467" s="14">
        <v>13938.94</v>
      </c>
      <c r="M467" s="14">
        <v>1838</v>
      </c>
      <c r="N467" s="14">
        <v>2566.73</v>
      </c>
      <c r="P467" s="14">
        <f>+P466*(1+'SImple Return'!B466)</f>
        <v>145.91785332530614</v>
      </c>
      <c r="Q467" s="14">
        <f>+Q466*(1+'SImple Return'!C466)</f>
        <v>167.60097005876324</v>
      </c>
      <c r="R467" s="14">
        <f>+R466*(1+'SImple Return'!D466)</f>
        <v>162.36732810336858</v>
      </c>
      <c r="S467" s="14">
        <f>+S466*(1+'SImple Return'!E466)</f>
        <v>210.03741954797155</v>
      </c>
      <c r="T467" s="14">
        <f>+T466*(1+'SImple Return'!F466)</f>
        <v>258.81013155311211</v>
      </c>
      <c r="U467" s="14">
        <f>+U466*(1+'SImple Return'!G466)</f>
        <v>196.38916651968563</v>
      </c>
      <c r="V467" s="14">
        <f>+V466*(1+'SImple Return'!H466)</f>
        <v>175.68924802965267</v>
      </c>
      <c r="W467" s="14">
        <f>+W466*(1+'SImple Return'!I466)</f>
        <v>250.06530994805109</v>
      </c>
      <c r="X467" s="14">
        <f>+X466*(1+'SImple Return'!J466)</f>
        <v>218.66003163058724</v>
      </c>
      <c r="Y467" s="14">
        <f>+Y466*(1+'SImple Return'!K466)</f>
        <v>188.06508013598824</v>
      </c>
      <c r="Z467" s="14">
        <f>+Z466*(1+'SImple Return'!L466)</f>
        <v>1357.5787679571467</v>
      </c>
      <c r="AA467" s="14">
        <f>+AA466*(1+'SImple Return'!M466)</f>
        <v>181.83616937079557</v>
      </c>
      <c r="AB467" s="14">
        <f>+AB466*(1+'SImple Return'!N466)</f>
        <v>250.96357858714239</v>
      </c>
    </row>
    <row r="468" spans="1:28">
      <c r="A468" s="8">
        <v>40886</v>
      </c>
      <c r="B468" s="10">
        <v>1187.29</v>
      </c>
      <c r="C468" s="10">
        <v>360.12</v>
      </c>
      <c r="D468" s="10">
        <v>139.30000000000001</v>
      </c>
      <c r="E468" s="11">
        <v>2091.5500000000002</v>
      </c>
      <c r="F468" s="11">
        <v>2633.93</v>
      </c>
      <c r="G468" s="11">
        <v>1979.31</v>
      </c>
      <c r="H468" s="14">
        <v>1757.75</v>
      </c>
      <c r="I468" s="14">
        <v>2478.56</v>
      </c>
      <c r="J468" s="14">
        <v>2142.59</v>
      </c>
      <c r="K468" s="14">
        <v>1933.18</v>
      </c>
      <c r="L468" s="14">
        <v>13891.39</v>
      </c>
      <c r="M468" s="14">
        <v>1818.61</v>
      </c>
      <c r="N468" s="14">
        <v>2562.2800000000002</v>
      </c>
      <c r="P468" s="14">
        <f>+P467*(1+'SImple Return'!B467)</f>
        <v>145.8748510277548</v>
      </c>
      <c r="Q468" s="14">
        <f>+Q467*(1+'SImple Return'!C467)</f>
        <v>167.95075086279269</v>
      </c>
      <c r="R468" s="14">
        <f>+R467*(1+'SImple Return'!D467)</f>
        <v>160.70604522381157</v>
      </c>
      <c r="S468" s="14">
        <f>+S467*(1+'SImple Return'!E467)</f>
        <v>208.70628149478594</v>
      </c>
      <c r="T468" s="14">
        <f>+T467*(1+'SImple Return'!F467)</f>
        <v>258.58334969566073</v>
      </c>
      <c r="U468" s="14">
        <f>+U467*(1+'SImple Return'!G467)</f>
        <v>193.9473220059968</v>
      </c>
      <c r="V468" s="14">
        <f>+V467*(1+'SImple Return'!H467)</f>
        <v>175.13924454231173</v>
      </c>
      <c r="W468" s="14">
        <f>+W467*(1+'SImple Return'!I467)</f>
        <v>247.13683181940547</v>
      </c>
      <c r="X468" s="14">
        <f>+X467*(1+'SImple Return'!J467)</f>
        <v>215.83241832962324</v>
      </c>
      <c r="Y468" s="14">
        <f>+Y467*(1+'SImple Return'!K467)</f>
        <v>187.77853326857687</v>
      </c>
      <c r="Z468" s="14">
        <f>+Z467*(1+'SImple Return'!L467)</f>
        <v>1352.9476503530561</v>
      </c>
      <c r="AA468" s="14">
        <f>+AA467*(1+'SImple Return'!M467)</f>
        <v>179.9178868223191</v>
      </c>
      <c r="AB468" s="14">
        <f>+AB467*(1+'SImple Return'!N467)</f>
        <v>250.52847714495223</v>
      </c>
    </row>
    <row r="469" spans="1:28">
      <c r="A469" s="8">
        <v>40893</v>
      </c>
      <c r="B469" s="10">
        <v>1146.48</v>
      </c>
      <c r="C469" s="10">
        <v>361.69</v>
      </c>
      <c r="D469" s="10">
        <v>136.81</v>
      </c>
      <c r="E469" s="11">
        <v>2040.17</v>
      </c>
      <c r="F469" s="11">
        <v>2630.8</v>
      </c>
      <c r="G469" s="11">
        <v>1982.55</v>
      </c>
      <c r="H469" s="14">
        <v>1753.17</v>
      </c>
      <c r="I469" s="14">
        <v>2417.04</v>
      </c>
      <c r="J469" s="14">
        <v>2125.6</v>
      </c>
      <c r="K469" s="14">
        <v>1879.22</v>
      </c>
      <c r="L469" s="14">
        <v>13804.2</v>
      </c>
      <c r="M469" s="14">
        <v>1767.55</v>
      </c>
      <c r="N469" s="14">
        <v>2550.23</v>
      </c>
      <c r="P469" s="14">
        <f>+P468*(1+'SImple Return'!B468)</f>
        <v>140.86078313327016</v>
      </c>
      <c r="Q469" s="14">
        <f>+Q468*(1+'SImple Return'!C468)</f>
        <v>168.68295867922774</v>
      </c>
      <c r="R469" s="14">
        <f>+R468*(1+'SImple Return'!D468)</f>
        <v>157.83341024457761</v>
      </c>
      <c r="S469" s="14">
        <f>+S468*(1+'SImple Return'!E468)</f>
        <v>203.57930449533475</v>
      </c>
      <c r="T469" s="14">
        <f>+T468*(1+'SImple Return'!F468)</f>
        <v>258.2760651875123</v>
      </c>
      <c r="U469" s="14">
        <f>+U468*(1+'SImple Return'!G468)</f>
        <v>194.26480098771236</v>
      </c>
      <c r="V469" s="14">
        <f>+V468*(1+'SImple Return'!H468)</f>
        <v>174.68290106911942</v>
      </c>
      <c r="W469" s="14">
        <f>+W468*(1+'SImple Return'!I468)</f>
        <v>241.00268219481305</v>
      </c>
      <c r="X469" s="14">
        <f>+X468*(1+'SImple Return'!J468)</f>
        <v>214.12094166473619</v>
      </c>
      <c r="Y469" s="14">
        <f>+Y468*(1+'SImple Return'!K468)</f>
        <v>182.53715395823204</v>
      </c>
      <c r="Z469" s="14">
        <f>+Z468*(1+'SImple Return'!L468)</f>
        <v>1344.4558071585104</v>
      </c>
      <c r="AA469" s="14">
        <f>+AA468*(1+'SImple Return'!M468)</f>
        <v>174.86644242184423</v>
      </c>
      <c r="AB469" s="14">
        <f>+AB468*(1+'SImple Return'!N468)</f>
        <v>249.35028110486422</v>
      </c>
    </row>
    <row r="470" spans="1:28">
      <c r="A470" s="8">
        <v>40900</v>
      </c>
      <c r="B470" s="10">
        <v>1182.24</v>
      </c>
      <c r="C470" s="10">
        <v>359.81</v>
      </c>
      <c r="D470" s="10">
        <v>140.79</v>
      </c>
      <c r="E470" s="11">
        <v>2083.9299999999998</v>
      </c>
      <c r="F470" s="11">
        <v>2729.46</v>
      </c>
      <c r="G470" s="11">
        <v>2000.1</v>
      </c>
      <c r="H470" s="14">
        <v>1802.38</v>
      </c>
      <c r="I470" s="14">
        <v>2424.48</v>
      </c>
      <c r="J470" s="14">
        <v>2172.9299999999998</v>
      </c>
      <c r="K470" s="14">
        <v>1913.74</v>
      </c>
      <c r="L470" s="14">
        <v>14203.64</v>
      </c>
      <c r="M470" s="14">
        <v>1805.18</v>
      </c>
      <c r="N470" s="14">
        <v>2638.36</v>
      </c>
      <c r="P470" s="14">
        <f>+P469*(1+'SImple Return'!B469)</f>
        <v>145.25438930594279</v>
      </c>
      <c r="Q470" s="14">
        <f>+Q469*(1+'SImple Return'!C469)</f>
        <v>167.8061747971272</v>
      </c>
      <c r="R470" s="14">
        <f>+R469*(1+'SImple Return'!D469)</f>
        <v>162.4250115366865</v>
      </c>
      <c r="S470" s="14">
        <f>+S469*(1+'SImple Return'!E469)</f>
        <v>207.94591627999768</v>
      </c>
      <c r="T470" s="14">
        <f>+T469*(1+'SImple Return'!F469)</f>
        <v>267.96190850186537</v>
      </c>
      <c r="U470" s="14">
        <f>+U469*(1+'SImple Return'!G469)</f>
        <v>195.98447880533831</v>
      </c>
      <c r="V470" s="14">
        <f>+V469*(1+'SImple Return'!H469)</f>
        <v>179.58610244811371</v>
      </c>
      <c r="W470" s="14">
        <f>+W469*(1+'SImple Return'!I469)</f>
        <v>241.74452343679889</v>
      </c>
      <c r="X470" s="14">
        <f>+X469*(1+'SImple Return'!J469)</f>
        <v>218.88869861288822</v>
      </c>
      <c r="Y470" s="14">
        <f>+Y469*(1+'SImple Return'!K469)</f>
        <v>185.89023797960164</v>
      </c>
      <c r="Z470" s="14">
        <f>+Z469*(1+'SImple Return'!L469)</f>
        <v>1383.359142926711</v>
      </c>
      <c r="AA470" s="14">
        <f>+AA469*(1+'SImple Return'!M469)</f>
        <v>178.58923624851622</v>
      </c>
      <c r="AB470" s="14">
        <f>+AB469*(1+'SImple Return'!N469)</f>
        <v>257.9672451723294</v>
      </c>
    </row>
    <row r="471" spans="1:28">
      <c r="A471" s="8">
        <v>40907</v>
      </c>
      <c r="B471" s="10">
        <v>1182.5899999999999</v>
      </c>
      <c r="C471" s="10">
        <v>362.68</v>
      </c>
      <c r="D471" s="10">
        <v>140.07</v>
      </c>
      <c r="E471" s="11">
        <v>2091.5</v>
      </c>
      <c r="F471" s="11">
        <v>2740.72</v>
      </c>
      <c r="G471" s="11">
        <v>2014.24</v>
      </c>
      <c r="H471" s="14">
        <v>1808.86</v>
      </c>
      <c r="I471" s="14">
        <v>2432.2199999999998</v>
      </c>
      <c r="J471" s="14">
        <v>2177.98</v>
      </c>
      <c r="K471" s="14">
        <v>1895.16</v>
      </c>
      <c r="L471" s="14">
        <v>14233.49</v>
      </c>
      <c r="M471" s="14">
        <v>1820.22</v>
      </c>
      <c r="N471" s="14">
        <v>2654.3</v>
      </c>
      <c r="P471" s="14">
        <f>+P470*(1+'SImple Return'!B470)</f>
        <v>145.29739160349411</v>
      </c>
      <c r="Q471" s="14">
        <f>+Q470*(1+'SImple Return'!C470)</f>
        <v>169.14466934054667</v>
      </c>
      <c r="R471" s="14">
        <f>+R470*(1+'SImple Return'!D470)</f>
        <v>161.59437009690799</v>
      </c>
      <c r="S471" s="14">
        <f>+S470*(1+'SImple Return'!E470)</f>
        <v>208.70129222172301</v>
      </c>
      <c r="T471" s="14">
        <f>+T470*(1+'SImple Return'!F470)</f>
        <v>269.06734733948559</v>
      </c>
      <c r="U471" s="14">
        <f>+U470*(1+'SImple Return'!G470)</f>
        <v>197.37001979344265</v>
      </c>
      <c r="V471" s="14">
        <f>+V470*(1+'SImple Return'!H470)</f>
        <v>180.23175871586176</v>
      </c>
      <c r="W471" s="14">
        <f>+W470*(1+'SImple Return'!I470)</f>
        <v>242.51627763209055</v>
      </c>
      <c r="X471" s="14">
        <f>+X470*(1+'SImple Return'!J470)</f>
        <v>219.39740709774284</v>
      </c>
      <c r="Y471" s="14">
        <f>+Y470*(1+'SImple Return'!K470)</f>
        <v>184.08547838756667</v>
      </c>
      <c r="Z471" s="14">
        <f>+Z470*(1+'SImple Return'!L470)</f>
        <v>1386.2663744825913</v>
      </c>
      <c r="AA471" s="14">
        <f>+AA470*(1+'SImple Return'!M470)</f>
        <v>180.07716660071247</v>
      </c>
      <c r="AB471" s="14">
        <f>+AB470*(1+'SImple Return'!N470)</f>
        <v>259.52578831581508</v>
      </c>
    </row>
    <row r="472" spans="1:28">
      <c r="A472" s="8">
        <v>40914</v>
      </c>
      <c r="B472" s="10">
        <v>1191.67</v>
      </c>
      <c r="C472" s="10">
        <v>361.03</v>
      </c>
      <c r="D472" s="10">
        <v>140.19</v>
      </c>
      <c r="E472" s="11">
        <v>2045.68</v>
      </c>
      <c r="F472" s="11">
        <v>2710.69</v>
      </c>
      <c r="G472" s="11">
        <v>2011.99</v>
      </c>
      <c r="H472" s="14">
        <v>1760.24</v>
      </c>
      <c r="I472" s="14">
        <v>2433.2399999999998</v>
      </c>
      <c r="J472" s="14">
        <v>2185.64</v>
      </c>
      <c r="K472" s="14">
        <v>1943.19</v>
      </c>
      <c r="L472" s="14">
        <v>14177.21</v>
      </c>
      <c r="M472" s="14">
        <v>1800.23</v>
      </c>
      <c r="N472" s="14">
        <v>2626.4</v>
      </c>
      <c r="P472" s="14">
        <f>+P471*(1+'SImple Return'!B471)</f>
        <v>146.41299406568282</v>
      </c>
      <c r="Q472" s="14">
        <f>+Q471*(1+'SImple Return'!C471)</f>
        <v>168.37515157168181</v>
      </c>
      <c r="R472" s="14">
        <f>+R471*(1+'SImple Return'!D471)</f>
        <v>161.7328103368711</v>
      </c>
      <c r="S472" s="14">
        <f>+S471*(1+'SImple Return'!E471)</f>
        <v>204.12912238686798</v>
      </c>
      <c r="T472" s="14">
        <f>+T471*(1+'SImple Return'!F471)</f>
        <v>266.11918319261736</v>
      </c>
      <c r="U472" s="14">
        <f>+U471*(1+'SImple Return'!G471)</f>
        <v>197.1495482783624</v>
      </c>
      <c r="V472" s="14">
        <f>+V471*(1+'SImple Return'!H471)</f>
        <v>175.38734394149273</v>
      </c>
      <c r="W472" s="14">
        <f>+W471*(1+'SImple Return'!I471)</f>
        <v>242.61798167333055</v>
      </c>
      <c r="X472" s="14">
        <f>+X471*(1+'SImple Return'!J471)</f>
        <v>220.16903224506683</v>
      </c>
      <c r="Y472" s="14">
        <f>+Y471*(1+'SImple Return'!K471)</f>
        <v>188.75084992714898</v>
      </c>
      <c r="Z472" s="14">
        <f>+Z471*(1+'SImple Return'!L471)</f>
        <v>1380.7850012174342</v>
      </c>
      <c r="AA472" s="14">
        <f>+AA471*(1+'SImple Return'!M471)</f>
        <v>178.09952512861116</v>
      </c>
      <c r="AB472" s="14">
        <f>+AB471*(1+'SImple Return'!N471)</f>
        <v>256.79784893669017</v>
      </c>
    </row>
    <row r="473" spans="1:28">
      <c r="A473" s="8">
        <v>40921</v>
      </c>
      <c r="B473" s="10">
        <v>1201.06</v>
      </c>
      <c r="C473" s="10">
        <v>363.16</v>
      </c>
      <c r="D473" s="10">
        <v>143.21</v>
      </c>
      <c r="E473" s="11">
        <v>2050.7600000000002</v>
      </c>
      <c r="F473" s="11">
        <v>2696.01</v>
      </c>
      <c r="G473" s="11">
        <v>2030.33</v>
      </c>
      <c r="H473" s="14">
        <v>1772.62</v>
      </c>
      <c r="I473" s="14">
        <v>2477.58</v>
      </c>
      <c r="J473" s="14">
        <v>2172.15</v>
      </c>
      <c r="K473" s="14">
        <v>2020.42</v>
      </c>
      <c r="L473" s="14">
        <v>14382.34</v>
      </c>
      <c r="M473" s="14">
        <v>1810.19</v>
      </c>
      <c r="N473" s="14">
        <v>2595.42</v>
      </c>
      <c r="P473" s="14">
        <f>+P472*(1+'SImple Return'!B472)</f>
        <v>147.56668427713126</v>
      </c>
      <c r="Q473" s="14">
        <f>+Q472*(1+'SImple Return'!C472)</f>
        <v>169.36852905512555</v>
      </c>
      <c r="R473" s="14">
        <f>+R472*(1+'SImple Return'!D472)</f>
        <v>165.21688970927536</v>
      </c>
      <c r="S473" s="14">
        <f>+S472*(1+'SImple Return'!E472)</f>
        <v>204.63603253006013</v>
      </c>
      <c r="T473" s="14">
        <f>+T472*(1+'SImple Return'!F472)</f>
        <v>264.67798939721195</v>
      </c>
      <c r="U473" s="14">
        <f>+U472*(1+'SImple Return'!G472)</f>
        <v>198.94663609461654</v>
      </c>
      <c r="V473" s="14">
        <f>+V472*(1+'SImple Return'!H472)</f>
        <v>176.6208662554929</v>
      </c>
      <c r="W473" s="14">
        <f>+W472*(1+'SImple Return'!I472)</f>
        <v>247.03911617193961</v>
      </c>
      <c r="X473" s="14">
        <f>+X472*(1+'SImple Return'!J472)</f>
        <v>218.81012581720776</v>
      </c>
      <c r="Y473" s="14">
        <f>+Y472*(1+'SImple Return'!K472)</f>
        <v>196.25254978144716</v>
      </c>
      <c r="Z473" s="14">
        <f>+Z472*(1+'SImple Return'!L472)</f>
        <v>1400.7635743851968</v>
      </c>
      <c r="AA473" s="14">
        <f>+AA472*(1+'SImple Return'!M472)</f>
        <v>179.0848832607837</v>
      </c>
      <c r="AB473" s="14">
        <f>+AB472*(1+'SImple Return'!N472)</f>
        <v>253.76876069420669</v>
      </c>
    </row>
    <row r="474" spans="1:28">
      <c r="A474" s="8">
        <v>40928</v>
      </c>
      <c r="B474" s="10">
        <v>1235.6400000000001</v>
      </c>
      <c r="C474" s="10">
        <v>362.4</v>
      </c>
      <c r="D474" s="10">
        <v>148.87</v>
      </c>
      <c r="E474" s="11">
        <v>2085.85</v>
      </c>
      <c r="F474" s="11">
        <v>2708.54</v>
      </c>
      <c r="G474" s="11">
        <v>2040.85</v>
      </c>
      <c r="H474" s="14">
        <v>1772.69</v>
      </c>
      <c r="I474" s="14">
        <v>2569.6799999999998</v>
      </c>
      <c r="J474" s="14">
        <v>2207.14</v>
      </c>
      <c r="K474" s="14">
        <v>2064.7399999999998</v>
      </c>
      <c r="L474" s="14">
        <v>14432.02</v>
      </c>
      <c r="M474" s="14">
        <v>1859</v>
      </c>
      <c r="N474" s="14">
        <v>2615.92</v>
      </c>
      <c r="P474" s="14">
        <f>+P473*(1+'SImple Return'!B473)</f>
        <v>151.81531127520233</v>
      </c>
      <c r="Q474" s="14">
        <f>+Q473*(1+'SImple Return'!C473)</f>
        <v>169.01408450704233</v>
      </c>
      <c r="R474" s="14">
        <f>+R473*(1+'SImple Return'!D473)</f>
        <v>171.74665436086744</v>
      </c>
      <c r="S474" s="14">
        <f>+S473*(1+'SImple Return'!E473)</f>
        <v>208.13750436561367</v>
      </c>
      <c r="T474" s="14">
        <f>+T473*(1+'SImple Return'!F473)</f>
        <v>265.90810916944832</v>
      </c>
      <c r="U474" s="14">
        <f>+U473*(1+'SImple Return'!G473)</f>
        <v>199.97746291179178</v>
      </c>
      <c r="V474" s="14">
        <f>+V473*(1+'SImple Return'!H473)</f>
        <v>176.62784093739759</v>
      </c>
      <c r="W474" s="14">
        <f>+W473*(1+'SImple Return'!I473)</f>
        <v>256.22239283684473</v>
      </c>
      <c r="X474" s="14">
        <f>+X473*(1+'SImple Return'!J473)</f>
        <v>222.33482084395274</v>
      </c>
      <c r="Y474" s="14">
        <f>+Y473*(1+'SImple Return'!K473)</f>
        <v>200.55755220981041</v>
      </c>
      <c r="Z474" s="14">
        <f>+Z473*(1+'SImple Return'!L473)</f>
        <v>1405.6021426832244</v>
      </c>
      <c r="AA474" s="14">
        <f>+AA473*(1+'SImple Return'!M473)</f>
        <v>183.91373169766536</v>
      </c>
      <c r="AB474" s="14">
        <f>+AB473*(1+'SImple Return'!N473)</f>
        <v>255.7731605964311</v>
      </c>
    </row>
    <row r="475" spans="1:28">
      <c r="A475" s="8">
        <v>40935</v>
      </c>
      <c r="B475" s="10">
        <v>1246.04</v>
      </c>
      <c r="C475" s="10">
        <v>365.59</v>
      </c>
      <c r="D475" s="10">
        <v>152.29</v>
      </c>
      <c r="E475" s="11">
        <v>2124.96</v>
      </c>
      <c r="F475" s="11">
        <v>2734.51</v>
      </c>
      <c r="G475" s="11">
        <v>2087.7199999999998</v>
      </c>
      <c r="H475" s="14">
        <v>1785.36</v>
      </c>
      <c r="I475" s="14">
        <v>2638.71</v>
      </c>
      <c r="J475" s="14">
        <v>2242.1799999999998</v>
      </c>
      <c r="K475" s="14">
        <v>2141.65</v>
      </c>
      <c r="L475" s="14">
        <v>14843.52</v>
      </c>
      <c r="M475" s="14">
        <v>1909.03</v>
      </c>
      <c r="N475" s="14">
        <v>2649.39</v>
      </c>
      <c r="P475" s="14">
        <f>+P474*(1+'SImple Return'!B474)</f>
        <v>153.09309383101316</v>
      </c>
      <c r="Q475" s="14">
        <f>+Q474*(1+'SImple Return'!C474)</f>
        <v>170.501818860181</v>
      </c>
      <c r="R475" s="14">
        <f>+R474*(1+'SImple Return'!D474)</f>
        <v>175.69220119981529</v>
      </c>
      <c r="S475" s="14">
        <f>+S474*(1+'SImple Return'!E474)</f>
        <v>212.04011375542561</v>
      </c>
      <c r="T475" s="14">
        <f>+T474*(1+'SImple Return'!F474)</f>
        <v>268.45768702140202</v>
      </c>
      <c r="U475" s="14">
        <f>+U474*(1+'SImple Return'!G474)</f>
        <v>204.57012953926349</v>
      </c>
      <c r="V475" s="14">
        <f>+V474*(1+'SImple Return'!H474)</f>
        <v>177.89025836214574</v>
      </c>
      <c r="W475" s="14">
        <f>+W474*(1+'SImple Return'!I474)</f>
        <v>263.10536339252769</v>
      </c>
      <c r="X475" s="14">
        <f>+X474*(1+'SImple Return'!J474)</f>
        <v>225.86455258836958</v>
      </c>
      <c r="Y475" s="14">
        <f>+Y474*(1+'SImple Return'!K474)</f>
        <v>208.02816901408437</v>
      </c>
      <c r="Z475" s="14">
        <f>+Z474*(1+'SImple Return'!L474)</f>
        <v>1445.6800584368159</v>
      </c>
      <c r="AA475" s="14">
        <f>+AA474*(1+'SImple Return'!M474)</f>
        <v>188.86327661258423</v>
      </c>
      <c r="AB475" s="14">
        <f>+AB474*(1+'SImple Return'!N474)</f>
        <v>259.04571009533106</v>
      </c>
    </row>
    <row r="476" spans="1:28">
      <c r="A476" s="8">
        <v>40942</v>
      </c>
      <c r="B476" s="10">
        <v>1273.74</v>
      </c>
      <c r="C476" s="10">
        <v>365.8</v>
      </c>
      <c r="D476" s="10">
        <v>154.22999999999999</v>
      </c>
      <c r="E476" s="11">
        <v>2188.58</v>
      </c>
      <c r="F476" s="11">
        <v>2758.71</v>
      </c>
      <c r="G476" s="11">
        <v>2103.4499999999998</v>
      </c>
      <c r="H476" s="14">
        <v>1830.21</v>
      </c>
      <c r="I476" s="14">
        <v>2660.28</v>
      </c>
      <c r="J476" s="14">
        <v>2287.9299999999998</v>
      </c>
      <c r="K476" s="14">
        <v>2205.59</v>
      </c>
      <c r="L476" s="14">
        <v>14933.42</v>
      </c>
      <c r="M476" s="14">
        <v>1965.57</v>
      </c>
      <c r="N476" s="14">
        <v>2665.76</v>
      </c>
      <c r="P476" s="14">
        <f>+P475*(1+'SImple Return'!B475)</f>
        <v>156.49641852293243</v>
      </c>
      <c r="Q476" s="14">
        <f>+Q475*(1+'SImple Return'!C475)</f>
        <v>170.59975748530928</v>
      </c>
      <c r="R476" s="14">
        <f>+R475*(1+'SImple Return'!D475)</f>
        <v>177.9303184125518</v>
      </c>
      <c r="S476" s="14">
        <f>+S475*(1+'SImple Return'!E475)</f>
        <v>218.38846480067829</v>
      </c>
      <c r="T476" s="14">
        <f>+T475*(1+'SImple Return'!F475)</f>
        <v>270.83349695660718</v>
      </c>
      <c r="U476" s="14">
        <f>+U475*(1+'SImple Return'!G475)</f>
        <v>206.11147039802452</v>
      </c>
      <c r="V476" s="14">
        <f>+V475*(1+'SImple Return'!H475)</f>
        <v>182.35903669679101</v>
      </c>
      <c r="W476" s="14">
        <f>+W475*(1+'SImple Return'!I475)</f>
        <v>265.25610473522045</v>
      </c>
      <c r="X476" s="14">
        <f>+X475*(1+'SImple Return'!J475)</f>
        <v>230.47314925809187</v>
      </c>
      <c r="Y476" s="14">
        <f>+Y475*(1+'SImple Return'!K475)</f>
        <v>214.23895094706154</v>
      </c>
      <c r="Z476" s="14">
        <f>+Z475*(1+'SImple Return'!L475)</f>
        <v>1454.4358412466527</v>
      </c>
      <c r="AA476" s="14">
        <f>+AA475*(1+'SImple Return'!M475)</f>
        <v>194.45686584883276</v>
      </c>
      <c r="AB476" s="14">
        <f>+AB475*(1+'SImple Return'!N475)</f>
        <v>260.64629674896099</v>
      </c>
    </row>
    <row r="477" spans="1:28">
      <c r="A477" s="8">
        <v>40949</v>
      </c>
      <c r="B477" s="10">
        <v>1269.6600000000001</v>
      </c>
      <c r="C477" s="10">
        <v>365.82</v>
      </c>
      <c r="D477" s="10">
        <v>152.72</v>
      </c>
      <c r="E477" s="11">
        <v>2168.46</v>
      </c>
      <c r="F477" s="11">
        <v>2759.59</v>
      </c>
      <c r="G477" s="11">
        <v>2127.8200000000002</v>
      </c>
      <c r="H477" s="14">
        <v>1819.65</v>
      </c>
      <c r="I477" s="14">
        <v>2640.34</v>
      </c>
      <c r="J477" s="14">
        <v>2265.19</v>
      </c>
      <c r="K477" s="14">
        <v>2211.6999999999998</v>
      </c>
      <c r="L477" s="14">
        <v>14917.53</v>
      </c>
      <c r="M477" s="14">
        <v>1948.13</v>
      </c>
      <c r="N477" s="14">
        <v>2679.85</v>
      </c>
      <c r="P477" s="14">
        <f>+P476*(1+'SImple Return'!B476)</f>
        <v>155.99513459719125</v>
      </c>
      <c r="Q477" s="14">
        <f>+Q476*(1+'SImple Return'!C476)</f>
        <v>170.60908497341671</v>
      </c>
      <c r="R477" s="14">
        <f>+R476*(1+'SImple Return'!D476)</f>
        <v>176.18827872634969</v>
      </c>
      <c r="S477" s="14">
        <f>+S476*(1+'SImple Return'!E476)</f>
        <v>216.38078132016142</v>
      </c>
      <c r="T477" s="14">
        <f>+T476*(1+'SImple Return'!F476)</f>
        <v>270.91989004516012</v>
      </c>
      <c r="U477" s="14">
        <f>+U476*(1+'SImple Return'!G476)</f>
        <v>208.49942187469378</v>
      </c>
      <c r="V477" s="14">
        <f>+V476*(1+'SImple Return'!H476)</f>
        <v>181.30685611231266</v>
      </c>
      <c r="W477" s="14">
        <f>+W476*(1+'SImple Return'!I476)</f>
        <v>263.26789043882297</v>
      </c>
      <c r="X477" s="14">
        <f>+X476*(1+'SImple Return'!J476)</f>
        <v>228.18245006094469</v>
      </c>
      <c r="Y477" s="14">
        <f>+Y476*(1+'SImple Return'!K476)</f>
        <v>214.83244293346269</v>
      </c>
      <c r="Z477" s="14">
        <f>+Z476*(1+'SImple Return'!L476)</f>
        <v>1452.8882395909429</v>
      </c>
      <c r="AA477" s="14">
        <f>+AA476*(1+'SImple Return'!M476)</f>
        <v>192.73149980213708</v>
      </c>
      <c r="AB477" s="14">
        <f>+AB476*(1+'SImple Return'!N476)</f>
        <v>262.02395502322156</v>
      </c>
    </row>
    <row r="478" spans="1:28">
      <c r="A478" s="8">
        <v>40956</v>
      </c>
      <c r="B478" s="10">
        <v>1288.05</v>
      </c>
      <c r="C478" s="10">
        <v>364.43</v>
      </c>
      <c r="D478" s="10">
        <v>156.56</v>
      </c>
      <c r="E478" s="11">
        <v>2199.27</v>
      </c>
      <c r="F478" s="11">
        <v>2769.75</v>
      </c>
      <c r="G478" s="11">
        <v>2136.87</v>
      </c>
      <c r="H478" s="14">
        <v>1842.67</v>
      </c>
      <c r="I478" s="14">
        <v>2660.38</v>
      </c>
      <c r="J478" s="14">
        <v>2321</v>
      </c>
      <c r="K478" s="14">
        <v>2209.34</v>
      </c>
      <c r="L478" s="14">
        <v>14985.93</v>
      </c>
      <c r="M478" s="14">
        <v>1973.31</v>
      </c>
      <c r="N478" s="14">
        <v>2684.63</v>
      </c>
      <c r="P478" s="14">
        <f>+P477*(1+'SImple Return'!B477)</f>
        <v>158.25459817424522</v>
      </c>
      <c r="Q478" s="14">
        <f>+Q477*(1+'SImple Return'!C477)</f>
        <v>169.96082454994877</v>
      </c>
      <c r="R478" s="14">
        <f>+R477*(1+'SImple Return'!D477)</f>
        <v>180.61836640516833</v>
      </c>
      <c r="S478" s="14">
        <f>+S477*(1+'SImple Return'!E477)</f>
        <v>219.45517138152948</v>
      </c>
      <c r="T478" s="14">
        <f>+T477*(1+'SImple Return'!F477)</f>
        <v>271.91733752208921</v>
      </c>
      <c r="U478" s="14">
        <f>+U477*(1+'SImple Return'!G477)</f>
        <v>209.38620730201652</v>
      </c>
      <c r="V478" s="14">
        <f>+V477*(1+'SImple Return'!H477)</f>
        <v>183.60053007582511</v>
      </c>
      <c r="W478" s="14">
        <f>+W477*(1+'SImple Return'!I477)</f>
        <v>265.2660757196557</v>
      </c>
      <c r="X478" s="14">
        <f>+X477*(1+'SImple Return'!J477)</f>
        <v>233.80443432623869</v>
      </c>
      <c r="Y478" s="14">
        <f>+Y477*(1+'SImple Return'!K477)</f>
        <v>214.60320543953361</v>
      </c>
      <c r="Z478" s="14">
        <f>+Z477*(1+'SImple Return'!L477)</f>
        <v>1459.55003652301</v>
      </c>
      <c r="AA478" s="14">
        <f>+AA477*(1+'SImple Return'!M477)</f>
        <v>195.22259596359334</v>
      </c>
      <c r="AB478" s="14">
        <f>+AB477*(1+'SImple Return'!N477)</f>
        <v>262.49132241505731</v>
      </c>
    </row>
    <row r="479" spans="1:28">
      <c r="A479" s="8">
        <v>40963</v>
      </c>
      <c r="B479" s="10">
        <v>1300.57</v>
      </c>
      <c r="C479" s="10">
        <v>365.4</v>
      </c>
      <c r="D479" s="10">
        <v>156.43</v>
      </c>
      <c r="E479" s="11">
        <v>2231.37</v>
      </c>
      <c r="F479" s="11">
        <v>2788.89</v>
      </c>
      <c r="G479" s="11">
        <v>2131.52</v>
      </c>
      <c r="H479" s="14">
        <v>1847.1</v>
      </c>
      <c r="I479" s="14">
        <v>2711.02</v>
      </c>
      <c r="J479" s="14">
        <v>2320.7199999999998</v>
      </c>
      <c r="K479" s="14">
        <v>2235.6</v>
      </c>
      <c r="L479" s="14">
        <v>15320.4</v>
      </c>
      <c r="M479" s="14">
        <v>1989.68</v>
      </c>
      <c r="N479" s="14">
        <v>2701.5</v>
      </c>
      <c r="P479" s="14">
        <f>+P478*(1+'SImple Return'!B478)</f>
        <v>159.7928517895098</v>
      </c>
      <c r="Q479" s="14">
        <f>+Q478*(1+'SImple Return'!C478)</f>
        <v>170.41320772316021</v>
      </c>
      <c r="R479" s="14">
        <f>+R478*(1+'SImple Return'!D478)</f>
        <v>180.46838947854167</v>
      </c>
      <c r="S479" s="14">
        <f>+S478*(1+'SImple Return'!E478)</f>
        <v>222.65828468792071</v>
      </c>
      <c r="T479" s="14">
        <f>+T478*(1+'SImple Return'!F478)</f>
        <v>273.79638719811516</v>
      </c>
      <c r="U479" s="14">
        <f>+U478*(1+'SImple Return'!G478)</f>
        <v>208.86197503282571</v>
      </c>
      <c r="V479" s="14">
        <f>+V478*(1+'SImple Return'!H478)</f>
        <v>184.04192780207879</v>
      </c>
      <c r="W479" s="14">
        <f>+W478*(1+'SImple Return'!I478)</f>
        <v>270.3153822376882</v>
      </c>
      <c r="X479" s="14">
        <f>+X478*(1+'SImple Return'!J478)</f>
        <v>233.77622870727643</v>
      </c>
      <c r="Y479" s="14">
        <f>+Y478*(1+'SImple Return'!K478)</f>
        <v>217.15395823215138</v>
      </c>
      <c r="Z479" s="14">
        <f>+Z478*(1+'SImple Return'!L478)</f>
        <v>1492.1256391526667</v>
      </c>
      <c r="AA479" s="14">
        <f>+AA478*(1+'SImple Return'!M478)</f>
        <v>196.84210526315806</v>
      </c>
      <c r="AB479" s="14">
        <f>+AB478*(1+'SImple Return'!N478)</f>
        <v>264.1407968711805</v>
      </c>
    </row>
    <row r="480" spans="1:28">
      <c r="A480" s="8">
        <v>40970</v>
      </c>
      <c r="B480" s="10">
        <v>1298.5</v>
      </c>
      <c r="C480" s="10">
        <v>366.03</v>
      </c>
      <c r="D480" s="10">
        <v>156.53</v>
      </c>
      <c r="E480" s="11">
        <v>2247.14</v>
      </c>
      <c r="F480" s="11">
        <v>2797.14</v>
      </c>
      <c r="G480" s="11">
        <v>2145.84</v>
      </c>
      <c r="H480" s="14">
        <v>1857.68</v>
      </c>
      <c r="I480" s="14">
        <v>2670.81</v>
      </c>
      <c r="J480" s="14">
        <v>2357.4</v>
      </c>
      <c r="K480" s="14">
        <v>2234.5700000000002</v>
      </c>
      <c r="L480" s="14">
        <v>15191.18</v>
      </c>
      <c r="M480" s="14">
        <v>1991.5</v>
      </c>
      <c r="N480" s="14">
        <v>2727.11</v>
      </c>
      <c r="P480" s="14">
        <f>+P479*(1+'SImple Return'!B479)</f>
        <v>159.53852391542054</v>
      </c>
      <c r="Q480" s="14">
        <f>+Q479*(1+'SImple Return'!C479)</f>
        <v>170.70702359854496</v>
      </c>
      <c r="R480" s="14">
        <f>+R479*(1+'SImple Return'!D479)</f>
        <v>180.58375634517756</v>
      </c>
      <c r="S480" s="14">
        <f>+S479*(1+'SImple Return'!E479)</f>
        <v>224.231901411964</v>
      </c>
      <c r="T480" s="14">
        <f>+T479*(1+'SImple Return'!F479)</f>
        <v>274.60632240329875</v>
      </c>
      <c r="U480" s="14">
        <f>+U479*(1+'SImple Return'!G479)</f>
        <v>210.2651537421365</v>
      </c>
      <c r="V480" s="14">
        <f>+V479*(1+'SImple Return'!H479)</f>
        <v>185.09610115281563</v>
      </c>
      <c r="W480" s="14">
        <f>+W479*(1+'SImple Return'!I479)</f>
        <v>266.30604939625675</v>
      </c>
      <c r="X480" s="14">
        <f>+X479*(1+'SImple Return'!J479)</f>
        <v>237.47116479132922</v>
      </c>
      <c r="Y480" s="14">
        <f>+Y479*(1+'SImple Return'!K479)</f>
        <v>217.05390966488574</v>
      </c>
      <c r="Z480" s="14">
        <f>+Z479*(1+'SImple Return'!L479)</f>
        <v>1479.5402970538112</v>
      </c>
      <c r="AA480" s="14">
        <f>+AA479*(1+'SImple Return'!M479)</f>
        <v>197.02216066482009</v>
      </c>
      <c r="AB480" s="14">
        <f>+AB479*(1+'SImple Return'!N479)</f>
        <v>266.64483011488619</v>
      </c>
    </row>
    <row r="481" spans="1:28">
      <c r="A481" s="8">
        <v>40977</v>
      </c>
      <c r="B481" s="10">
        <v>1291.8599999999999</v>
      </c>
      <c r="C481" s="10">
        <v>363.85</v>
      </c>
      <c r="D481" s="10">
        <v>155.38999999999999</v>
      </c>
      <c r="E481" s="11">
        <v>2206.46</v>
      </c>
      <c r="F481" s="11">
        <v>2817.61</v>
      </c>
      <c r="G481" s="11">
        <v>2146.34</v>
      </c>
      <c r="H481" s="14">
        <v>1853.75</v>
      </c>
      <c r="I481" s="14">
        <v>2671.86</v>
      </c>
      <c r="J481" s="14">
        <v>2340.5500000000002</v>
      </c>
      <c r="K481" s="14">
        <v>2189.06</v>
      </c>
      <c r="L481" s="14">
        <v>15297.21</v>
      </c>
      <c r="M481" s="14">
        <v>1944.72</v>
      </c>
      <c r="N481" s="14">
        <v>2736.09</v>
      </c>
      <c r="P481" s="14">
        <f>+P480*(1+'SImple Return'!B480)</f>
        <v>158.72270889901822</v>
      </c>
      <c r="Q481" s="14">
        <f>+Q480*(1+'SImple Return'!C480)</f>
        <v>169.69032739483265</v>
      </c>
      <c r="R481" s="14">
        <f>+R480*(1+'SImple Return'!D480)</f>
        <v>179.26857406552827</v>
      </c>
      <c r="S481" s="14">
        <f>+S480*(1+'SImple Return'!E480)</f>
        <v>220.1726288479766</v>
      </c>
      <c r="T481" s="14">
        <f>+T480*(1+'SImple Return'!F480)</f>
        <v>276.61594345179674</v>
      </c>
      <c r="U481" s="14">
        <f>+U480*(1+'SImple Return'!G480)</f>
        <v>210.31414741215431</v>
      </c>
      <c r="V481" s="14">
        <f>+V480*(1+'SImple Return'!H480)</f>
        <v>184.70452258302399</v>
      </c>
      <c r="W481" s="14">
        <f>+W480*(1+'SImple Return'!I480)</f>
        <v>266.41074473282737</v>
      </c>
      <c r="X481" s="14">
        <f>+X480*(1+'SImple Return'!J480)</f>
        <v>235.7737909359233</v>
      </c>
      <c r="Y481" s="14">
        <f>+Y480*(1+'SImple Return'!K480)</f>
        <v>212.63331714424464</v>
      </c>
      <c r="Z481" s="14">
        <f>+Z480*(1+'SImple Return'!L480)</f>
        <v>1489.8670562454352</v>
      </c>
      <c r="AA481" s="14">
        <f>+AA480*(1+'SImple Return'!M480)</f>
        <v>192.39414325286916</v>
      </c>
      <c r="AB481" s="14">
        <f>+AB480*(1+'SImple Return'!N480)</f>
        <v>267.52285504766542</v>
      </c>
    </row>
    <row r="482" spans="1:28">
      <c r="A482" s="8">
        <v>40984</v>
      </c>
      <c r="B482" s="10">
        <v>1320.96</v>
      </c>
      <c r="C482" s="10">
        <v>360.98</v>
      </c>
      <c r="D482" s="10">
        <v>159.06</v>
      </c>
      <c r="E482" s="11">
        <v>2221.19</v>
      </c>
      <c r="F482" s="11">
        <v>2803.86</v>
      </c>
      <c r="G482" s="11">
        <v>2178.0700000000002</v>
      </c>
      <c r="H482" s="14">
        <v>1853.66</v>
      </c>
      <c r="I482" s="14">
        <v>2734.47</v>
      </c>
      <c r="J482" s="14">
        <v>2345.29</v>
      </c>
      <c r="K482" s="14">
        <v>2221.12</v>
      </c>
      <c r="L482" s="14">
        <v>15334.96</v>
      </c>
      <c r="M482" s="14">
        <v>1978.04</v>
      </c>
      <c r="N482" s="14">
        <v>2724.16</v>
      </c>
      <c r="P482" s="14">
        <f>+P481*(1+'SImple Return'!B481)</f>
        <v>162.29804278114278</v>
      </c>
      <c r="Q482" s="14">
        <f>+Q481*(1+'SImple Return'!C481)</f>
        <v>168.35183285141321</v>
      </c>
      <c r="R482" s="14">
        <f>+R481*(1+'SImple Return'!D481)</f>
        <v>183.50253807106589</v>
      </c>
      <c r="S482" s="14">
        <f>+S481*(1+'SImple Return'!E481)</f>
        <v>221.6424686923113</v>
      </c>
      <c r="T482" s="14">
        <f>+T481*(1+'SImple Return'!F481)</f>
        <v>275.26605144315744</v>
      </c>
      <c r="U482" s="14">
        <f>+U481*(1+'SImple Return'!G481)</f>
        <v>213.42328571148605</v>
      </c>
      <c r="V482" s="14">
        <f>+V481*(1+'SImple Return'!H481)</f>
        <v>184.69555513486083</v>
      </c>
      <c r="W482" s="14">
        <f>+W481*(1+'SImple Return'!I481)</f>
        <v>272.65357808776446</v>
      </c>
      <c r="X482" s="14">
        <f>+X481*(1+'SImple Return'!J481)</f>
        <v>236.25127177121254</v>
      </c>
      <c r="Y482" s="14">
        <f>+Y481*(1+'SImple Return'!K481)</f>
        <v>215.74745021855259</v>
      </c>
      <c r="Z482" s="14">
        <f>+Z481*(1+'SImple Return'!L481)</f>
        <v>1493.5437058680309</v>
      </c>
      <c r="AA482" s="14">
        <f>+AA481*(1+'SImple Return'!M481)</f>
        <v>195.69054214483592</v>
      </c>
      <c r="AB482" s="14">
        <f>+AB481*(1+'SImple Return'!N481)</f>
        <v>266.35639208017574</v>
      </c>
    </row>
    <row r="483" spans="1:28">
      <c r="A483" s="8">
        <v>40991</v>
      </c>
      <c r="B483" s="10">
        <v>1308.25</v>
      </c>
      <c r="C483" s="10">
        <v>362.54</v>
      </c>
      <c r="D483" s="10">
        <v>155.71</v>
      </c>
      <c r="E483" s="11">
        <v>2213.4499999999998</v>
      </c>
      <c r="F483" s="11">
        <v>2784.68</v>
      </c>
      <c r="G483" s="11">
        <v>2164.02</v>
      </c>
      <c r="H483" s="14">
        <v>1848.55</v>
      </c>
      <c r="I483" s="14">
        <v>2717.2</v>
      </c>
      <c r="J483" s="14">
        <v>2325.84</v>
      </c>
      <c r="K483" s="14">
        <v>2169.73</v>
      </c>
      <c r="L483" s="14">
        <v>15227.71</v>
      </c>
      <c r="M483" s="14">
        <v>1954.11</v>
      </c>
      <c r="N483" s="14">
        <v>2710.1</v>
      </c>
      <c r="P483" s="14">
        <f>+P482*(1+'SImple Return'!B482)</f>
        <v>160.73644506149319</v>
      </c>
      <c r="Q483" s="14">
        <f>+Q482*(1+'SImple Return'!C482)</f>
        <v>169.07937692379454</v>
      </c>
      <c r="R483" s="14">
        <f>+R482*(1+'SImple Return'!D482)</f>
        <v>179.63774803876316</v>
      </c>
      <c r="S483" s="14">
        <f>+S482*(1+'SImple Return'!E482)</f>
        <v>220.87012922217207</v>
      </c>
      <c r="T483" s="14">
        <f>+T482*(1+'SImple Return'!F482)</f>
        <v>273.38307480856088</v>
      </c>
      <c r="U483" s="14">
        <f>+U482*(1+'SImple Return'!G482)</f>
        <v>212.04656358398489</v>
      </c>
      <c r="V483" s="14">
        <f>+V482*(1+'SImple Return'!H482)</f>
        <v>184.18640335581875</v>
      </c>
      <c r="W483" s="14">
        <f>+W482*(1+'SImple Return'!I482)</f>
        <v>270.9315890757893</v>
      </c>
      <c r="X483" s="14">
        <f>+X482*(1+'SImple Return'!J482)</f>
        <v>234.29198859687159</v>
      </c>
      <c r="Y483" s="14">
        <f>+Y482*(1+'SImple Return'!K482)</f>
        <v>210.75570665371529</v>
      </c>
      <c r="Z483" s="14">
        <f>+Z482*(1+'SImple Return'!L482)</f>
        <v>1483.0981251521798</v>
      </c>
      <c r="AA483" s="14">
        <f>+AA482*(1+'SImple Return'!M482)</f>
        <v>193.32311040759808</v>
      </c>
      <c r="AB483" s="14">
        <f>+AB482*(1+'SImple Return'!N482)</f>
        <v>264.98166707406477</v>
      </c>
    </row>
    <row r="484" spans="1:28">
      <c r="A484" s="8">
        <v>40998</v>
      </c>
      <c r="B484" s="10">
        <v>1312.01</v>
      </c>
      <c r="C484" s="10">
        <v>363.32</v>
      </c>
      <c r="D484" s="10">
        <v>156.61000000000001</v>
      </c>
      <c r="E484" s="11">
        <v>2215.6</v>
      </c>
      <c r="F484" s="11">
        <v>2803.56</v>
      </c>
      <c r="G484" s="11">
        <v>2166.92</v>
      </c>
      <c r="H484" s="14">
        <v>1860.02</v>
      </c>
      <c r="I484" s="14">
        <v>2750.1</v>
      </c>
      <c r="J484" s="14">
        <v>2336.79</v>
      </c>
      <c r="K484" s="14">
        <v>2183.21</v>
      </c>
      <c r="L484" s="14">
        <v>15402.02</v>
      </c>
      <c r="M484" s="14">
        <v>1952.03</v>
      </c>
      <c r="N484" s="14">
        <v>2715.2</v>
      </c>
      <c r="P484" s="14">
        <f>+P483*(1+'SImple Return'!B483)</f>
        <v>161.19841260090172</v>
      </c>
      <c r="Q484" s="14">
        <f>+Q483*(1+'SImple Return'!C483)</f>
        <v>169.44314895998517</v>
      </c>
      <c r="R484" s="14">
        <f>+R483*(1+'SImple Return'!D483)</f>
        <v>180.67604983848631</v>
      </c>
      <c r="S484" s="14">
        <f>+S483*(1+'SImple Return'!E483)</f>
        <v>221.08466796387742</v>
      </c>
      <c r="T484" s="14">
        <f>+T483*(1+'SImple Return'!F483)</f>
        <v>275.23659925387801</v>
      </c>
      <c r="U484" s="14">
        <f>+U483*(1+'SImple Return'!G483)</f>
        <v>212.33072687008834</v>
      </c>
      <c r="V484" s="14">
        <f>+V483*(1+'SImple Return'!H483)</f>
        <v>185.32925480505801</v>
      </c>
      <c r="W484" s="14">
        <f>+W483*(1+'SImple Return'!I483)</f>
        <v>274.21204295500081</v>
      </c>
      <c r="X484" s="14">
        <f>+X483*(1+'SImple Return'!J483)</f>
        <v>235.3950297670018</v>
      </c>
      <c r="Y484" s="14">
        <f>+Y483*(1+'SImple Return'!K483)</f>
        <v>212.06508013598824</v>
      </c>
      <c r="Z484" s="14">
        <f>+Z483*(1+'SImple Return'!L483)</f>
        <v>1500.0749939128325</v>
      </c>
      <c r="AA484" s="14">
        <f>+AA483*(1+'SImple Return'!M483)</f>
        <v>193.1173328056986</v>
      </c>
      <c r="AB484" s="14">
        <f>+AB483*(1+'SImple Return'!N483)</f>
        <v>265.48032265949621</v>
      </c>
    </row>
    <row r="485" spans="1:28">
      <c r="A485" s="8">
        <v>41005</v>
      </c>
      <c r="B485" s="10">
        <v>1289.03</v>
      </c>
      <c r="C485" s="10">
        <v>363.91</v>
      </c>
      <c r="D485" s="10">
        <v>154.31</v>
      </c>
      <c r="E485" s="11">
        <v>2149.65</v>
      </c>
      <c r="F485" s="11">
        <v>2819.62</v>
      </c>
      <c r="G485" s="11">
        <v>2171.38</v>
      </c>
      <c r="H485" s="14">
        <v>1836.09</v>
      </c>
      <c r="I485" s="14">
        <v>2724.6</v>
      </c>
      <c r="J485" s="14">
        <v>2310.27</v>
      </c>
      <c r="K485" s="14">
        <v>2156.41</v>
      </c>
      <c r="L485" s="14">
        <v>15316.19</v>
      </c>
      <c r="M485" s="14">
        <v>1884.87</v>
      </c>
      <c r="N485" s="14">
        <v>2743.82</v>
      </c>
      <c r="P485" s="14">
        <f>+P484*(1+'SImple Return'!B484)</f>
        <v>158.37500460738892</v>
      </c>
      <c r="Q485" s="14">
        <f>+Q484*(1+'SImple Return'!C484)</f>
        <v>169.71830985915506</v>
      </c>
      <c r="R485" s="14">
        <f>+R484*(1+'SImple Return'!D484)</f>
        <v>178.02261190586054</v>
      </c>
      <c r="S485" s="14">
        <f>+S484*(1+'SImple Return'!E484)</f>
        <v>214.5038167938929</v>
      </c>
      <c r="T485" s="14">
        <f>+T484*(1+'SImple Return'!F484)</f>
        <v>276.81327311996876</v>
      </c>
      <c r="U485" s="14">
        <f>+U484*(1+'SImple Return'!G484)</f>
        <v>212.76775040664742</v>
      </c>
      <c r="V485" s="14">
        <f>+V484*(1+'SImple Return'!H484)</f>
        <v>182.94490997678463</v>
      </c>
      <c r="W485" s="14">
        <f>+W484*(1+'SImple Return'!I484)</f>
        <v>271.66944192400103</v>
      </c>
      <c r="X485" s="14">
        <f>+X484*(1+'SImple Return'!J484)</f>
        <v>232.72355471386444</v>
      </c>
      <c r="Y485" s="14">
        <f>+Y484*(1+'SImple Return'!K484)</f>
        <v>209.46187469645446</v>
      </c>
      <c r="Z485" s="14">
        <f>+Z484*(1+'SImple Return'!L484)</f>
        <v>1491.715607499392</v>
      </c>
      <c r="AA485" s="14">
        <f>+AA484*(1+'SImple Return'!M484)</f>
        <v>186.4730906212902</v>
      </c>
      <c r="AB485" s="14">
        <f>+AB484*(1+'SImple Return'!N484)</f>
        <v>268.27866047421145</v>
      </c>
    </row>
    <row r="486" spans="1:28">
      <c r="A486" s="8">
        <v>41012</v>
      </c>
      <c r="B486" s="10">
        <v>1268.3499999999999</v>
      </c>
      <c r="C486" s="10">
        <v>365.64</v>
      </c>
      <c r="D486" s="10">
        <v>153.94</v>
      </c>
      <c r="E486" s="11">
        <v>2149.5700000000002</v>
      </c>
      <c r="F486" s="11">
        <v>2776.61</v>
      </c>
      <c r="G486" s="11">
        <v>2171.98</v>
      </c>
      <c r="H486" s="14">
        <v>1824.87</v>
      </c>
      <c r="I486" s="14">
        <v>2749.4</v>
      </c>
      <c r="J486" s="14">
        <v>2299.91</v>
      </c>
      <c r="K486" s="14">
        <v>2152.4899999999998</v>
      </c>
      <c r="L486" s="14">
        <v>15432.25</v>
      </c>
      <c r="M486" s="14">
        <v>1840.96</v>
      </c>
      <c r="N486" s="14">
        <v>2701.04</v>
      </c>
      <c r="P486" s="14">
        <f>+P485*(1+'SImple Return'!B485)</f>
        <v>155.83418314064198</v>
      </c>
      <c r="Q486" s="14">
        <f>+Q485*(1+'SImple Return'!C485)</f>
        <v>170.52513758044969</v>
      </c>
      <c r="R486" s="14">
        <f>+R485*(1+'SImple Return'!D485)</f>
        <v>177.5957544993077</v>
      </c>
      <c r="S486" s="14">
        <f>+S485*(1+'SImple Return'!E485)</f>
        <v>214.49583395699224</v>
      </c>
      <c r="T486" s="14">
        <f>+T485*(1+'SImple Return'!F485)</f>
        <v>272.59081091694503</v>
      </c>
      <c r="U486" s="14">
        <f>+U485*(1+'SImple Return'!G485)</f>
        <v>212.82654281066883</v>
      </c>
      <c r="V486" s="14">
        <f>+V485*(1+'SImple Return'!H485)</f>
        <v>181.82696810577639</v>
      </c>
      <c r="W486" s="14">
        <f>+W485*(1+'SImple Return'!I485)</f>
        <v>274.14224606395379</v>
      </c>
      <c r="X486" s="14">
        <f>+X485*(1+'SImple Return'!J485)</f>
        <v>231.67994681226173</v>
      </c>
      <c r="Y486" s="14">
        <f>+Y485*(1+'SImple Return'!K485)</f>
        <v>209.08110733365697</v>
      </c>
      <c r="Z486" s="14">
        <f>+Z485*(1+'SImple Return'!L485)</f>
        <v>1503.0192354516685</v>
      </c>
      <c r="AA486" s="14">
        <f>+AA485*(1+'SImple Return'!M485)</f>
        <v>182.12900672734483</v>
      </c>
      <c r="AB486" s="14">
        <f>+AB485*(1+'SImple Return'!N485)</f>
        <v>264.09582009288658</v>
      </c>
    </row>
    <row r="487" spans="1:28">
      <c r="A487" s="8">
        <v>41019</v>
      </c>
      <c r="B487" s="10">
        <v>1281.71</v>
      </c>
      <c r="C487" s="10">
        <v>365.77</v>
      </c>
      <c r="D487" s="10">
        <v>156.86000000000001</v>
      </c>
      <c r="E487" s="11">
        <v>2205.88</v>
      </c>
      <c r="F487" s="11">
        <v>2824</v>
      </c>
      <c r="G487" s="11">
        <v>2170.71</v>
      </c>
      <c r="H487" s="14">
        <v>1864.19</v>
      </c>
      <c r="I487" s="14">
        <v>2790.38</v>
      </c>
      <c r="J487" s="14">
        <v>2423.1</v>
      </c>
      <c r="K487" s="14">
        <v>2148.5700000000002</v>
      </c>
      <c r="L487" s="14">
        <v>15500.61</v>
      </c>
      <c r="M487" s="14">
        <v>1857.76</v>
      </c>
      <c r="N487" s="14">
        <v>2739.18</v>
      </c>
      <c r="P487" s="14">
        <f>+P486*(1+'SImple Return'!B486)</f>
        <v>157.47564227002977</v>
      </c>
      <c r="Q487" s="14">
        <f>+Q486*(1+'SImple Return'!C486)</f>
        <v>170.58576625314811</v>
      </c>
      <c r="R487" s="14">
        <f>+R486*(1+'SImple Return'!D486)</f>
        <v>180.96446700507607</v>
      </c>
      <c r="S487" s="14">
        <f>+S486*(1+'SImple Return'!E486)</f>
        <v>220.11475328044682</v>
      </c>
      <c r="T487" s="14">
        <f>+T486*(1+'SImple Return'!F486)</f>
        <v>277.24327508344805</v>
      </c>
      <c r="U487" s="14">
        <f>+U486*(1+'SImple Return'!G486)</f>
        <v>212.70209888882354</v>
      </c>
      <c r="V487" s="14">
        <f>+V486*(1+'SImple Return'!H486)</f>
        <v>185.74474656995145</v>
      </c>
      <c r="W487" s="14">
        <f>+W486*(1+'SImple Return'!I486)</f>
        <v>278.22835548553695</v>
      </c>
      <c r="X487" s="14">
        <f>+X486*(1+'SImple Return'!J486)</f>
        <v>244.08941181211065</v>
      </c>
      <c r="Y487" s="14">
        <f>+Y486*(1+'SImple Return'!K486)</f>
        <v>208.70033997085955</v>
      </c>
      <c r="Z487" s="14">
        <f>+Z486*(1+'SImple Return'!L486)</f>
        <v>1509.677136596056</v>
      </c>
      <c r="AA487" s="14">
        <f>+AA486*(1+'SImple Return'!M486)</f>
        <v>183.79105658884069</v>
      </c>
      <c r="AB487" s="14">
        <f>+AB486*(1+'SImple Return'!N486)</f>
        <v>267.82498166707381</v>
      </c>
    </row>
    <row r="488" spans="1:28">
      <c r="A488" s="8">
        <v>41026</v>
      </c>
      <c r="B488" s="10">
        <v>1298.71</v>
      </c>
      <c r="C488" s="10">
        <v>367.31</v>
      </c>
      <c r="D488" s="10">
        <v>159.26</v>
      </c>
      <c r="E488" s="11">
        <v>2242.34</v>
      </c>
      <c r="F488" s="11">
        <v>2876.96</v>
      </c>
      <c r="G488" s="11">
        <v>2173.23</v>
      </c>
      <c r="H488" s="14">
        <v>1896.49</v>
      </c>
      <c r="I488" s="14">
        <v>2846.4</v>
      </c>
      <c r="J488" s="14">
        <v>2446.92</v>
      </c>
      <c r="K488" s="14">
        <v>2147.79</v>
      </c>
      <c r="L488" s="14">
        <v>15819.69</v>
      </c>
      <c r="M488" s="14">
        <v>1899.2</v>
      </c>
      <c r="N488" s="14">
        <v>2773.92</v>
      </c>
      <c r="P488" s="14">
        <f>+P487*(1+'SImple Return'!B487)</f>
        <v>159.56432529395136</v>
      </c>
      <c r="Q488" s="14">
        <f>+Q487*(1+'SImple Return'!C487)</f>
        <v>171.30398283742198</v>
      </c>
      <c r="R488" s="14">
        <f>+R487*(1+'SImple Return'!D487)</f>
        <v>183.7332718043377</v>
      </c>
      <c r="S488" s="14">
        <f>+S487*(1+'SImple Return'!E487)</f>
        <v>223.75293119792426</v>
      </c>
      <c r="T488" s="14">
        <f>+T487*(1+'SImple Return'!F487)</f>
        <v>282.44256823090535</v>
      </c>
      <c r="U488" s="14">
        <f>+U487*(1+'SImple Return'!G487)</f>
        <v>212.9490269857134</v>
      </c>
      <c r="V488" s="14">
        <f>+V487*(1+'SImple Return'!H487)</f>
        <v>188.96306407739942</v>
      </c>
      <c r="W488" s="14">
        <f>+W487*(1+'SImple Return'!I487)</f>
        <v>283.81410096618822</v>
      </c>
      <c r="X488" s="14">
        <f>+X487*(1+'SImple Return'!J487)</f>
        <v>246.48890411096937</v>
      </c>
      <c r="Y488" s="14">
        <f>+Y487*(1+'SImple Return'!K487)</f>
        <v>208.62457503642534</v>
      </c>
      <c r="Z488" s="14">
        <f>+Z487*(1+'SImple Return'!L487)</f>
        <v>1540.7538349159975</v>
      </c>
      <c r="AA488" s="14">
        <f>+AA487*(1+'SImple Return'!M487)</f>
        <v>187.89077958053045</v>
      </c>
      <c r="AB488" s="14">
        <f>+AB487*(1+'SImple Return'!N487)</f>
        <v>271.22170618430681</v>
      </c>
    </row>
    <row r="489" spans="1:28">
      <c r="A489" s="8">
        <v>41033</v>
      </c>
      <c r="B489" s="10">
        <v>1264.99</v>
      </c>
      <c r="C489" s="10">
        <v>368.54</v>
      </c>
      <c r="D489" s="10">
        <v>158.07</v>
      </c>
      <c r="E489" s="11">
        <v>2206.85</v>
      </c>
      <c r="F489" s="11">
        <v>2851.18</v>
      </c>
      <c r="G489" s="11">
        <v>2173.79</v>
      </c>
      <c r="H489" s="14">
        <v>1883.68</v>
      </c>
      <c r="I489" s="14">
        <v>2788.75</v>
      </c>
      <c r="J489" s="14">
        <v>2421.2800000000002</v>
      </c>
      <c r="K489" s="14">
        <v>2163.36</v>
      </c>
      <c r="L489" s="14">
        <v>15960.72</v>
      </c>
      <c r="M489" s="14">
        <v>1841.88</v>
      </c>
      <c r="N489" s="14">
        <v>2738.99</v>
      </c>
      <c r="P489" s="14">
        <f>+P488*(1+'SImple Return'!B488)</f>
        <v>155.42136108414928</v>
      </c>
      <c r="Q489" s="14">
        <f>+Q488*(1+'SImple Return'!C488)</f>
        <v>171.87762335603034</v>
      </c>
      <c r="R489" s="14">
        <f>+R488*(1+'SImple Return'!D488)</f>
        <v>182.36040609137046</v>
      </c>
      <c r="S489" s="14">
        <f>+S488*(1+'SImple Return'!E488)</f>
        <v>220.21154517786735</v>
      </c>
      <c r="T489" s="14">
        <f>+T488*(1+'SImple Return'!F488)</f>
        <v>279.91164343216195</v>
      </c>
      <c r="U489" s="14">
        <f>+U488*(1+'SImple Return'!G488)</f>
        <v>213.00389989613339</v>
      </c>
      <c r="V489" s="14">
        <f>+V488*(1+'SImple Return'!H488)</f>
        <v>187.68669728884188</v>
      </c>
      <c r="W489" s="14">
        <f>+W488*(1+'SImple Return'!I488)</f>
        <v>278.06582843924161</v>
      </c>
      <c r="X489" s="14">
        <f>+X488*(1+'SImple Return'!J488)</f>
        <v>243.90607528885619</v>
      </c>
      <c r="Y489" s="14">
        <f>+Y488*(1+'SImple Return'!K488)</f>
        <v>210.1369596891694</v>
      </c>
      <c r="Z489" s="14">
        <f>+Z488*(1+'SImple Return'!L488)</f>
        <v>1554.4894083272466</v>
      </c>
      <c r="AA489" s="14">
        <f>+AA488*(1+'SImple Return'!M488)</f>
        <v>182.22002374356964</v>
      </c>
      <c r="AB489" s="14">
        <f>+AB488*(1+'SImple Return'!N488)</f>
        <v>267.8064043021264</v>
      </c>
    </row>
    <row r="490" spans="1:28">
      <c r="A490" s="8">
        <v>41040</v>
      </c>
      <c r="B490" s="10">
        <v>1242.4000000000001</v>
      </c>
      <c r="C490" s="10">
        <v>368.44</v>
      </c>
      <c r="D490" s="10">
        <v>155.37</v>
      </c>
      <c r="E490" s="11">
        <v>2202.94</v>
      </c>
      <c r="F490" s="11">
        <v>2862.46</v>
      </c>
      <c r="G490" s="11">
        <v>2140.61</v>
      </c>
      <c r="H490" s="14">
        <v>1897.61</v>
      </c>
      <c r="I490" s="14">
        <v>2717.66</v>
      </c>
      <c r="J490" s="14">
        <v>2451.09</v>
      </c>
      <c r="K490" s="14">
        <v>2081.7199999999998</v>
      </c>
      <c r="L490" s="14">
        <v>15874.7</v>
      </c>
      <c r="M490" s="14">
        <v>1817.98</v>
      </c>
      <c r="N490" s="14">
        <v>2738.01</v>
      </c>
      <c r="P490" s="14">
        <f>+P489*(1+'SImple Return'!B489)</f>
        <v>152.64586993647941</v>
      </c>
      <c r="Q490" s="14">
        <f>+Q489*(1+'SImple Return'!C489)</f>
        <v>171.83098591549307</v>
      </c>
      <c r="R490" s="14">
        <f>+R489*(1+'SImple Return'!D489)</f>
        <v>179.24550069220112</v>
      </c>
      <c r="S490" s="14">
        <f>+S489*(1+'SImple Return'!E489)</f>
        <v>219.82138402434742</v>
      </c>
      <c r="T490" s="14">
        <f>+T489*(1+'SImple Return'!F489)</f>
        <v>281.01904574906752</v>
      </c>
      <c r="U490" s="14">
        <f>+U489*(1+'SImple Return'!G489)</f>
        <v>209.75267995374998</v>
      </c>
      <c r="V490" s="14">
        <f>+V489*(1+'SImple Return'!H489)</f>
        <v>189.07465898787439</v>
      </c>
      <c r="W490" s="14">
        <f>+W489*(1+'SImple Return'!I489)</f>
        <v>270.97745560419162</v>
      </c>
      <c r="X490" s="14">
        <f>+X489*(1+'SImple Return'!J489)</f>
        <v>246.90896636479982</v>
      </c>
      <c r="Y490" s="14">
        <f>+Y489*(1+'SImple Return'!K489)</f>
        <v>202.20689655172401</v>
      </c>
      <c r="Z490" s="14">
        <f>+Z489*(1+'SImple Return'!L489)</f>
        <v>1546.1115169223283</v>
      </c>
      <c r="AA490" s="14">
        <f>+AA489*(1+'SImple Return'!M489)</f>
        <v>179.85555995251303</v>
      </c>
      <c r="AB490" s="14">
        <f>+AB489*(1+'SImple Return'!N489)</f>
        <v>267.71058420923964</v>
      </c>
    </row>
    <row r="491" spans="1:28">
      <c r="A491" s="8">
        <v>41047</v>
      </c>
      <c r="B491" s="10">
        <v>1178.43</v>
      </c>
      <c r="C491" s="10">
        <v>368.54</v>
      </c>
      <c r="D491" s="10">
        <v>146.47999999999999</v>
      </c>
      <c r="E491" s="11">
        <v>2092.75</v>
      </c>
      <c r="F491" s="11">
        <v>2750.4</v>
      </c>
      <c r="G491" s="11">
        <v>2056.2399999999998</v>
      </c>
      <c r="H491" s="14">
        <v>1830.71</v>
      </c>
      <c r="I491" s="14">
        <v>2554.1799999999998</v>
      </c>
      <c r="J491" s="14">
        <v>2329.06</v>
      </c>
      <c r="K491" s="14">
        <v>1984.14</v>
      </c>
      <c r="L491" s="14">
        <v>15190.5</v>
      </c>
      <c r="M491" s="14">
        <v>1701.62</v>
      </c>
      <c r="N491" s="14">
        <v>2620.4899999999998</v>
      </c>
      <c r="P491" s="14">
        <f>+P490*(1+'SImple Return'!B490)</f>
        <v>144.78627858116985</v>
      </c>
      <c r="Q491" s="14">
        <f>+Q490*(1+'SImple Return'!C490)</f>
        <v>171.87762335603034</v>
      </c>
      <c r="R491" s="14">
        <f>+R490*(1+'SImple Return'!D490)</f>
        <v>168.9893862482694</v>
      </c>
      <c r="S491" s="14">
        <f>+S490*(1+'SImple Return'!E490)</f>
        <v>208.82602404829592</v>
      </c>
      <c r="T491" s="14">
        <f>+T490*(1+'SImple Return'!F490)</f>
        <v>270.0176713135678</v>
      </c>
      <c r="U491" s="14">
        <f>+U490*(1+'SImple Return'!G490)</f>
        <v>201.48548807494066</v>
      </c>
      <c r="V491" s="14">
        <f>+V490*(1+'SImple Return'!H490)</f>
        <v>182.40885585325307</v>
      </c>
      <c r="W491" s="14">
        <f>+W490*(1+'SImple Return'!I490)</f>
        <v>254.67689024937414</v>
      </c>
      <c r="X491" s="14">
        <f>+X490*(1+'SImple Return'!J490)</f>
        <v>234.61635321493731</v>
      </c>
      <c r="Y491" s="14">
        <f>+Y490*(1+'SImple Return'!K490)</f>
        <v>192.72850898494406</v>
      </c>
      <c r="Z491" s="14">
        <f>+Z490*(1+'SImple Return'!L490)</f>
        <v>1479.4740686632583</v>
      </c>
      <c r="AA491" s="14">
        <f>+AA490*(1+'SImple Return'!M490)</f>
        <v>168.34388603086677</v>
      </c>
      <c r="AB491" s="14">
        <f>+AB490*(1+'SImple Return'!N490)</f>
        <v>256.21999511121953</v>
      </c>
    </row>
    <row r="492" spans="1:28">
      <c r="A492" s="8">
        <v>41054</v>
      </c>
      <c r="B492" s="10">
        <v>1188.56</v>
      </c>
      <c r="C492" s="10">
        <v>367.27</v>
      </c>
      <c r="D492" s="10">
        <v>149</v>
      </c>
      <c r="E492" s="11">
        <v>2089.42</v>
      </c>
      <c r="F492" s="11">
        <v>2791.57</v>
      </c>
      <c r="G492" s="11">
        <v>2050.62</v>
      </c>
      <c r="H492" s="14">
        <v>1852.19</v>
      </c>
      <c r="I492" s="14">
        <v>2534.36</v>
      </c>
      <c r="J492" s="14">
        <v>2380.3000000000002</v>
      </c>
      <c r="K492" s="14">
        <v>1994.71</v>
      </c>
      <c r="L492" s="14">
        <v>15343.12</v>
      </c>
      <c r="M492" s="14">
        <v>1697.61</v>
      </c>
      <c r="N492" s="14">
        <v>2637.93</v>
      </c>
      <c r="P492" s="14">
        <f>+P491*(1+'SImple Return'!B491)</f>
        <v>146.0308879360125</v>
      </c>
      <c r="Q492" s="14">
        <f>+Q491*(1+'SImple Return'!C491)</f>
        <v>171.28532786120707</v>
      </c>
      <c r="R492" s="14">
        <f>+R491*(1+'SImple Return'!D491)</f>
        <v>171.89663128749413</v>
      </c>
      <c r="S492" s="14">
        <f>+S491*(1+'SImple Return'!E491)</f>
        <v>208.4937384623058</v>
      </c>
      <c r="T492" s="14">
        <f>+T491*(1+'SImple Return'!F491)</f>
        <v>274.05949342234453</v>
      </c>
      <c r="U492" s="14">
        <f>+U491*(1+'SImple Return'!G491)</f>
        <v>200.93479922394022</v>
      </c>
      <c r="V492" s="14">
        <f>+V491*(1+'SImple Return'!H491)</f>
        <v>184.54908681486245</v>
      </c>
      <c r="W492" s="14">
        <f>+W491*(1+'SImple Return'!I491)</f>
        <v>252.70064113429902</v>
      </c>
      <c r="X492" s="14">
        <f>+X491*(1+'SImple Return'!J491)</f>
        <v>239.77798148502626</v>
      </c>
      <c r="Y492" s="14">
        <f>+Y491*(1+'SImple Return'!K491)</f>
        <v>193.75522098105867</v>
      </c>
      <c r="Z492" s="14">
        <f>+Z491*(1+'SImple Return'!L491)</f>
        <v>1494.3384465546633</v>
      </c>
      <c r="AA492" s="14">
        <f>+AA491*(1+'SImple Return'!M491)</f>
        <v>167.94717055797403</v>
      </c>
      <c r="AB492" s="14">
        <f>+AB491*(1+'SImple Return'!N491)</f>
        <v>257.92520166218509</v>
      </c>
    </row>
    <row r="493" spans="1:28">
      <c r="A493" s="8">
        <v>41061</v>
      </c>
      <c r="B493" s="10">
        <v>1152.97</v>
      </c>
      <c r="C493" s="10">
        <v>370.65</v>
      </c>
      <c r="D493" s="10">
        <v>146.4</v>
      </c>
      <c r="E493" s="11">
        <v>2001.24</v>
      </c>
      <c r="F493" s="11">
        <v>2731.87</v>
      </c>
      <c r="G493" s="11">
        <v>2065.52</v>
      </c>
      <c r="H493" s="14">
        <v>1807.34</v>
      </c>
      <c r="I493" s="14">
        <v>2522.9699999999998</v>
      </c>
      <c r="J493" s="14">
        <v>2387.12</v>
      </c>
      <c r="K493" s="14">
        <v>1950.15</v>
      </c>
      <c r="L493" s="14">
        <v>14856.04</v>
      </c>
      <c r="M493" s="14">
        <v>1642.96</v>
      </c>
      <c r="N493" s="14">
        <v>2577.4299999999998</v>
      </c>
      <c r="P493" s="14">
        <f>+P492*(1+'SImple Return'!B492)</f>
        <v>141.65816859357909</v>
      </c>
      <c r="Q493" s="14">
        <f>+Q492*(1+'SImple Return'!C492)</f>
        <v>172.86167335136656</v>
      </c>
      <c r="R493" s="14">
        <f>+R492*(1+'SImple Return'!D492)</f>
        <v>168.89709275496068</v>
      </c>
      <c r="S493" s="14">
        <f>+S492*(1+'SImple Return'!E492)</f>
        <v>199.69465648854938</v>
      </c>
      <c r="T493" s="14">
        <f>+T492*(1+'SImple Return'!F492)</f>
        <v>268.19850775574332</v>
      </c>
      <c r="U493" s="14">
        <f>+U492*(1+'SImple Return'!G492)</f>
        <v>202.39481059047165</v>
      </c>
      <c r="V493" s="14">
        <f>+V492*(1+'SImple Return'!H492)</f>
        <v>180.08030848021718</v>
      </c>
      <c r="W493" s="14">
        <f>+W492*(1+'SImple Return'!I492)</f>
        <v>251.56494600711909</v>
      </c>
      <c r="X493" s="14">
        <f>+X492*(1+'SImple Return'!J492)</f>
        <v>240.46498977546349</v>
      </c>
      <c r="Y493" s="14">
        <f>+Y492*(1+'SImple Return'!K492)</f>
        <v>189.42690626517717</v>
      </c>
      <c r="Z493" s="14">
        <f>+Z492*(1+'SImple Return'!L492)</f>
        <v>1446.8994399805215</v>
      </c>
      <c r="AA493" s="14">
        <f>+AA492*(1+'SImple Return'!M492)</f>
        <v>162.5405619311438</v>
      </c>
      <c r="AB493" s="14">
        <f>+AB492*(1+'SImple Return'!N492)</f>
        <v>252.00977756049846</v>
      </c>
    </row>
    <row r="494" spans="1:28">
      <c r="A494" s="8">
        <v>41068</v>
      </c>
      <c r="B494" s="10">
        <v>1188.8599999999999</v>
      </c>
      <c r="C494" s="10">
        <v>368.14</v>
      </c>
      <c r="D494" s="10">
        <v>150.68</v>
      </c>
      <c r="E494" s="11">
        <v>2068.09</v>
      </c>
      <c r="F494" s="11">
        <v>2793.38</v>
      </c>
      <c r="G494" s="11">
        <v>2058.4899999999998</v>
      </c>
      <c r="H494" s="14">
        <v>1861.82</v>
      </c>
      <c r="I494" s="14">
        <v>2562.54</v>
      </c>
      <c r="J494" s="14">
        <v>2437.7199999999998</v>
      </c>
      <c r="K494" s="14">
        <v>1899.22</v>
      </c>
      <c r="L494" s="14">
        <v>15511.08</v>
      </c>
      <c r="M494" s="14">
        <v>1690.4</v>
      </c>
      <c r="N494" s="14">
        <v>2605.06</v>
      </c>
      <c r="P494" s="14">
        <f>+P493*(1+'SImple Return'!B493)</f>
        <v>146.06774704819938</v>
      </c>
      <c r="Q494" s="14">
        <f>+Q493*(1+'SImple Return'!C493)</f>
        <v>171.69107359388127</v>
      </c>
      <c r="R494" s="14">
        <f>+R493*(1+'SImple Return'!D493)</f>
        <v>173.83479464697729</v>
      </c>
      <c r="S494" s="14">
        <f>+S493*(1+'SImple Return'!E493)</f>
        <v>206.36531457366638</v>
      </c>
      <c r="T494" s="14">
        <f>+T493*(1+'SImple Return'!F493)</f>
        <v>274.23718829766364</v>
      </c>
      <c r="U494" s="14">
        <f>+U493*(1+'SImple Return'!G493)</f>
        <v>201.70595959002088</v>
      </c>
      <c r="V494" s="14">
        <f>+V493*(1+'SImple Return'!H493)</f>
        <v>185.50860376832136</v>
      </c>
      <c r="W494" s="14">
        <f>+W493*(1+'SImple Return'!I493)</f>
        <v>255.51046454816466</v>
      </c>
      <c r="X494" s="14">
        <f>+X493*(1+'SImple Return'!J493)</f>
        <v>245.56214805935306</v>
      </c>
      <c r="Y494" s="14">
        <f>+Y493*(1+'SImple Return'!K493)</f>
        <v>184.47984458474977</v>
      </c>
      <c r="Z494" s="14">
        <f>+Z493*(1+'SImple Return'!L493)</f>
        <v>1510.6968590211839</v>
      </c>
      <c r="AA494" s="14">
        <f>+AA493*(1+'SImple Return'!M493)</f>
        <v>167.23387415908209</v>
      </c>
      <c r="AB494" s="14">
        <f>+AB493*(1+'SImple Return'!N493)</f>
        <v>254.71131752627704</v>
      </c>
    </row>
    <row r="495" spans="1:28">
      <c r="A495" s="8">
        <v>41075</v>
      </c>
      <c r="B495" s="10">
        <v>1208.53</v>
      </c>
      <c r="C495" s="10">
        <v>368.48</v>
      </c>
      <c r="D495" s="10">
        <v>152.78</v>
      </c>
      <c r="E495" s="11">
        <v>2085.65</v>
      </c>
      <c r="F495" s="11">
        <v>2826.09</v>
      </c>
      <c r="G495" s="11">
        <v>2103.75</v>
      </c>
      <c r="H495" s="14">
        <v>1876.18</v>
      </c>
      <c r="I495" s="14">
        <v>2582.37</v>
      </c>
      <c r="J495" s="14">
        <v>2427.31</v>
      </c>
      <c r="K495" s="14">
        <v>1965.26</v>
      </c>
      <c r="L495" s="14">
        <v>15879.99</v>
      </c>
      <c r="M495" s="14">
        <v>1707.03</v>
      </c>
      <c r="N495" s="14">
        <v>2640.39</v>
      </c>
      <c r="P495" s="14">
        <f>+P494*(1+'SImple Return'!B494)</f>
        <v>148.48447617058392</v>
      </c>
      <c r="Q495" s="14">
        <f>+Q494*(1+'SImple Return'!C494)</f>
        <v>171.84964089170799</v>
      </c>
      <c r="R495" s="14">
        <f>+R494*(1+'SImple Return'!D494)</f>
        <v>176.25749884633123</v>
      </c>
      <c r="S495" s="14">
        <f>+S494*(1+'SImple Return'!E494)</f>
        <v>208.11754727336202</v>
      </c>
      <c r="T495" s="14">
        <f>+T494*(1+'SImple Return'!F494)</f>
        <v>277.44845866876125</v>
      </c>
      <c r="U495" s="14">
        <f>+U494*(1+'SImple Return'!G494)</f>
        <v>206.14086660003522</v>
      </c>
      <c r="V495" s="14">
        <f>+V494*(1+'SImple Return'!H494)</f>
        <v>186.93940994191124</v>
      </c>
      <c r="W495" s="14">
        <f>+W494*(1+'SImple Return'!I494)</f>
        <v>257.48771076168327</v>
      </c>
      <c r="X495" s="14">
        <f>+X494*(1+'SImple Return'!J494)</f>
        <v>244.51350344007855</v>
      </c>
      <c r="Y495" s="14">
        <f>+Y494*(1+'SImple Return'!K494)</f>
        <v>190.89460903351133</v>
      </c>
      <c r="Z495" s="14">
        <f>+Z494*(1+'SImple Return'!L494)</f>
        <v>1546.6267348429515</v>
      </c>
      <c r="AA495" s="14">
        <f>+AA494*(1+'SImple Return'!M494)</f>
        <v>168.87910565888421</v>
      </c>
      <c r="AB495" s="14">
        <f>+AB494*(1+'SImple Return'!N494)</f>
        <v>258.16572965045208</v>
      </c>
    </row>
    <row r="496" spans="1:28">
      <c r="A496" s="8">
        <v>41082</v>
      </c>
      <c r="B496" s="10">
        <v>1205.67</v>
      </c>
      <c r="C496" s="10">
        <v>368.33</v>
      </c>
      <c r="D496" s="10">
        <v>152.83000000000001</v>
      </c>
      <c r="E496" s="11">
        <v>2086.8200000000002</v>
      </c>
      <c r="F496" s="11">
        <v>2795.89</v>
      </c>
      <c r="G496" s="11">
        <v>2085.2199999999998</v>
      </c>
      <c r="H496" s="14">
        <v>1850.65</v>
      </c>
      <c r="I496" s="14">
        <v>2604.79</v>
      </c>
      <c r="J496" s="14">
        <v>2392.17</v>
      </c>
      <c r="K496" s="14">
        <v>1976.32</v>
      </c>
      <c r="L496" s="14">
        <v>15897.81</v>
      </c>
      <c r="M496" s="14">
        <v>1700.64</v>
      </c>
      <c r="N496" s="14">
        <v>2618.65</v>
      </c>
      <c r="P496" s="14">
        <f>+P495*(1+'SImple Return'!B495)</f>
        <v>148.13308596773595</v>
      </c>
      <c r="Q496" s="14">
        <f>+Q495*(1+'SImple Return'!C495)</f>
        <v>171.77968473090206</v>
      </c>
      <c r="R496" s="14">
        <f>+R495*(1+'SImple Return'!D495)</f>
        <v>176.31518227964918</v>
      </c>
      <c r="S496" s="14">
        <f>+S495*(1+'SImple Return'!E495)</f>
        <v>208.23429626303425</v>
      </c>
      <c r="T496" s="14">
        <f>+T495*(1+'SImple Return'!F495)</f>
        <v>274.48360494796799</v>
      </c>
      <c r="U496" s="14">
        <f>+U495*(1+'SImple Return'!G495)</f>
        <v>204.32516118917428</v>
      </c>
      <c r="V496" s="14">
        <f>+V495*(1+'SImple Return'!H495)</f>
        <v>184.39564381295935</v>
      </c>
      <c r="W496" s="14">
        <f>+W495*(1+'SImple Return'!I495)</f>
        <v>259.72320547207602</v>
      </c>
      <c r="X496" s="14">
        <f>+X495*(1+'SImple Return'!J495)</f>
        <v>240.97369826031809</v>
      </c>
      <c r="Y496" s="14">
        <f>+Y495*(1+'SImple Return'!K495)</f>
        <v>191.96891694997561</v>
      </c>
      <c r="Z496" s="14">
        <f>+Z495*(1+'SImple Return'!L495)</f>
        <v>1548.3623082542003</v>
      </c>
      <c r="AA496" s="14">
        <f>+AA495*(1+'SImple Return'!M495)</f>
        <v>168.24693312227956</v>
      </c>
      <c r="AB496" s="14">
        <f>+AB495*(1+'SImple Return'!N495)</f>
        <v>256.04008799804438</v>
      </c>
    </row>
    <row r="497" spans="1:28">
      <c r="A497" s="8">
        <v>41089</v>
      </c>
      <c r="B497" s="10">
        <v>1235.72</v>
      </c>
      <c r="C497" s="10">
        <v>369.52</v>
      </c>
      <c r="D497" s="10">
        <v>158.66</v>
      </c>
      <c r="E497" s="11">
        <v>2169.62</v>
      </c>
      <c r="F497" s="11">
        <v>2858.32</v>
      </c>
      <c r="G497" s="11">
        <v>2138.23</v>
      </c>
      <c r="H497" s="14">
        <v>1903.36</v>
      </c>
      <c r="I497" s="14">
        <v>2689.27</v>
      </c>
      <c r="J497" s="14">
        <v>2476.73</v>
      </c>
      <c r="K497" s="14">
        <v>1991.65</v>
      </c>
      <c r="L497" s="14">
        <v>16460.900000000001</v>
      </c>
      <c r="M497" s="14">
        <v>1763.81</v>
      </c>
      <c r="N497" s="14">
        <v>2678.88</v>
      </c>
      <c r="P497" s="14">
        <f>+P496*(1+'SImple Return'!B496)</f>
        <v>151.82514037178552</v>
      </c>
      <c r="Q497" s="14">
        <f>+Q496*(1+'SImple Return'!C496)</f>
        <v>172.3346702732955</v>
      </c>
      <c r="R497" s="14">
        <f>+R496*(1+'SImple Return'!D496)</f>
        <v>183.04107060452225</v>
      </c>
      <c r="S497" s="14">
        <f>+S496*(1+'SImple Return'!E496)</f>
        <v>216.496532455221</v>
      </c>
      <c r="T497" s="14">
        <f>+T496*(1+'SImple Return'!F496)</f>
        <v>280.6126055370118</v>
      </c>
      <c r="U497" s="14">
        <f>+U496*(1+'SImple Return'!G496)</f>
        <v>209.51947008446501</v>
      </c>
      <c r="V497" s="14">
        <f>+V496*(1+'SImple Return'!H496)</f>
        <v>189.64757928718788</v>
      </c>
      <c r="W497" s="14">
        <f>+W496*(1+'SImple Return'!I496)</f>
        <v>268.1466931230118</v>
      </c>
      <c r="X497" s="14">
        <f>+X496*(1+'SImple Return'!J496)</f>
        <v>249.49179518691298</v>
      </c>
      <c r="Y497" s="14">
        <f>+Y496*(1+'SImple Return'!K496)</f>
        <v>193.45798931520144</v>
      </c>
      <c r="Z497" s="14">
        <f>+Z496*(1+'SImple Return'!L496)</f>
        <v>1603.2042853664477</v>
      </c>
      <c r="AA497" s="14">
        <f>+AA496*(1+'SImple Return'!M496)</f>
        <v>174.49643846458267</v>
      </c>
      <c r="AB497" s="14">
        <f>+AB496*(1+'SImple Return'!N496)</f>
        <v>261.9291126863846</v>
      </c>
    </row>
    <row r="498" spans="1:28">
      <c r="A498" s="8">
        <v>41096</v>
      </c>
      <c r="B498" s="10">
        <v>1229.3599999999999</v>
      </c>
      <c r="C498" s="10">
        <v>370.53</v>
      </c>
      <c r="D498" s="10">
        <v>160.69</v>
      </c>
      <c r="E498" s="11">
        <v>2128.17</v>
      </c>
      <c r="F498" s="11">
        <v>2877.98</v>
      </c>
      <c r="G498" s="11">
        <v>2184.17</v>
      </c>
      <c r="H498" s="14">
        <v>1897.32</v>
      </c>
      <c r="I498" s="14">
        <v>2672.78</v>
      </c>
      <c r="J498" s="14">
        <v>2492.69</v>
      </c>
      <c r="K498" s="14">
        <v>2063.6999999999998</v>
      </c>
      <c r="L498" s="14">
        <v>16609.560000000001</v>
      </c>
      <c r="M498" s="14">
        <v>1713.69</v>
      </c>
      <c r="N498" s="14">
        <v>2699.84</v>
      </c>
      <c r="P498" s="14">
        <f>+P497*(1+'SImple Return'!B497)</f>
        <v>151.04372719342425</v>
      </c>
      <c r="Q498" s="14">
        <f>+Q497*(1+'SImple Return'!C497)</f>
        <v>172.80570842272186</v>
      </c>
      <c r="R498" s="14">
        <f>+R497*(1+'SImple Return'!D497)</f>
        <v>185.38301799723106</v>
      </c>
      <c r="S498" s="14">
        <f>+S497*(1+'SImple Return'!E497)</f>
        <v>212.36042508606471</v>
      </c>
      <c r="T498" s="14">
        <f>+T497*(1+'SImple Return'!F497)</f>
        <v>282.54270567445536</v>
      </c>
      <c r="U498" s="14">
        <f>+U497*(1+'SImple Return'!G497)</f>
        <v>214.02100848570359</v>
      </c>
      <c r="V498" s="14">
        <f>+V497*(1+'SImple Return'!H497)</f>
        <v>189.0457638771264</v>
      </c>
      <c r="W498" s="14">
        <f>+W497*(1+'SImple Return'!I497)</f>
        <v>266.50247778963194</v>
      </c>
      <c r="X498" s="14">
        <f>+X497*(1+'SImple Return'!J497)</f>
        <v>251.09951546776034</v>
      </c>
      <c r="Y498" s="14">
        <f>+Y497*(1+'SImple Return'!K497)</f>
        <v>200.45653229723155</v>
      </c>
      <c r="Z498" s="14">
        <f>+Z497*(1+'SImple Return'!L497)</f>
        <v>1617.6829802775753</v>
      </c>
      <c r="AA498" s="14">
        <f>+AA497*(1+'SImple Return'!M497)</f>
        <v>169.53798971112008</v>
      </c>
      <c r="AB498" s="14">
        <f>+AB497*(1+'SImple Return'!N497)</f>
        <v>263.97848936690281</v>
      </c>
    </row>
    <row r="499" spans="1:28">
      <c r="A499" s="8">
        <v>41103</v>
      </c>
      <c r="B499" s="10">
        <v>1225.55</v>
      </c>
      <c r="C499" s="10">
        <v>372.18</v>
      </c>
      <c r="D499" s="10">
        <v>160.91999999999999</v>
      </c>
      <c r="E499" s="11">
        <v>2159.86</v>
      </c>
      <c r="F499" s="11">
        <v>2927.33</v>
      </c>
      <c r="G499" s="11">
        <v>2193.6</v>
      </c>
      <c r="H499" s="14">
        <v>1927.95</v>
      </c>
      <c r="I499" s="14">
        <v>2732.87</v>
      </c>
      <c r="J499" s="14">
        <v>2534.09</v>
      </c>
      <c r="K499" s="14">
        <v>2047.08</v>
      </c>
      <c r="L499" s="14">
        <v>16815.37</v>
      </c>
      <c r="M499" s="14">
        <v>1745.12</v>
      </c>
      <c r="N499" s="14">
        <v>2739.54</v>
      </c>
      <c r="P499" s="14">
        <f>+P498*(1+'SImple Return'!B498)</f>
        <v>150.57561646865125</v>
      </c>
      <c r="Q499" s="14">
        <f>+Q498*(1+'SImple Return'!C498)</f>
        <v>173.57522619158672</v>
      </c>
      <c r="R499" s="14">
        <f>+R498*(1+'SImple Return'!D498)</f>
        <v>185.64836179049362</v>
      </c>
      <c r="S499" s="14">
        <f>+S498*(1+'SImple Return'!E498)</f>
        <v>215.52262635334006</v>
      </c>
      <c r="T499" s="14">
        <f>+T498*(1+'SImple Return'!F498)</f>
        <v>287.38759081091717</v>
      </c>
      <c r="U499" s="14">
        <f>+U498*(1+'SImple Return'!G498)</f>
        <v>214.94502910223989</v>
      </c>
      <c r="V499" s="14">
        <f>+V498*(1+'SImple Return'!H498)</f>
        <v>192.09768540199116</v>
      </c>
      <c r="W499" s="14">
        <f>+W498*(1+'SImple Return'!I498)</f>
        <v>272.49404233679968</v>
      </c>
      <c r="X499" s="14">
        <f>+X498*(1+'SImple Return'!J498)</f>
        <v>255.2699177000336</v>
      </c>
      <c r="Y499" s="14">
        <f>+Y498*(1+'SImple Return'!K498)</f>
        <v>198.84215638659535</v>
      </c>
      <c r="Z499" s="14">
        <f>+Z498*(1+'SImple Return'!L498)</f>
        <v>1637.72778183589</v>
      </c>
      <c r="AA499" s="14">
        <f>+AA498*(1+'SImple Return'!M498)</f>
        <v>172.64740799366857</v>
      </c>
      <c r="AB499" s="14">
        <f>+AB498*(1+'SImple Return'!N498)</f>
        <v>267.86018088486907</v>
      </c>
    </row>
    <row r="500" spans="1:28">
      <c r="A500" s="8">
        <v>41110</v>
      </c>
      <c r="B500" s="10">
        <v>1231.3499999999999</v>
      </c>
      <c r="C500" s="10">
        <v>374.03</v>
      </c>
      <c r="D500" s="10">
        <v>161.9</v>
      </c>
      <c r="E500" s="11">
        <v>2105.5300000000002</v>
      </c>
      <c r="F500" s="11">
        <v>2957.33</v>
      </c>
      <c r="G500" s="11">
        <v>2241.48</v>
      </c>
      <c r="H500" s="14">
        <v>1897.54</v>
      </c>
      <c r="I500" s="14">
        <v>2800.69</v>
      </c>
      <c r="J500" s="14">
        <v>2581.37</v>
      </c>
      <c r="K500" s="14">
        <v>2079.96</v>
      </c>
      <c r="L500" s="14">
        <v>16617.650000000001</v>
      </c>
      <c r="M500" s="14">
        <v>1740.37</v>
      </c>
      <c r="N500" s="14">
        <v>2780.08</v>
      </c>
      <c r="P500" s="14">
        <f>+P499*(1+'SImple Return'!B499)</f>
        <v>151.28822597093037</v>
      </c>
      <c r="Q500" s="14">
        <f>+Q499*(1+'SImple Return'!C499)</f>
        <v>174.43801884152609</v>
      </c>
      <c r="R500" s="14">
        <f>+R499*(1+'SImple Return'!D499)</f>
        <v>186.77895708352548</v>
      </c>
      <c r="S500" s="14">
        <f>+S499*(1+'SImple Return'!E499)</f>
        <v>210.10128224317691</v>
      </c>
      <c r="T500" s="14">
        <f>+T499*(1+'SImple Return'!F499)</f>
        <v>290.33280973885752</v>
      </c>
      <c r="U500" s="14">
        <f>+U499*(1+'SImple Return'!G499)</f>
        <v>219.63666294314766</v>
      </c>
      <c r="V500" s="14">
        <f>+V499*(1+'SImple Return'!H499)</f>
        <v>189.06768430596969</v>
      </c>
      <c r="W500" s="14">
        <f>+W499*(1+'SImple Return'!I499)</f>
        <v>279.25636398081559</v>
      </c>
      <c r="X500" s="14">
        <f>+X499*(1+'SImple Return'!J499)</f>
        <v>260.03263793051377</v>
      </c>
      <c r="Y500" s="14">
        <f>+Y499*(1+'SImple Return'!K499)</f>
        <v>202.03593977659051</v>
      </c>
      <c r="Z500" s="14">
        <f>+Z499*(1+'SImple Return'!L499)</f>
        <v>1618.4709033357685</v>
      </c>
      <c r="AA500" s="14">
        <f>+AA499*(1+'SImple Return'!M499)</f>
        <v>172.17748318163848</v>
      </c>
      <c r="AB500" s="14">
        <f>+AB499*(1+'SImple Return'!N499)</f>
        <v>271.82400391102402</v>
      </c>
    </row>
    <row r="501" spans="1:28">
      <c r="A501" s="8">
        <v>41117</v>
      </c>
      <c r="B501" s="10">
        <v>1250.02</v>
      </c>
      <c r="C501" s="10">
        <v>373.48</v>
      </c>
      <c r="D501" s="10">
        <v>163.44999999999999</v>
      </c>
      <c r="E501" s="11">
        <v>2125.59</v>
      </c>
      <c r="F501" s="11">
        <v>2996.67</v>
      </c>
      <c r="G501" s="11">
        <v>2238.64</v>
      </c>
      <c r="H501" s="14">
        <v>1914.22</v>
      </c>
      <c r="I501" s="14">
        <v>2865.56</v>
      </c>
      <c r="J501" s="14">
        <v>2595.38</v>
      </c>
      <c r="K501" s="14">
        <v>2028.32</v>
      </c>
      <c r="L501" s="14">
        <v>17063.96</v>
      </c>
      <c r="M501" s="14">
        <v>1764.5</v>
      </c>
      <c r="N501" s="14">
        <v>2804.53</v>
      </c>
      <c r="P501" s="14">
        <f>+P500*(1+'SImple Return'!B500)</f>
        <v>153.58209138602541</v>
      </c>
      <c r="Q501" s="14">
        <f>+Q500*(1+'SImple Return'!C500)</f>
        <v>174.18151291857114</v>
      </c>
      <c r="R501" s="14">
        <f>+R500*(1+'SImple Return'!D500)</f>
        <v>188.56714351638198</v>
      </c>
      <c r="S501" s="14">
        <f>+S500*(1+'SImple Return'!E500)</f>
        <v>212.10297859601832</v>
      </c>
      <c r="T501" s="14">
        <f>+T500*(1+'SImple Return'!F500)</f>
        <v>294.19497349302992</v>
      </c>
      <c r="U501" s="14">
        <f>+U500*(1+'SImple Return'!G500)</f>
        <v>219.35837889744636</v>
      </c>
      <c r="V501" s="14">
        <f>+V500*(1+'SImple Return'!H500)</f>
        <v>190.72965136554345</v>
      </c>
      <c r="W501" s="14">
        <f>+W500*(1+'SImple Return'!I500)</f>
        <v>285.72454158399034</v>
      </c>
      <c r="X501" s="14">
        <f>+X500*(1+'SImple Return'!J500)</f>
        <v>261.44392622215992</v>
      </c>
      <c r="Y501" s="14">
        <f>+Y500*(1+'SImple Return'!K500)</f>
        <v>197.01991257892175</v>
      </c>
      <c r="Z501" s="14">
        <f>+Z500*(1+'SImple Return'!L500)</f>
        <v>1661.9391283175069</v>
      </c>
      <c r="AA501" s="14">
        <f>+AA500*(1+'SImple Return'!M500)</f>
        <v>174.56470122675128</v>
      </c>
      <c r="AB501" s="14">
        <f>+AB500*(1+'SImple Return'!N500)</f>
        <v>274.21461745294533</v>
      </c>
    </row>
    <row r="502" spans="1:28">
      <c r="A502" s="8">
        <v>41124</v>
      </c>
      <c r="B502" s="10">
        <v>1259.6500000000001</v>
      </c>
      <c r="C502" s="10">
        <v>373.8</v>
      </c>
      <c r="D502" s="10">
        <v>165.68</v>
      </c>
      <c r="E502" s="11">
        <v>2140.0300000000002</v>
      </c>
      <c r="F502" s="11">
        <v>2986.5</v>
      </c>
      <c r="G502" s="11">
        <v>2259.75</v>
      </c>
      <c r="H502" s="14">
        <v>1926.25</v>
      </c>
      <c r="I502" s="14">
        <v>2880.59</v>
      </c>
      <c r="J502" s="14">
        <v>2599.09</v>
      </c>
      <c r="K502" s="14">
        <v>1981.6</v>
      </c>
      <c r="L502" s="14">
        <v>17248.259999999998</v>
      </c>
      <c r="M502" s="14">
        <v>1753.16</v>
      </c>
      <c r="N502" s="14">
        <v>2793.15</v>
      </c>
      <c r="P502" s="14">
        <f>+P501*(1+'SImple Return'!B501)</f>
        <v>154.76526888722333</v>
      </c>
      <c r="Q502" s="14">
        <f>+Q501*(1+'SImple Return'!C501)</f>
        <v>174.33075272829038</v>
      </c>
      <c r="R502" s="14">
        <f>+R501*(1+'SImple Return'!D501)</f>
        <v>191.13982464236261</v>
      </c>
      <c r="S502" s="14">
        <f>+S501*(1+'SImple Return'!E501)</f>
        <v>213.54388065658813</v>
      </c>
      <c r="T502" s="14">
        <f>+T501*(1+'SImple Return'!F501)</f>
        <v>293.19654427645816</v>
      </c>
      <c r="U502" s="14">
        <f>+U501*(1+'SImple Return'!G501)</f>
        <v>221.42689164559928</v>
      </c>
      <c r="V502" s="14">
        <f>+V501*(1+'SImple Return'!H501)</f>
        <v>191.92830027002017</v>
      </c>
      <c r="W502" s="14">
        <f>+W501*(1+'SImple Return'!I501)</f>
        <v>287.22318054461499</v>
      </c>
      <c r="X502" s="14">
        <f>+X501*(1+'SImple Return'!J501)</f>
        <v>261.81765067340956</v>
      </c>
      <c r="Y502" s="14">
        <f>+Y501*(1+'SImple Return'!K501)</f>
        <v>192.48178727537632</v>
      </c>
      <c r="Z502" s="14">
        <f>+Z501*(1+'SImple Return'!L501)</f>
        <v>1679.8889700511324</v>
      </c>
      <c r="AA502" s="14">
        <f>+AA501*(1+'SImple Return'!M501)</f>
        <v>173.4428175702416</v>
      </c>
      <c r="AB502" s="14">
        <f>+AB501*(1+'SImple Return'!N501)</f>
        <v>273.10193106819833</v>
      </c>
    </row>
    <row r="503" spans="1:28">
      <c r="A503" s="8">
        <v>41131</v>
      </c>
      <c r="B503" s="10">
        <v>1278.3599999999999</v>
      </c>
      <c r="C503" s="10">
        <v>373.84</v>
      </c>
      <c r="D503" s="10">
        <v>164.41</v>
      </c>
      <c r="E503" s="11">
        <v>2151.75</v>
      </c>
      <c r="F503" s="11">
        <v>2965.22</v>
      </c>
      <c r="G503" s="11">
        <v>2247.2600000000002</v>
      </c>
      <c r="H503" s="14">
        <v>1923.11</v>
      </c>
      <c r="I503" s="14">
        <v>2850.66</v>
      </c>
      <c r="J503" s="14">
        <v>2604.1799999999998</v>
      </c>
      <c r="K503" s="14">
        <v>2030.31</v>
      </c>
      <c r="L503" s="14">
        <v>17065.849999999999</v>
      </c>
      <c r="M503" s="14">
        <v>1736.44</v>
      </c>
      <c r="N503" s="14">
        <v>2780.14</v>
      </c>
      <c r="P503" s="14">
        <f>+P502*(1+'SImple Return'!B502)</f>
        <v>157.06404885060991</v>
      </c>
      <c r="Q503" s="14">
        <f>+Q502*(1+'SImple Return'!C502)</f>
        <v>174.34940770450527</v>
      </c>
      <c r="R503" s="14">
        <f>+R502*(1+'SImple Return'!D502)</f>
        <v>189.67466543608666</v>
      </c>
      <c r="S503" s="14">
        <f>+S502*(1+'SImple Return'!E502)</f>
        <v>214.71336626253532</v>
      </c>
      <c r="T503" s="14">
        <f>+T502*(1+'SImple Return'!F502)</f>
        <v>291.10740231690579</v>
      </c>
      <c r="U503" s="14">
        <f>+U502*(1+'SImple Return'!G502)</f>
        <v>220.20302976855382</v>
      </c>
      <c r="V503" s="14">
        <f>+V502*(1+'SImple Return'!H502)</f>
        <v>191.61543596743851</v>
      </c>
      <c r="W503" s="14">
        <f>+W502*(1+'SImple Return'!I502)</f>
        <v>284.23886490313168</v>
      </c>
      <c r="X503" s="14">
        <f>+X502*(1+'SImple Return'!J502)</f>
        <v>262.33038853240163</v>
      </c>
      <c r="Y503" s="14">
        <f>+Y502*(1+'SImple Return'!K502)</f>
        <v>197.21321029626026</v>
      </c>
      <c r="Z503" s="14">
        <f>+Z502*(1+'SImple Return'!L502)</f>
        <v>1662.1232042853667</v>
      </c>
      <c r="AA503" s="14">
        <f>+AA502*(1+'SImple Return'!M502)</f>
        <v>171.78868223189573</v>
      </c>
      <c r="AB503" s="14">
        <f>+AB502*(1+'SImple Return'!N502)</f>
        <v>271.82987044732323</v>
      </c>
    </row>
    <row r="504" spans="1:28">
      <c r="A504" s="8">
        <v>41138</v>
      </c>
      <c r="B504" s="10">
        <v>1290.23</v>
      </c>
      <c r="C504" s="10">
        <v>370.88</v>
      </c>
      <c r="D504" s="10">
        <v>165.24</v>
      </c>
      <c r="E504" s="11">
        <v>2214.34</v>
      </c>
      <c r="F504" s="11">
        <v>2963.38</v>
      </c>
      <c r="G504" s="11">
        <v>2267.56</v>
      </c>
      <c r="H504" s="14">
        <v>1922.45</v>
      </c>
      <c r="I504" s="14">
        <v>2869.44</v>
      </c>
      <c r="J504" s="14">
        <v>2652.72</v>
      </c>
      <c r="K504" s="14">
        <v>2031.61</v>
      </c>
      <c r="L504" s="14">
        <v>17225.93</v>
      </c>
      <c r="M504" s="14">
        <v>1780.85</v>
      </c>
      <c r="N504" s="14">
        <v>2800.86</v>
      </c>
      <c r="P504" s="14">
        <f>+P503*(1+'SImple Return'!B503)</f>
        <v>158.52244105613636</v>
      </c>
      <c r="Q504" s="14">
        <f>+Q503*(1+'SImple Return'!C503)</f>
        <v>172.96893946460227</v>
      </c>
      <c r="R504" s="14">
        <f>+R503*(1+'SImple Return'!D503)</f>
        <v>190.63221042916464</v>
      </c>
      <c r="S504" s="14">
        <f>+S503*(1+'SImple Return'!E503)</f>
        <v>220.958938282692</v>
      </c>
      <c r="T504" s="14">
        <f>+T503*(1+'SImple Return'!F503)</f>
        <v>290.92676222265879</v>
      </c>
      <c r="U504" s="14">
        <f>+U503*(1+'SImple Return'!G503)</f>
        <v>222.19217277127782</v>
      </c>
      <c r="V504" s="14">
        <f>+V503*(1+'SImple Return'!H503)</f>
        <v>191.54967468090865</v>
      </c>
      <c r="W504" s="14">
        <f>+W503*(1+'SImple Return'!I503)</f>
        <v>286.11141578007977</v>
      </c>
      <c r="X504" s="14">
        <f>+X503*(1+'SImple Return'!J503)</f>
        <v>267.22003404821186</v>
      </c>
      <c r="Y504" s="14">
        <f>+Y503*(1+'SImple Return'!K503)</f>
        <v>197.33948518698389</v>
      </c>
      <c r="Z504" s="14">
        <f>+Z503*(1+'SImple Return'!L503)</f>
        <v>1677.7141465790121</v>
      </c>
      <c r="AA504" s="14">
        <f>+AA503*(1+'SImple Return'!M503)</f>
        <v>176.18223189552847</v>
      </c>
      <c r="AB504" s="14">
        <f>+AB503*(1+'SImple Return'!N503)</f>
        <v>273.85578098264472</v>
      </c>
    </row>
    <row r="505" spans="1:28">
      <c r="A505" s="8">
        <v>41145</v>
      </c>
      <c r="B505" s="10">
        <v>1285.8399999999999</v>
      </c>
      <c r="C505" s="10">
        <v>374.04</v>
      </c>
      <c r="D505" s="10">
        <v>164.83</v>
      </c>
      <c r="E505" s="11">
        <v>2222.2600000000002</v>
      </c>
      <c r="F505" s="11">
        <v>2937.52</v>
      </c>
      <c r="G505" s="11">
        <v>2293.1799999999998</v>
      </c>
      <c r="H505" s="14">
        <v>1910.26</v>
      </c>
      <c r="I505" s="14">
        <v>2958.19</v>
      </c>
      <c r="J505" s="14">
        <v>2635.44</v>
      </c>
      <c r="K505" s="14">
        <v>2020.88</v>
      </c>
      <c r="L505" s="14">
        <v>17026.97</v>
      </c>
      <c r="M505" s="14">
        <v>1790.07</v>
      </c>
      <c r="N505" s="14">
        <v>2791.96</v>
      </c>
      <c r="P505" s="14">
        <f>+P504*(1+'SImple Return'!B504)</f>
        <v>157.98306938113541</v>
      </c>
      <c r="Q505" s="14">
        <f>+Q504*(1+'SImple Return'!C504)</f>
        <v>174.44268258557983</v>
      </c>
      <c r="R505" s="14">
        <f>+R504*(1+'SImple Return'!D504)</f>
        <v>190.15920627595744</v>
      </c>
      <c r="S505" s="14">
        <f>+S504*(1+'SImple Return'!E504)</f>
        <v>221.74923913585772</v>
      </c>
      <c r="T505" s="14">
        <f>+T504*(1+'SImple Return'!F504)</f>
        <v>288.38798350677422</v>
      </c>
      <c r="U505" s="14">
        <f>+U504*(1+'SImple Return'!G504)</f>
        <v>224.70260842299157</v>
      </c>
      <c r="V505" s="14">
        <f>+V504*(1+'SImple Return'!H504)</f>
        <v>190.33508364636404</v>
      </c>
      <c r="W505" s="14">
        <f>+W504*(1+'SImple Return'!I504)</f>
        <v>294.96066446640253</v>
      </c>
      <c r="X505" s="14">
        <f>+X504*(1+'SImple Return'!J504)</f>
        <v>265.47934442082828</v>
      </c>
      <c r="Y505" s="14">
        <f>+Y504*(1+'SImple Return'!K504)</f>
        <v>196.29723166585714</v>
      </c>
      <c r="Z505" s="14">
        <f>+Z504*(1+'SImple Return'!L504)</f>
        <v>1658.3364986608237</v>
      </c>
      <c r="AA505" s="14">
        <f>+AA504*(1+'SImple Return'!M504)</f>
        <v>177.09438068856372</v>
      </c>
      <c r="AB505" s="14">
        <f>+AB504*(1+'SImple Return'!N504)</f>
        <v>272.98557809826434</v>
      </c>
    </row>
    <row r="506" spans="1:28">
      <c r="A506" s="8">
        <v>41152</v>
      </c>
      <c r="B506" s="10">
        <v>1279.21</v>
      </c>
      <c r="C506" s="10">
        <v>375.96</v>
      </c>
      <c r="D506" s="10">
        <v>164.51</v>
      </c>
      <c r="E506" s="11">
        <v>2215.62</v>
      </c>
      <c r="F506" s="11">
        <v>2923.01</v>
      </c>
      <c r="G506" s="11">
        <v>2301.63</v>
      </c>
      <c r="H506" s="14">
        <v>1896.59</v>
      </c>
      <c r="I506" s="14">
        <v>2939.25</v>
      </c>
      <c r="J506" s="14">
        <v>2609.71</v>
      </c>
      <c r="K506" s="14">
        <v>1958.57</v>
      </c>
      <c r="L506" s="14">
        <v>17133.580000000002</v>
      </c>
      <c r="M506" s="14">
        <v>1797.83</v>
      </c>
      <c r="N506" s="14">
        <v>2785.19</v>
      </c>
      <c r="P506" s="14">
        <f>+P505*(1+'SImple Return'!B505)</f>
        <v>157.16848300180601</v>
      </c>
      <c r="Q506" s="14">
        <f>+Q505*(1+'SImple Return'!C505)</f>
        <v>175.33812144389526</v>
      </c>
      <c r="R506" s="14">
        <f>+R505*(1+'SImple Return'!D505)</f>
        <v>189.79003230272255</v>
      </c>
      <c r="S506" s="14">
        <f>+S505*(1+'SImple Return'!E505)</f>
        <v>221.08666367310261</v>
      </c>
      <c r="T506" s="14">
        <f>+T505*(1+'SImple Return'!F505)</f>
        <v>286.96347928529377</v>
      </c>
      <c r="U506" s="14">
        <f>+U505*(1+'SImple Return'!G505)</f>
        <v>225.53060144629302</v>
      </c>
      <c r="V506" s="14">
        <f>+V505*(1+'SImple Return'!H505)</f>
        <v>188.97302790869179</v>
      </c>
      <c r="W506" s="14">
        <f>+W505*(1+'SImple Return'!I505)</f>
        <v>293.07216001435796</v>
      </c>
      <c r="X506" s="14">
        <f>+X505*(1+'SImple Return'!J505)</f>
        <v>262.8874495069058</v>
      </c>
      <c r="Y506" s="14">
        <f>+Y505*(1+'SImple Return'!K505)</f>
        <v>190.24477901894113</v>
      </c>
      <c r="Z506" s="14">
        <f>+Z505*(1+'SImple Return'!L505)</f>
        <v>1668.7197467738015</v>
      </c>
      <c r="AA506" s="14">
        <f>+AA505*(1+'SImple Return'!M505)</f>
        <v>177.86208943411179</v>
      </c>
      <c r="AB506" s="14">
        <f>+AB505*(1+'SImple Return'!N505)</f>
        <v>272.32363725250536</v>
      </c>
    </row>
    <row r="507" spans="1:28">
      <c r="A507" s="8">
        <v>41159</v>
      </c>
      <c r="B507" s="10">
        <v>1312.08</v>
      </c>
      <c r="C507" s="10">
        <v>376.25</v>
      </c>
      <c r="D507" s="10">
        <v>167.81</v>
      </c>
      <c r="E507" s="11">
        <v>2284.04</v>
      </c>
      <c r="F507" s="11">
        <v>2976.76</v>
      </c>
      <c r="G507" s="11">
        <v>2316.86</v>
      </c>
      <c r="H507" s="14">
        <v>1927.05</v>
      </c>
      <c r="I507" s="14">
        <v>2965.62</v>
      </c>
      <c r="J507" s="14">
        <v>2628.3</v>
      </c>
      <c r="K507" s="14">
        <v>2012.7</v>
      </c>
      <c r="L507" s="14">
        <v>17487.14</v>
      </c>
      <c r="M507" s="14">
        <v>1865.23</v>
      </c>
      <c r="N507" s="14">
        <v>2842.89</v>
      </c>
      <c r="P507" s="14">
        <f>+P506*(1+'SImple Return'!B506)</f>
        <v>161.20701306041198</v>
      </c>
      <c r="Q507" s="14">
        <f>+Q506*(1+'SImple Return'!C506)</f>
        <v>175.47337002145332</v>
      </c>
      <c r="R507" s="14">
        <f>+R506*(1+'SImple Return'!D506)</f>
        <v>193.59713890170732</v>
      </c>
      <c r="S507" s="14">
        <f>+S506*(1+'SImple Return'!E506)</f>
        <v>227.91398493239512</v>
      </c>
      <c r="T507" s="14">
        <f>+T506*(1+'SImple Return'!F506)</f>
        <v>292.24032986452016</v>
      </c>
      <c r="U507" s="14">
        <f>+U506*(1+'SImple Return'!G506)</f>
        <v>227.02294863503624</v>
      </c>
      <c r="V507" s="14">
        <f>+V506*(1+'SImple Return'!H506)</f>
        <v>192.00801092035942</v>
      </c>
      <c r="W507" s="14">
        <f>+W506*(1+'SImple Return'!I506)</f>
        <v>295.70150860994477</v>
      </c>
      <c r="X507" s="14">
        <f>+X506*(1+'SImple Return'!J506)</f>
        <v>264.76010113729131</v>
      </c>
      <c r="Y507" s="14">
        <f>+Y506*(1+'SImple Return'!K506)</f>
        <v>195.50267119961134</v>
      </c>
      <c r="Z507" s="14">
        <f>+Z506*(1+'SImple Return'!L506)</f>
        <v>1703.1546140735336</v>
      </c>
      <c r="AA507" s="14">
        <f>+AA506*(1+'SImple Return'!M506)</f>
        <v>184.53007518797011</v>
      </c>
      <c r="AB507" s="14">
        <f>+AB506*(1+'SImple Return'!N506)</f>
        <v>277.96528966022964</v>
      </c>
    </row>
    <row r="508" spans="1:28">
      <c r="A508" s="8">
        <v>41166</v>
      </c>
      <c r="B508" s="10">
        <v>1347.61</v>
      </c>
      <c r="C508" s="10">
        <v>375.74</v>
      </c>
      <c r="D508" s="10">
        <v>171.95</v>
      </c>
      <c r="E508" s="11">
        <v>2335.1799999999998</v>
      </c>
      <c r="F508" s="11">
        <v>2984.86</v>
      </c>
      <c r="G508" s="11">
        <v>2342.7800000000002</v>
      </c>
      <c r="H508" s="14">
        <v>1926.74</v>
      </c>
      <c r="I508" s="14">
        <v>3026.39</v>
      </c>
      <c r="J508" s="14">
        <v>2560.27</v>
      </c>
      <c r="K508" s="14">
        <v>2104.42</v>
      </c>
      <c r="L508" s="14">
        <v>17407.45</v>
      </c>
      <c r="M508" s="14">
        <v>1946.01</v>
      </c>
      <c r="N508" s="14">
        <v>2876.59</v>
      </c>
      <c r="P508" s="14">
        <f>+P507*(1+'SImple Return'!B507)</f>
        <v>165.57236058040803</v>
      </c>
      <c r="Q508" s="14">
        <f>+Q507*(1+'SImple Return'!C507)</f>
        <v>175.2355190747133</v>
      </c>
      <c r="R508" s="14">
        <f>+R507*(1+'SImple Return'!D507)</f>
        <v>198.37332718043365</v>
      </c>
      <c r="S508" s="14">
        <f>+S507*(1+'SImple Return'!E507)</f>
        <v>233.0170134211443</v>
      </c>
      <c r="T508" s="14">
        <f>+T507*(1+'SImple Return'!F507)</f>
        <v>293.03553897506407</v>
      </c>
      <c r="U508" s="14">
        <f>+U507*(1+'SImple Return'!G507)</f>
        <v>229.56278048876075</v>
      </c>
      <c r="V508" s="14">
        <f>+V507*(1+'SImple Return'!H507)</f>
        <v>191.97712304335295</v>
      </c>
      <c r="W508" s="14">
        <f>+W507*(1+'SImple Return'!I507)</f>
        <v>301.76087585127254</v>
      </c>
      <c r="X508" s="14">
        <f>+X507*(1+'SImple Return'!J507)</f>
        <v>257.9071430730026</v>
      </c>
      <c r="Y508" s="14">
        <f>+Y507*(1+'SImple Return'!K507)</f>
        <v>204.41185041282162</v>
      </c>
      <c r="Z508" s="14">
        <f>+Z507*(1+'SImple Return'!L507)</f>
        <v>1695.3932310689074</v>
      </c>
      <c r="AA508" s="14">
        <f>+AA507*(1+'SImple Return'!M507)</f>
        <v>192.52176493866261</v>
      </c>
      <c r="AB508" s="14">
        <f>+AB507*(1+'SImple Return'!N507)</f>
        <v>281.26032754827662</v>
      </c>
    </row>
    <row r="509" spans="1:28">
      <c r="A509" s="8">
        <v>41173</v>
      </c>
      <c r="B509" s="10">
        <v>1338.05</v>
      </c>
      <c r="C509" s="10">
        <v>377.02</v>
      </c>
      <c r="D509" s="10">
        <v>168.41</v>
      </c>
      <c r="E509" s="11">
        <v>2358.19</v>
      </c>
      <c r="F509" s="11">
        <v>2967.23</v>
      </c>
      <c r="G509" s="11">
        <v>2351.25</v>
      </c>
      <c r="H509" s="14">
        <v>1924.2</v>
      </c>
      <c r="I509" s="14">
        <v>3000.47</v>
      </c>
      <c r="J509" s="14">
        <v>2613.42</v>
      </c>
      <c r="K509" s="14">
        <v>2122.1799999999998</v>
      </c>
      <c r="L509" s="14">
        <v>17527.41</v>
      </c>
      <c r="M509" s="14">
        <v>1932.94</v>
      </c>
      <c r="N509" s="14">
        <v>2860.43</v>
      </c>
      <c r="P509" s="14">
        <f>+P508*(1+'SImple Return'!B508)</f>
        <v>164.39778353872038</v>
      </c>
      <c r="Q509" s="14">
        <f>+Q508*(1+'SImple Return'!C508)</f>
        <v>175.83247831359026</v>
      </c>
      <c r="R509" s="14">
        <f>+R508*(1+'SImple Return'!D508)</f>
        <v>194.28934010152273</v>
      </c>
      <c r="S509" s="14">
        <f>+S508*(1+'SImple Return'!E508)</f>
        <v>235.31307688469767</v>
      </c>
      <c r="T509" s="14">
        <f>+T508*(1+'SImple Return'!F508)</f>
        <v>291.30473198507781</v>
      </c>
      <c r="U509" s="14">
        <f>+U508*(1+'SImple Return'!G508)</f>
        <v>230.39273325886285</v>
      </c>
      <c r="V509" s="14">
        <f>+V508*(1+'SImple Return'!H508)</f>
        <v>191.72404172852578</v>
      </c>
      <c r="W509" s="14">
        <f>+W508*(1+'SImple Return'!I508)</f>
        <v>299.17639668564453</v>
      </c>
      <c r="X509" s="14">
        <f>+X508*(1+'SImple Return'!J508)</f>
        <v>263.26117395815538</v>
      </c>
      <c r="Y509" s="14">
        <f>+Y508*(1+'SImple Return'!K508)</f>
        <v>206.13695968916937</v>
      </c>
      <c r="Z509" s="14">
        <f>+Z508*(1+'SImple Return'!L508)</f>
        <v>1707.0766983199421</v>
      </c>
      <c r="AA509" s="14">
        <f>+AA508*(1+'SImple Return'!M508)</f>
        <v>191.22872971903462</v>
      </c>
      <c r="AB509" s="14">
        <f>+AB508*(1+'SImple Return'!N508)</f>
        <v>279.68027377169386</v>
      </c>
    </row>
    <row r="510" spans="1:28">
      <c r="A510" s="8">
        <v>41180</v>
      </c>
      <c r="B510" s="10">
        <v>1311.5</v>
      </c>
      <c r="C510" s="10">
        <v>378.21</v>
      </c>
      <c r="D510" s="10">
        <v>167.3</v>
      </c>
      <c r="E510" s="11">
        <v>2299.98</v>
      </c>
      <c r="F510" s="11">
        <v>2977.96</v>
      </c>
      <c r="G510" s="11">
        <v>2348.12</v>
      </c>
      <c r="H510" s="14">
        <v>1919.39</v>
      </c>
      <c r="I510" s="14">
        <v>2981.91</v>
      </c>
      <c r="J510" s="14">
        <v>2605.84</v>
      </c>
      <c r="K510" s="14">
        <v>2096.37</v>
      </c>
      <c r="L510" s="14">
        <v>17519.669999999998</v>
      </c>
      <c r="M510" s="14">
        <v>1855.62</v>
      </c>
      <c r="N510" s="14">
        <v>2863.07</v>
      </c>
      <c r="P510" s="14">
        <f>+P509*(1+'SImple Return'!B509)</f>
        <v>161.13575211018406</v>
      </c>
      <c r="Q510" s="14">
        <f>+Q509*(1+'SImple Return'!C509)</f>
        <v>176.3874638559837</v>
      </c>
      <c r="R510" s="14">
        <f>+R509*(1+'SImple Return'!D509)</f>
        <v>193.00876788186423</v>
      </c>
      <c r="S510" s="14">
        <f>+S509*(1+'SImple Return'!E509)</f>
        <v>229.50456518485234</v>
      </c>
      <c r="T510" s="14">
        <f>+T509*(1+'SImple Return'!F509)</f>
        <v>292.35813862163781</v>
      </c>
      <c r="U510" s="14">
        <f>+U509*(1+'SImple Return'!G509)</f>
        <v>230.0860328845512</v>
      </c>
      <c r="V510" s="14">
        <f>+V509*(1+'SImple Return'!H509)</f>
        <v>191.24478144336092</v>
      </c>
      <c r="W510" s="14">
        <f>+W509*(1+'SImple Return'!I509)</f>
        <v>297.32578197445412</v>
      </c>
      <c r="X510" s="14">
        <f>+X509*(1+'SImple Return'!J509)</f>
        <v>262.49760755910631</v>
      </c>
      <c r="Y510" s="14">
        <f>+Y509*(1+'SImple Return'!K509)</f>
        <v>203.62991743564825</v>
      </c>
      <c r="Z510" s="14">
        <f>+Z509*(1+'SImple Return'!L509)</f>
        <v>1706.3228634039449</v>
      </c>
      <c r="AA510" s="14">
        <f>+AA509*(1+'SImple Return'!M509)</f>
        <v>183.57934309457872</v>
      </c>
      <c r="AB510" s="14">
        <f>+AB509*(1+'SImple Return'!N509)</f>
        <v>279.93840136885837</v>
      </c>
    </row>
    <row r="511" spans="1:28">
      <c r="A511" s="8">
        <v>41187</v>
      </c>
      <c r="B511" s="10">
        <v>1334.63</v>
      </c>
      <c r="C511" s="10">
        <v>377.63</v>
      </c>
      <c r="D511" s="10">
        <v>168.62</v>
      </c>
      <c r="E511" s="11">
        <v>2366.94</v>
      </c>
      <c r="F511" s="11">
        <v>3037.58</v>
      </c>
      <c r="G511" s="11">
        <v>2356.41</v>
      </c>
      <c r="H511" s="14">
        <v>1955.38</v>
      </c>
      <c r="I511" s="14">
        <v>3002.34</v>
      </c>
      <c r="J511" s="14">
        <v>2661.16</v>
      </c>
      <c r="K511" s="14">
        <v>2156.2399999999998</v>
      </c>
      <c r="L511" s="14">
        <v>17947.5</v>
      </c>
      <c r="M511" s="14">
        <v>1915.7</v>
      </c>
      <c r="N511" s="14">
        <v>2922.39</v>
      </c>
      <c r="P511" s="14">
        <f>+P510*(1+'SImple Return'!B510)</f>
        <v>163.97758965979031</v>
      </c>
      <c r="Q511" s="14">
        <f>+Q510*(1+'SImple Return'!C510)</f>
        <v>176.11696670086758</v>
      </c>
      <c r="R511" s="14">
        <f>+R510*(1+'SImple Return'!D510)</f>
        <v>194.53161052145811</v>
      </c>
      <c r="S511" s="14">
        <f>+S510*(1+'SImple Return'!E510)</f>
        <v>236.18619967070777</v>
      </c>
      <c r="T511" s="14">
        <f>+T510*(1+'SImple Return'!F510)</f>
        <v>298.21127037109784</v>
      </c>
      <c r="U511" s="14">
        <f>+U510*(1+'SImple Return'!G510)</f>
        <v>230.8983479334469</v>
      </c>
      <c r="V511" s="14">
        <f>+V510*(1+'SImple Return'!H510)</f>
        <v>194.83076432549876</v>
      </c>
      <c r="W511" s="14">
        <f>+W510*(1+'SImple Return'!I510)</f>
        <v>299.36285409458458</v>
      </c>
      <c r="X511" s="14">
        <f>+X510*(1+'SImple Return'!J510)</f>
        <v>268.07023199121636</v>
      </c>
      <c r="Y511" s="14">
        <f>+Y510*(1+'SImple Return'!K510)</f>
        <v>209.44536182612904</v>
      </c>
      <c r="Z511" s="14">
        <f>+Z510*(1+'SImple Return'!L510)</f>
        <v>1747.9912344777215</v>
      </c>
      <c r="AA511" s="14">
        <f>+AA510*(1+'SImple Return'!M510)</f>
        <v>189.52314998021387</v>
      </c>
      <c r="AB511" s="14">
        <f>+AB510*(1+'SImple Return'!N510)</f>
        <v>285.73845025666083</v>
      </c>
    </row>
    <row r="512" spans="1:28">
      <c r="A512" s="8">
        <v>41194</v>
      </c>
      <c r="B512" s="10">
        <v>1306.02</v>
      </c>
      <c r="C512" s="10">
        <v>379.03</v>
      </c>
      <c r="D512" s="10">
        <v>167.11</v>
      </c>
      <c r="E512" s="11">
        <v>2314.88</v>
      </c>
      <c r="F512" s="11">
        <v>2981.46</v>
      </c>
      <c r="G512" s="11">
        <v>2342.84</v>
      </c>
      <c r="H512" s="14">
        <v>1929.73</v>
      </c>
      <c r="I512" s="14">
        <v>2968.09</v>
      </c>
      <c r="J512" s="14">
        <v>2613.12</v>
      </c>
      <c r="K512" s="14">
        <v>2148.9299999999998</v>
      </c>
      <c r="L512" s="14">
        <v>17697.87</v>
      </c>
      <c r="M512" s="14">
        <v>1884.02</v>
      </c>
      <c r="N512" s="14">
        <v>2859.97</v>
      </c>
      <c r="P512" s="14">
        <f>+P511*(1+'SImple Return'!B511)</f>
        <v>160.46245899423758</v>
      </c>
      <c r="Q512" s="14">
        <f>+Q511*(1+'SImple Return'!C511)</f>
        <v>176.76989086838924</v>
      </c>
      <c r="R512" s="14">
        <f>+R511*(1+'SImple Return'!D511)</f>
        <v>192.789570835256</v>
      </c>
      <c r="S512" s="14">
        <f>+S511*(1+'SImple Return'!E511)</f>
        <v>230.99136855760096</v>
      </c>
      <c r="T512" s="14">
        <f>+T511*(1+'SImple Return'!F511)</f>
        <v>292.70174749656417</v>
      </c>
      <c r="U512" s="14">
        <f>+U511*(1+'SImple Return'!G511)</f>
        <v>229.56865972916293</v>
      </c>
      <c r="V512" s="14">
        <f>+V511*(1+'SImple Return'!H511)</f>
        <v>192.27504159899595</v>
      </c>
      <c r="W512" s="14">
        <f>+W511*(1+'SImple Return'!I511)</f>
        <v>295.94779192549663</v>
      </c>
      <c r="X512" s="14">
        <f>+X511*(1+'SImple Return'!J511)</f>
        <v>263.23095365212441</v>
      </c>
      <c r="Y512" s="14">
        <f>+Y511*(1+'SImple Return'!K511)</f>
        <v>208.73530840213681</v>
      </c>
      <c r="Z512" s="14">
        <f>+Z511*(1+'SImple Return'!L511)</f>
        <v>1723.6785975164357</v>
      </c>
      <c r="AA512" s="14">
        <f>+AA511*(1+'SImple Return'!M511)</f>
        <v>186.38899881282171</v>
      </c>
      <c r="AB512" s="14">
        <f>+AB511*(1+'SImple Return'!N511)</f>
        <v>279.6352969934</v>
      </c>
    </row>
    <row r="513" spans="1:28">
      <c r="A513" s="8">
        <v>41201</v>
      </c>
      <c r="B513" s="10">
        <v>1322.28</v>
      </c>
      <c r="C513" s="10">
        <v>378.02</v>
      </c>
      <c r="D513" s="10">
        <v>169.8</v>
      </c>
      <c r="E513" s="11">
        <v>2346.84</v>
      </c>
      <c r="F513" s="11">
        <v>3005.44</v>
      </c>
      <c r="G513" s="11">
        <v>2370.54</v>
      </c>
      <c r="H513" s="14">
        <v>1957.72</v>
      </c>
      <c r="I513" s="14">
        <v>3047.61</v>
      </c>
      <c r="J513" s="14">
        <v>2627.18</v>
      </c>
      <c r="K513" s="14">
        <v>2235.25</v>
      </c>
      <c r="L513" s="14">
        <v>18001.22</v>
      </c>
      <c r="M513" s="14">
        <v>1918.55</v>
      </c>
      <c r="N513" s="14">
        <v>2867.09</v>
      </c>
      <c r="P513" s="14">
        <f>+P512*(1+'SImple Return'!B512)</f>
        <v>162.46022287476492</v>
      </c>
      <c r="Q513" s="14">
        <f>+Q512*(1+'SImple Return'!C512)</f>
        <v>176.29885271896288</v>
      </c>
      <c r="R513" s="14">
        <f>+R512*(1+'SImple Return'!D512)</f>
        <v>195.89293954776176</v>
      </c>
      <c r="S513" s="14">
        <f>+S512*(1+'SImple Return'!E512)</f>
        <v>234.18051189941608</v>
      </c>
      <c r="T513" s="14">
        <f>+T512*(1+'SImple Return'!F512)</f>
        <v>295.05595915963113</v>
      </c>
      <c r="U513" s="14">
        <f>+U512*(1+'SImple Return'!G512)</f>
        <v>232.28290904815091</v>
      </c>
      <c r="V513" s="14">
        <f>+V512*(1+'SImple Return'!H512)</f>
        <v>195.06391797774114</v>
      </c>
      <c r="W513" s="14">
        <f>+W512*(1+'SImple Return'!I512)</f>
        <v>303.87671874844182</v>
      </c>
      <c r="X513" s="14">
        <f>+X512*(1+'SImple Return'!J512)</f>
        <v>264.64727866144233</v>
      </c>
      <c r="Y513" s="14">
        <f>+Y512*(1+'SImple Return'!K512)</f>
        <v>217.11996114618731</v>
      </c>
      <c r="Z513" s="14">
        <f>+Z512*(1+'SImple Return'!L512)</f>
        <v>1753.223277331386</v>
      </c>
      <c r="AA513" s="14">
        <f>+AA512*(1+'SImple Return'!M512)</f>
        <v>189.80510486743191</v>
      </c>
      <c r="AB513" s="14">
        <f>+AB512*(1+'SImple Return'!N512)</f>
        <v>280.33145930090433</v>
      </c>
    </row>
    <row r="514" spans="1:28">
      <c r="A514" s="8">
        <v>41208</v>
      </c>
      <c r="B514" s="10">
        <v>1300.23</v>
      </c>
      <c r="C514" s="10">
        <v>377.52</v>
      </c>
      <c r="D514" s="10">
        <v>167.85</v>
      </c>
      <c r="E514" s="11">
        <v>2327.91</v>
      </c>
      <c r="F514" s="11">
        <v>2987.93</v>
      </c>
      <c r="G514" s="11">
        <v>2348.27</v>
      </c>
      <c r="H514" s="14">
        <v>1937.63</v>
      </c>
      <c r="I514" s="14">
        <v>3033.42</v>
      </c>
      <c r="J514" s="14">
        <v>2604.86</v>
      </c>
      <c r="K514" s="14">
        <v>2176.38</v>
      </c>
      <c r="L514" s="14">
        <v>17992.18</v>
      </c>
      <c r="M514" s="14">
        <v>1917.57</v>
      </c>
      <c r="N514" s="14">
        <v>2846.02</v>
      </c>
      <c r="P514" s="14">
        <f>+P513*(1+'SImple Return'!B513)</f>
        <v>159.75107812903136</v>
      </c>
      <c r="Q514" s="14">
        <f>+Q513*(1+'SImple Return'!C513)</f>
        <v>176.06566551627657</v>
      </c>
      <c r="R514" s="14">
        <f>+R513*(1+'SImple Return'!D513)</f>
        <v>193.64328564836165</v>
      </c>
      <c r="S514" s="14">
        <f>+S513*(1+'SImple Return'!E513)</f>
        <v>232.29157311779653</v>
      </c>
      <c r="T514" s="14">
        <f>+T513*(1+'SImple Return'!F513)</f>
        <v>293.3369330453566</v>
      </c>
      <c r="U514" s="14">
        <f>+U513*(1+'SImple Return'!G513)</f>
        <v>230.10073098555659</v>
      </c>
      <c r="V514" s="14">
        <f>+V513*(1+'SImple Return'!H513)</f>
        <v>193.06218427109627</v>
      </c>
      <c r="W514" s="14">
        <f>+W513*(1+'SImple Return'!I513)</f>
        <v>302.4618360570737</v>
      </c>
      <c r="X514" s="14">
        <f>+X513*(1+'SImple Return'!J513)</f>
        <v>262.39888789273851</v>
      </c>
      <c r="Y514" s="14">
        <f>+Y513*(1+'SImple Return'!K513)</f>
        <v>211.40165128703239</v>
      </c>
      <c r="Z514" s="14">
        <f>+Z513*(1+'SImple Return'!L513)</f>
        <v>1752.3428293158029</v>
      </c>
      <c r="AA514" s="14">
        <f>+AA513*(1+'SImple Return'!M513)</f>
        <v>189.70815195884467</v>
      </c>
      <c r="AB514" s="14">
        <f>+AB513*(1+'SImple Return'!N513)</f>
        <v>278.27132730383761</v>
      </c>
    </row>
    <row r="515" spans="1:28">
      <c r="A515" s="8">
        <v>41215</v>
      </c>
      <c r="B515" s="10">
        <v>1305.77</v>
      </c>
      <c r="C515" s="10">
        <v>377.05</v>
      </c>
      <c r="D515" s="10">
        <v>169.97</v>
      </c>
      <c r="E515" s="11">
        <v>2322.29</v>
      </c>
      <c r="F515" s="11">
        <v>2980.19</v>
      </c>
      <c r="G515" s="11">
        <v>2367.67</v>
      </c>
      <c r="H515" s="14">
        <v>1938.34</v>
      </c>
      <c r="I515" s="14">
        <v>3033.27</v>
      </c>
      <c r="J515" s="14">
        <v>2512.62</v>
      </c>
      <c r="K515" s="14">
        <v>2217.46</v>
      </c>
      <c r="L515" s="14">
        <v>18266.849999999999</v>
      </c>
      <c r="M515" s="14">
        <v>1934.16</v>
      </c>
      <c r="N515" s="14">
        <v>2831.15</v>
      </c>
      <c r="P515" s="14">
        <f>+P514*(1+'SImple Return'!B514)</f>
        <v>160.4317430674152</v>
      </c>
      <c r="Q515" s="14">
        <f>+Q514*(1+'SImple Return'!C514)</f>
        <v>175.84646954575143</v>
      </c>
      <c r="R515" s="14">
        <f>+R514*(1+'SImple Return'!D514)</f>
        <v>196.08906322104281</v>
      </c>
      <c r="S515" s="14">
        <f>+S514*(1+'SImple Return'!E514)</f>
        <v>231.73077882552494</v>
      </c>
      <c r="T515" s="14">
        <f>+T514*(1+'SImple Return'!F514)</f>
        <v>292.57706656194802</v>
      </c>
      <c r="U515" s="14">
        <f>+U514*(1+'SImple Return'!G514)</f>
        <v>232.00168538224855</v>
      </c>
      <c r="V515" s="14">
        <f>+V514*(1+'SImple Return'!H514)</f>
        <v>193.13292747327233</v>
      </c>
      <c r="W515" s="14">
        <f>+W514*(1+'SImple Return'!I514)</f>
        <v>302.44687958042073</v>
      </c>
      <c r="X515" s="14">
        <f>+X514*(1+'SImple Return'!J514)</f>
        <v>253.1071511317509</v>
      </c>
      <c r="Y515" s="14">
        <f>+Y514*(1+'SImple Return'!K514)</f>
        <v>215.39193783389979</v>
      </c>
      <c r="Z515" s="14">
        <f>+Z514*(1+'SImple Return'!L514)</f>
        <v>1779.0942293644998</v>
      </c>
      <c r="AA515" s="14">
        <f>+AA514*(1+'SImple Return'!M514)</f>
        <v>191.34942619707181</v>
      </c>
      <c r="AB515" s="14">
        <f>+AB514*(1+'SImple Return'!N514)</f>
        <v>276.81740405768755</v>
      </c>
    </row>
    <row r="516" spans="1:28">
      <c r="A516" s="8">
        <v>41222</v>
      </c>
      <c r="B516" s="10">
        <v>1276.02</v>
      </c>
      <c r="C516" s="10">
        <v>378.34</v>
      </c>
      <c r="D516" s="10">
        <v>166.63</v>
      </c>
      <c r="E516" s="11">
        <v>2243.5500000000002</v>
      </c>
      <c r="F516" s="11">
        <v>2906.82</v>
      </c>
      <c r="G516" s="11">
        <v>2352.56</v>
      </c>
      <c r="H516" s="14">
        <v>1873.44</v>
      </c>
      <c r="I516" s="14">
        <v>3042.26</v>
      </c>
      <c r="J516" s="14">
        <v>2456.14</v>
      </c>
      <c r="K516" s="14">
        <v>2163.83</v>
      </c>
      <c r="L516" s="14">
        <v>18173.79</v>
      </c>
      <c r="M516" s="14">
        <v>1866.17</v>
      </c>
      <c r="N516" s="14">
        <v>2763.39</v>
      </c>
      <c r="P516" s="14">
        <f>+P515*(1+'SImple Return'!B515)</f>
        <v>156.77654777555244</v>
      </c>
      <c r="Q516" s="14">
        <f>+Q515*(1+'SImple Return'!C515)</f>
        <v>176.44809252868214</v>
      </c>
      <c r="R516" s="14">
        <f>+R515*(1+'SImple Return'!D515)</f>
        <v>192.23580987540367</v>
      </c>
      <c r="S516" s="14">
        <f>+S515*(1+'SImple Return'!E515)</f>
        <v>223.87367160604686</v>
      </c>
      <c r="T516" s="14">
        <f>+T515*(1+'SImple Return'!F515)</f>
        <v>285.37404280384868</v>
      </c>
      <c r="U516" s="14">
        <f>+U515*(1+'SImple Return'!G515)</f>
        <v>230.5210966743096</v>
      </c>
      <c r="V516" s="14">
        <f>+V515*(1+'SImple Return'!H515)</f>
        <v>186.66640096449919</v>
      </c>
      <c r="W516" s="14">
        <f>+W515*(1+'SImple Return'!I515)</f>
        <v>303.34327108115366</v>
      </c>
      <c r="X516" s="14">
        <f>+X515*(1+'SImple Return'!J515)</f>
        <v>247.41767484965439</v>
      </c>
      <c r="Y516" s="14">
        <f>+Y515*(1+'SImple Return'!K515)</f>
        <v>210.18261291889252</v>
      </c>
      <c r="Z516" s="14">
        <f>+Z515*(1+'SImple Return'!L515)</f>
        <v>1770.0306793279769</v>
      </c>
      <c r="AA516" s="14">
        <f>+AA515*(1+'SImple Return'!M515)</f>
        <v>184.62307083498237</v>
      </c>
      <c r="AB516" s="14">
        <f>+AB515*(1+'SImple Return'!N515)</f>
        <v>270.19212906379852</v>
      </c>
    </row>
    <row r="517" spans="1:28">
      <c r="A517" s="8">
        <v>41229</v>
      </c>
      <c r="B517" s="10">
        <v>1253.31</v>
      </c>
      <c r="C517" s="10">
        <v>377.21</v>
      </c>
      <c r="D517" s="10">
        <v>164.46</v>
      </c>
      <c r="E517" s="11">
        <v>2210.11</v>
      </c>
      <c r="F517" s="11">
        <v>2878.71</v>
      </c>
      <c r="G517" s="11">
        <v>2321.54</v>
      </c>
      <c r="H517" s="14">
        <v>1859.89</v>
      </c>
      <c r="I517" s="14">
        <v>2981.49</v>
      </c>
      <c r="J517" s="14">
        <v>2423.3200000000002</v>
      </c>
      <c r="K517" s="14">
        <v>2085.6799999999998</v>
      </c>
      <c r="L517" s="14">
        <v>17791.18</v>
      </c>
      <c r="M517" s="14">
        <v>1843.43</v>
      </c>
      <c r="N517" s="14">
        <v>2741.05</v>
      </c>
      <c r="P517" s="14">
        <f>+P516*(1+'SImple Return'!B516)</f>
        <v>153.98631298300782</v>
      </c>
      <c r="Q517" s="14">
        <f>+Q516*(1+'SImple Return'!C516)</f>
        <v>175.92108945061108</v>
      </c>
      <c r="R517" s="14">
        <f>+R516*(1+'SImple Return'!D516)</f>
        <v>189.7323488694046</v>
      </c>
      <c r="S517" s="14">
        <f>+S516*(1+'SImple Return'!E516)</f>
        <v>220.5368457815695</v>
      </c>
      <c r="T517" s="14">
        <f>+T516*(1+'SImple Return'!F516)</f>
        <v>282.61437266836856</v>
      </c>
      <c r="U517" s="14">
        <f>+U516*(1+'SImple Return'!G516)</f>
        <v>227.48152938640322</v>
      </c>
      <c r="V517" s="14">
        <f>+V516*(1+'SImple Return'!H516)</f>
        <v>185.31630182437783</v>
      </c>
      <c r="W517" s="14">
        <f>+W516*(1+'SImple Return'!I516)</f>
        <v>297.28390383982588</v>
      </c>
      <c r="X517" s="14">
        <f>+X516*(1+'SImple Return'!J516)</f>
        <v>244.11157336986676</v>
      </c>
      <c r="Y517" s="14">
        <f>+Y516*(1+'SImple Return'!K516)</f>
        <v>202.59154929577448</v>
      </c>
      <c r="Z517" s="14">
        <f>+Z516*(1+'SImple Return'!L516)</f>
        <v>1732.766496225956</v>
      </c>
      <c r="AA517" s="14">
        <f>+AA516*(1+'SImple Return'!M516)</f>
        <v>182.37336762960049</v>
      </c>
      <c r="AB517" s="14">
        <f>+AB516*(1+'SImple Return'!N516)</f>
        <v>268.00782204839891</v>
      </c>
    </row>
    <row r="518" spans="1:28">
      <c r="A518" s="8">
        <v>41236</v>
      </c>
      <c r="B518" s="10">
        <v>1304.8499999999999</v>
      </c>
      <c r="C518" s="10">
        <v>376.44</v>
      </c>
      <c r="D518" s="10">
        <v>168.5</v>
      </c>
      <c r="E518" s="11">
        <v>2306.3000000000002</v>
      </c>
      <c r="F518" s="11">
        <v>2928.56</v>
      </c>
      <c r="G518" s="11">
        <v>2374.42</v>
      </c>
      <c r="H518" s="14">
        <v>1888.56</v>
      </c>
      <c r="I518" s="14">
        <v>3073.84</v>
      </c>
      <c r="J518" s="14">
        <v>2488.48</v>
      </c>
      <c r="K518" s="14">
        <v>2131.0300000000002</v>
      </c>
      <c r="L518" s="14">
        <v>18249.5</v>
      </c>
      <c r="M518" s="14">
        <v>1910.22</v>
      </c>
      <c r="N518" s="14">
        <v>2814.73</v>
      </c>
      <c r="P518" s="14">
        <f>+P517*(1+'SImple Return'!B517)</f>
        <v>160.31870845670883</v>
      </c>
      <c r="Q518" s="14">
        <f>+Q517*(1+'SImple Return'!C517)</f>
        <v>175.56198115847417</v>
      </c>
      <c r="R518" s="14">
        <f>+R517*(1+'SImple Return'!D517)</f>
        <v>194.39317028149503</v>
      </c>
      <c r="S518" s="14">
        <f>+S517*(1+'SImple Return'!E517)</f>
        <v>230.13520930000485</v>
      </c>
      <c r="T518" s="14">
        <f>+T517*(1+'SImple Return'!F517)</f>
        <v>287.50834478696271</v>
      </c>
      <c r="U518" s="14">
        <f>+U517*(1+'SImple Return'!G517)</f>
        <v>232.66309992748933</v>
      </c>
      <c r="V518" s="14">
        <f>+V517*(1+'SImple Return'!H517)</f>
        <v>188.17293225591135</v>
      </c>
      <c r="W518" s="14">
        <f>+W517*(1+'SImple Return'!I517)</f>
        <v>306.49210796581929</v>
      </c>
      <c r="X518" s="14">
        <f>+X517*(1+'SImple Return'!J517)</f>
        <v>250.67542383979253</v>
      </c>
      <c r="Y518" s="14">
        <f>+Y517*(1+'SImple Return'!K517)</f>
        <v>206.9966002914035</v>
      </c>
      <c r="Z518" s="14">
        <f>+Z517*(1+'SImple Return'!L517)</f>
        <v>1777.404431458486</v>
      </c>
      <c r="AA518" s="14">
        <f>+AA517*(1+'SImple Return'!M517)</f>
        <v>188.98100514444022</v>
      </c>
      <c r="AB518" s="14">
        <f>+AB517*(1+'SImple Return'!N517)</f>
        <v>275.21192862380832</v>
      </c>
    </row>
    <row r="519" spans="1:28">
      <c r="A519" s="8">
        <v>41243</v>
      </c>
      <c r="B519" s="10">
        <v>1315.49</v>
      </c>
      <c r="C519" s="10">
        <v>377.74</v>
      </c>
      <c r="D519" s="10">
        <v>169.26</v>
      </c>
      <c r="E519" s="11">
        <v>2326.85</v>
      </c>
      <c r="F519" s="11">
        <v>2966.1</v>
      </c>
      <c r="G519" s="11">
        <v>2401.04</v>
      </c>
      <c r="H519" s="14">
        <v>1910.25</v>
      </c>
      <c r="I519" s="14">
        <v>3122.24</v>
      </c>
      <c r="J519" s="14">
        <v>2526.81</v>
      </c>
      <c r="K519" s="14">
        <v>2168.21</v>
      </c>
      <c r="L519" s="14">
        <v>18356.310000000001</v>
      </c>
      <c r="M519" s="14">
        <v>1951.09</v>
      </c>
      <c r="N519" s="14">
        <v>2843.29</v>
      </c>
      <c r="P519" s="14">
        <f>+P518*(1+'SImple Return'!B518)</f>
        <v>161.62597830226917</v>
      </c>
      <c r="Q519" s="14">
        <f>+Q518*(1+'SImple Return'!C518)</f>
        <v>176.16826788545859</v>
      </c>
      <c r="R519" s="14">
        <f>+R518*(1+'SImple Return'!D518)</f>
        <v>195.26995846792786</v>
      </c>
      <c r="S519" s="14">
        <f>+S518*(1+'SImple Return'!E518)</f>
        <v>232.18580052886276</v>
      </c>
      <c r="T519" s="14">
        <f>+T518*(1+'SImple Return'!F518)</f>
        <v>291.19379540545867</v>
      </c>
      <c r="U519" s="14">
        <f>+U518*(1+'SImple Return'!G518)</f>
        <v>235.27152291923878</v>
      </c>
      <c r="V519" s="14">
        <f>+V518*(1+'SImple Return'!H518)</f>
        <v>190.33408726323478</v>
      </c>
      <c r="W519" s="14">
        <f>+W518*(1+'SImple Return'!I518)</f>
        <v>311.31806443250122</v>
      </c>
      <c r="X519" s="14">
        <f>+X518*(1+'SImple Return'!J518)</f>
        <v>254.53657160701559</v>
      </c>
      <c r="Y519" s="14">
        <f>+Y518*(1+'SImple Return'!K518)</f>
        <v>210.60806216609996</v>
      </c>
      <c r="Z519" s="14">
        <f>+Z518*(1+'SImple Return'!L518)</f>
        <v>1787.8071585098619</v>
      </c>
      <c r="AA519" s="14">
        <f>+AA518*(1+'SImple Return'!M518)</f>
        <v>193.02433715868634</v>
      </c>
      <c r="AB519" s="14">
        <f>+AB518*(1+'SImple Return'!N518)</f>
        <v>278.00439990222435</v>
      </c>
    </row>
    <row r="520" spans="1:28">
      <c r="A520" s="8">
        <v>41250</v>
      </c>
      <c r="B520" s="10">
        <v>1320.74</v>
      </c>
      <c r="C520" s="10">
        <v>377.66</v>
      </c>
      <c r="D520" s="10">
        <v>171.24</v>
      </c>
      <c r="E520" s="11">
        <v>2319.63</v>
      </c>
      <c r="F520" s="11">
        <v>2969.04</v>
      </c>
      <c r="G520" s="11">
        <v>2420.7399999999998</v>
      </c>
      <c r="H520" s="14">
        <v>1913.04</v>
      </c>
      <c r="I520" s="14">
        <v>3180.35</v>
      </c>
      <c r="J520" s="14">
        <v>2502.54</v>
      </c>
      <c r="K520" s="14">
        <v>2160.6799999999998</v>
      </c>
      <c r="L520" s="14">
        <v>18492.73</v>
      </c>
      <c r="M520" s="14">
        <v>1965.43</v>
      </c>
      <c r="N520" s="14">
        <v>2842.08</v>
      </c>
      <c r="P520" s="14">
        <f>+P519*(1+'SImple Return'!B519)</f>
        <v>162.27101276553907</v>
      </c>
      <c r="Q520" s="14">
        <f>+Q519*(1+'SImple Return'!C519)</f>
        <v>176.13095793302878</v>
      </c>
      <c r="R520" s="14">
        <f>+R519*(1+'SImple Return'!D519)</f>
        <v>197.55422242731873</v>
      </c>
      <c r="S520" s="14">
        <f>+S519*(1+'SImple Return'!E519)</f>
        <v>231.46534949857789</v>
      </c>
      <c r="T520" s="14">
        <f>+T519*(1+'SImple Return'!F519)</f>
        <v>291.48242686039686</v>
      </c>
      <c r="U520" s="14">
        <f>+U519*(1+'SImple Return'!G519)</f>
        <v>237.20187351794141</v>
      </c>
      <c r="V520" s="14">
        <f>+V519*(1+'SImple Return'!H519)</f>
        <v>190.61207815629297</v>
      </c>
      <c r="W520" s="14">
        <f>+W519*(1+'SImple Return'!I519)</f>
        <v>317.11220348785019</v>
      </c>
      <c r="X520" s="14">
        <f>+X519*(1+'SImple Return'!J519)</f>
        <v>252.09174884911045</v>
      </c>
      <c r="Y520" s="14">
        <f>+Y519*(1+'SImple Return'!K519)</f>
        <v>209.87663914521602</v>
      </c>
      <c r="Z520" s="14">
        <f>+Z519*(1+'SImple Return'!L519)</f>
        <v>1801.09374239104</v>
      </c>
      <c r="AA520" s="14">
        <f>+AA519*(1+'SImple Return'!M519)</f>
        <v>194.44301543332031</v>
      </c>
      <c r="AB520" s="14">
        <f>+AB519*(1+'SImple Return'!N519)</f>
        <v>277.88609142019061</v>
      </c>
    </row>
    <row r="521" spans="1:28">
      <c r="A521" s="8">
        <v>41257</v>
      </c>
      <c r="B521" s="10">
        <v>1325.49</v>
      </c>
      <c r="C521" s="10">
        <v>377.05</v>
      </c>
      <c r="D521" s="10">
        <v>171.58</v>
      </c>
      <c r="E521" s="11">
        <v>2360.9499999999998</v>
      </c>
      <c r="F521" s="11">
        <v>2981.25</v>
      </c>
      <c r="G521" s="11">
        <v>2419.4</v>
      </c>
      <c r="H521" s="14">
        <v>1924.65</v>
      </c>
      <c r="I521" s="14">
        <v>3213.9</v>
      </c>
      <c r="J521" s="14">
        <v>2522.4899999999998</v>
      </c>
      <c r="K521" s="14">
        <v>2160.79</v>
      </c>
      <c r="L521" s="14">
        <v>18883.689999999999</v>
      </c>
      <c r="M521" s="14">
        <v>1999.66</v>
      </c>
      <c r="N521" s="14">
        <v>2850.35</v>
      </c>
      <c r="P521" s="14">
        <f>+P520*(1+'SImple Return'!B520)</f>
        <v>162.85461537516423</v>
      </c>
      <c r="Q521" s="14">
        <f>+Q520*(1+'SImple Return'!C520)</f>
        <v>175.84646954575146</v>
      </c>
      <c r="R521" s="14">
        <f>+R520*(1+'SImple Return'!D520)</f>
        <v>197.94646977388081</v>
      </c>
      <c r="S521" s="14">
        <f>+S520*(1+'SImple Return'!E520)</f>
        <v>235.58848475777057</v>
      </c>
      <c r="T521" s="14">
        <f>+T520*(1+'SImple Return'!F520)</f>
        <v>292.68113096406853</v>
      </c>
      <c r="U521" s="14">
        <f>+U520*(1+'SImple Return'!G520)</f>
        <v>237.07057048229365</v>
      </c>
      <c r="V521" s="14">
        <f>+V520*(1+'SImple Return'!H520)</f>
        <v>191.76887896934159</v>
      </c>
      <c r="W521" s="14">
        <f>+W520*(1+'SImple Return'!I520)</f>
        <v>320.45746876589106</v>
      </c>
      <c r="X521" s="14">
        <f>+X520*(1+'SImple Return'!J520)</f>
        <v>254.10139920016968</v>
      </c>
      <c r="Y521" s="14">
        <f>+Y520*(1+'SImple Return'!K520)</f>
        <v>209.88732394366187</v>
      </c>
      <c r="Z521" s="14">
        <f>+Z520*(1+'SImple Return'!L520)</f>
        <v>1839.1711711711714</v>
      </c>
      <c r="AA521" s="14">
        <f>+AA520*(1+'SImple Return'!M520)</f>
        <v>197.8294420261181</v>
      </c>
      <c r="AB521" s="14">
        <f>+AB520*(1+'SImple Return'!N520)</f>
        <v>278.69469567342946</v>
      </c>
    </row>
    <row r="522" spans="1:28">
      <c r="A522" s="8">
        <v>41264</v>
      </c>
      <c r="B522" s="10">
        <v>1341.06</v>
      </c>
      <c r="C522" s="10">
        <v>376.91</v>
      </c>
      <c r="D522" s="10">
        <v>174.66</v>
      </c>
      <c r="E522" s="11">
        <v>2379.73</v>
      </c>
      <c r="F522" s="11">
        <v>3023.74</v>
      </c>
      <c r="G522" s="11">
        <v>2397.0500000000002</v>
      </c>
      <c r="H522" s="14">
        <v>1939</v>
      </c>
      <c r="I522" s="14">
        <v>3182.63</v>
      </c>
      <c r="J522" s="14">
        <v>2538.2399999999998</v>
      </c>
      <c r="K522" s="14">
        <v>2178.2600000000002</v>
      </c>
      <c r="L522" s="14">
        <v>18974.009999999998</v>
      </c>
      <c r="M522" s="14">
        <v>2018.19</v>
      </c>
      <c r="N522" s="14">
        <v>2891.07</v>
      </c>
      <c r="P522" s="14">
        <f>+P521*(1+'SImple Return'!B521)</f>
        <v>164.76760329766176</v>
      </c>
      <c r="Q522" s="14">
        <f>+Q521*(1+'SImple Return'!C521)</f>
        <v>175.7811771289993</v>
      </c>
      <c r="R522" s="14">
        <f>+R521*(1+'SImple Return'!D521)</f>
        <v>201.49976926626658</v>
      </c>
      <c r="S522" s="14">
        <f>+S521*(1+'SImple Return'!E521)</f>
        <v>237.46245572020138</v>
      </c>
      <c r="T522" s="14">
        <f>+T521*(1+'SImple Return'!F521)</f>
        <v>296.85254270567464</v>
      </c>
      <c r="U522" s="14">
        <f>+U521*(1+'SImple Return'!G521)</f>
        <v>234.8805534324965</v>
      </c>
      <c r="V522" s="14">
        <f>+V521*(1+'SImple Return'!H521)</f>
        <v>193.1986887598022</v>
      </c>
      <c r="W522" s="14">
        <f>+W521*(1+'SImple Return'!I521)</f>
        <v>317.3395419329749</v>
      </c>
      <c r="X522" s="14">
        <f>+X521*(1+'SImple Return'!J521)</f>
        <v>255.68796526679535</v>
      </c>
      <c r="Y522" s="14">
        <f>+Y521*(1+'SImple Return'!K521)</f>
        <v>211.58426420592511</v>
      </c>
      <c r="Z522" s="14">
        <f>+Z521*(1+'SImple Return'!L521)</f>
        <v>1847.9678597516438</v>
      </c>
      <c r="AA522" s="14">
        <f>+AA521*(1+'SImple Return'!M521)</f>
        <v>199.66264345073228</v>
      </c>
      <c r="AB522" s="14">
        <f>+AB521*(1+'SImple Return'!N521)</f>
        <v>282.67611830848205</v>
      </c>
    </row>
    <row r="523" spans="1:28">
      <c r="A523" s="8">
        <v>41271</v>
      </c>
      <c r="B523" s="10">
        <v>1326.84</v>
      </c>
      <c r="C523" s="10">
        <v>376.59</v>
      </c>
      <c r="D523" s="10">
        <v>174.26</v>
      </c>
      <c r="E523" s="11">
        <v>2377.3000000000002</v>
      </c>
      <c r="F523" s="11">
        <v>2973.51</v>
      </c>
      <c r="G523" s="11">
        <v>2385.59</v>
      </c>
      <c r="H523" s="14">
        <v>1913.03</v>
      </c>
      <c r="I523" s="14">
        <v>3177.86</v>
      </c>
      <c r="J523" s="14">
        <v>2517.9499999999998</v>
      </c>
      <c r="K523" s="14">
        <v>2160.7600000000002</v>
      </c>
      <c r="L523" s="14">
        <v>18804.09</v>
      </c>
      <c r="M523" s="14">
        <v>2033.45</v>
      </c>
      <c r="N523" s="14">
        <v>2849.45</v>
      </c>
      <c r="P523" s="14">
        <f>+P522*(1+'SImple Return'!B522)</f>
        <v>163.02048138000501</v>
      </c>
      <c r="Q523" s="14">
        <f>+Q522*(1+'SImple Return'!C522)</f>
        <v>175.63193731928004</v>
      </c>
      <c r="R523" s="14">
        <f>+R522*(1+'SImple Return'!D522)</f>
        <v>201.03830179972297</v>
      </c>
      <c r="S523" s="14">
        <f>+S522*(1+'SImple Return'!E522)</f>
        <v>237.21997704934373</v>
      </c>
      <c r="T523" s="14">
        <f>+T522*(1+'SImple Return'!F522)</f>
        <v>291.92126448065994</v>
      </c>
      <c r="U523" s="14">
        <f>+U522*(1+'SImple Return'!G522)</f>
        <v>233.75761851568774</v>
      </c>
      <c r="V523" s="14">
        <f>+V522*(1+'SImple Return'!H522)</f>
        <v>190.61108177316368</v>
      </c>
      <c r="W523" s="14">
        <f>+W522*(1+'SImple Return'!I522)</f>
        <v>316.86392597541141</v>
      </c>
      <c r="X523" s="14">
        <f>+X522*(1+'SImple Return'!J522)</f>
        <v>253.64406523556769</v>
      </c>
      <c r="Y523" s="14">
        <f>+Y522*(1+'SImple Return'!K522)</f>
        <v>209.8844099077221</v>
      </c>
      <c r="Z523" s="14">
        <f>+Z522*(1+'SImple Return'!L522)</f>
        <v>1831.4185536888244</v>
      </c>
      <c r="AA523" s="14">
        <f>+AA522*(1+'SImple Return'!M522)</f>
        <v>201.17233874159098</v>
      </c>
      <c r="AB523" s="14">
        <f>+AB522*(1+'SImple Return'!N522)</f>
        <v>278.60669762894156</v>
      </c>
    </row>
    <row r="524" spans="1:28">
      <c r="A524" s="8">
        <v>41278</v>
      </c>
      <c r="B524" s="10">
        <v>1370.11</v>
      </c>
      <c r="C524" s="10">
        <v>373.1</v>
      </c>
      <c r="D524" s="10">
        <v>177.54</v>
      </c>
      <c r="E524" s="11">
        <v>2393.08</v>
      </c>
      <c r="F524" s="11">
        <v>3090.54</v>
      </c>
      <c r="G524" s="11">
        <v>2399.0300000000002</v>
      </c>
      <c r="H524" s="14">
        <v>1954.03</v>
      </c>
      <c r="I524" s="14">
        <v>3234.55</v>
      </c>
      <c r="J524" s="14">
        <v>2566.5300000000002</v>
      </c>
      <c r="K524" s="14">
        <v>2240.21</v>
      </c>
      <c r="L524" s="14">
        <v>19177.16</v>
      </c>
      <c r="M524" s="14">
        <v>2065.23</v>
      </c>
      <c r="N524" s="14">
        <v>2945.84</v>
      </c>
      <c r="P524" s="14">
        <f>+P523*(1+'SImple Return'!B523)</f>
        <v>168.33679399442184</v>
      </c>
      <c r="Q524" s="14">
        <f>+Q523*(1+'SImple Return'!C523)</f>
        <v>174.00429064452956</v>
      </c>
      <c r="R524" s="14">
        <f>+R523*(1+'SImple Return'!D523)</f>
        <v>204.82233502538057</v>
      </c>
      <c r="S524" s="14">
        <f>+S523*(1+'SImple Return'!E523)</f>
        <v>238.79459162799955</v>
      </c>
      <c r="T524" s="14">
        <f>+T523*(1+'SImple Return'!F523)</f>
        <v>303.41056351855508</v>
      </c>
      <c r="U524" s="14">
        <f>+U523*(1+'SImple Return'!G523)</f>
        <v>235.07456836576713</v>
      </c>
      <c r="V524" s="14">
        <f>+V523*(1+'SImple Return'!H523)</f>
        <v>194.69625260305119</v>
      </c>
      <c r="W524" s="14">
        <f>+W523*(1+'SImple Return'!I523)</f>
        <v>322.51647705177919</v>
      </c>
      <c r="X524" s="14">
        <f>+X523*(1+'SImple Return'!J523)</f>
        <v>258.53774012551543</v>
      </c>
      <c r="Y524" s="14">
        <f>+Y523*(1+'SImple Return'!K523)</f>
        <v>217.60174842156374</v>
      </c>
      <c r="Z524" s="14">
        <f>+Z523*(1+'SImple Return'!L523)</f>
        <v>1867.7535914292675</v>
      </c>
      <c r="AA524" s="14">
        <f>+AA523*(1+'SImple Return'!M523)</f>
        <v>204.31638306292061</v>
      </c>
      <c r="AB524" s="14">
        <f>+AB523*(1+'SImple Return'!N523)</f>
        <v>288.03128819359569</v>
      </c>
    </row>
    <row r="525" spans="1:28">
      <c r="A525" s="8">
        <v>41285</v>
      </c>
      <c r="B525" s="10">
        <v>1381.94</v>
      </c>
      <c r="C525" s="10">
        <v>374.22</v>
      </c>
      <c r="D525" s="10">
        <v>178.86</v>
      </c>
      <c r="E525" s="11">
        <v>2396.46</v>
      </c>
      <c r="F525" s="11">
        <v>3098.06</v>
      </c>
      <c r="G525" s="11">
        <v>2415.35</v>
      </c>
      <c r="H525" s="14">
        <v>1927.37</v>
      </c>
      <c r="I525" s="14">
        <v>3223.07</v>
      </c>
      <c r="J525" s="14">
        <v>2592.7399999999998</v>
      </c>
      <c r="K525" s="14">
        <v>2286.27</v>
      </c>
      <c r="L525" s="14">
        <v>19304.310000000001</v>
      </c>
      <c r="M525" s="14">
        <v>2080.41</v>
      </c>
      <c r="N525" s="14">
        <v>2964.89</v>
      </c>
      <c r="P525" s="14">
        <f>+P524*(1+'SImple Return'!B524)</f>
        <v>169.7902716516567</v>
      </c>
      <c r="Q525" s="14">
        <f>+Q524*(1+'SImple Return'!C524)</f>
        <v>174.52662997854691</v>
      </c>
      <c r="R525" s="14">
        <f>+R524*(1+'SImple Return'!D524)</f>
        <v>206.34517766497447</v>
      </c>
      <c r="S525" s="14">
        <f>+S524*(1+'SImple Return'!E524)</f>
        <v>239.13186648705258</v>
      </c>
      <c r="T525" s="14">
        <f>+T524*(1+'SImple Return'!F524)</f>
        <v>304.14883172982547</v>
      </c>
      <c r="U525" s="14">
        <f>+U524*(1+'SImple Return'!G524)</f>
        <v>236.67372175514919</v>
      </c>
      <c r="V525" s="14">
        <f>+V524*(1+'SImple Return'!H524)</f>
        <v>192.03989518049505</v>
      </c>
      <c r="W525" s="14">
        <f>+W524*(1+'SImple Return'!I524)</f>
        <v>321.37180803860753</v>
      </c>
      <c r="X525" s="14">
        <f>+X524*(1+'SImple Return'!J524)</f>
        <v>261.17798752908743</v>
      </c>
      <c r="Y525" s="14">
        <f>+Y524*(1+'SImple Return'!K524)</f>
        <v>222.07576493443406</v>
      </c>
      <c r="Z525" s="14">
        <f>+Z524*(1+'SImple Return'!L524)</f>
        <v>1880.1373265157054</v>
      </c>
      <c r="AA525" s="14">
        <f>+AA524*(1+'SImple Return'!M524)</f>
        <v>205.81816383062932</v>
      </c>
      <c r="AB525" s="14">
        <f>+AB524*(1+'SImple Return'!N524)</f>
        <v>289.89391346858957</v>
      </c>
    </row>
    <row r="526" spans="1:28">
      <c r="A526" s="8">
        <v>41292</v>
      </c>
      <c r="B526" s="10">
        <v>1388.11</v>
      </c>
      <c r="C526" s="10">
        <v>374.13</v>
      </c>
      <c r="D526" s="10">
        <v>179.75</v>
      </c>
      <c r="E526" s="11">
        <v>2387.08</v>
      </c>
      <c r="F526" s="11">
        <v>3120.78</v>
      </c>
      <c r="G526" s="11">
        <v>2448.4</v>
      </c>
      <c r="H526" s="14">
        <v>1918.9</v>
      </c>
      <c r="I526" s="14">
        <v>3229.12</v>
      </c>
      <c r="J526" s="14">
        <v>2597.6799999999998</v>
      </c>
      <c r="K526" s="14">
        <v>2283.61</v>
      </c>
      <c r="L526" s="14">
        <v>19505.87</v>
      </c>
      <c r="M526" s="14">
        <v>2066.0300000000002</v>
      </c>
      <c r="N526" s="14">
        <v>3003.95</v>
      </c>
      <c r="P526" s="14">
        <f>+P525*(1+'SImple Return'!B525)</f>
        <v>170.5483407256329</v>
      </c>
      <c r="Q526" s="14">
        <f>+Q525*(1+'SImple Return'!C525)</f>
        <v>174.48465628206336</v>
      </c>
      <c r="R526" s="14">
        <f>+R525*(1+'SImple Return'!D525)</f>
        <v>207.371942778034</v>
      </c>
      <c r="S526" s="14">
        <f>+S525*(1+'SImple Return'!E525)</f>
        <v>238.19587886044977</v>
      </c>
      <c r="T526" s="14">
        <f>+T525*(1+'SImple Return'!F525)</f>
        <v>306.37934419791895</v>
      </c>
      <c r="U526" s="14">
        <f>+U525*(1+'SImple Return'!G525)</f>
        <v>239.912203343328</v>
      </c>
      <c r="V526" s="14">
        <f>+V525*(1+'SImple Return'!H525)</f>
        <v>191.19595867002806</v>
      </c>
      <c r="W526" s="14">
        <f>+W525*(1+'SImple Return'!I525)</f>
        <v>321.97505259694276</v>
      </c>
      <c r="X526" s="14">
        <f>+X525*(1+'SImple Return'!J525)</f>
        <v>261.67561523506401</v>
      </c>
      <c r="Y526" s="14">
        <f>+Y525*(1+'SImple Return'!K525)</f>
        <v>221.8173870811072</v>
      </c>
      <c r="Z526" s="14">
        <f>+Z525*(1+'SImple Return'!L525)</f>
        <v>1899.7682006330656</v>
      </c>
      <c r="AA526" s="14">
        <f>+AA525*(1+'SImple Return'!M525)</f>
        <v>204.39552829442039</v>
      </c>
      <c r="AB526" s="14">
        <f>+AB525*(1+'SImple Return'!N525)</f>
        <v>293.71302859936441</v>
      </c>
    </row>
    <row r="527" spans="1:28">
      <c r="A527" s="8">
        <v>41299</v>
      </c>
      <c r="B527" s="10">
        <v>1405.47</v>
      </c>
      <c r="C527" s="10">
        <v>372.69</v>
      </c>
      <c r="D527" s="10">
        <v>180.99</v>
      </c>
      <c r="E527" s="11">
        <v>2449.11</v>
      </c>
      <c r="F527" s="11">
        <v>3125.57</v>
      </c>
      <c r="G527" s="11">
        <v>2467.65</v>
      </c>
      <c r="H527" s="14">
        <v>1948.17</v>
      </c>
      <c r="I527" s="14">
        <v>3298.44</v>
      </c>
      <c r="J527" s="14">
        <v>2652.14</v>
      </c>
      <c r="K527" s="14">
        <v>2298.87</v>
      </c>
      <c r="L527" s="14">
        <v>19556.759999999998</v>
      </c>
      <c r="M527" s="14">
        <v>2109.0500000000002</v>
      </c>
      <c r="N527" s="14">
        <v>3008.56</v>
      </c>
      <c r="P527" s="14">
        <f>+P526*(1+'SImple Return'!B526)</f>
        <v>172.6812546841787</v>
      </c>
      <c r="Q527" s="14">
        <f>+Q526*(1+'SImple Return'!C526)</f>
        <v>173.81307713832678</v>
      </c>
      <c r="R527" s="14">
        <f>+R526*(1+'SImple Return'!D526)</f>
        <v>208.80249192431921</v>
      </c>
      <c r="S527" s="14">
        <f>+S526*(1+'SImple Return'!E526)</f>
        <v>244.3855710223018</v>
      </c>
      <c r="T527" s="14">
        <f>+T526*(1+'SImple Return'!F526)</f>
        <v>306.84959748674675</v>
      </c>
      <c r="U527" s="14">
        <f>+U526*(1+'SImple Return'!G526)</f>
        <v>241.7984596390146</v>
      </c>
      <c r="V527" s="14">
        <f>+V526*(1+'SImple Return'!H526)</f>
        <v>194.11237208931604</v>
      </c>
      <c r="W527" s="14">
        <f>+W526*(1+'SImple Return'!I526)</f>
        <v>328.88693900748808</v>
      </c>
      <c r="X527" s="14">
        <f>+X526*(1+'SImple Return'!J526)</f>
        <v>267.16160812321868</v>
      </c>
      <c r="Y527" s="14">
        <f>+Y526*(1+'SImple Return'!K526)</f>
        <v>223.2996600291402</v>
      </c>
      <c r="Z527" s="14">
        <f>+Z526*(1+'SImple Return'!L526)</f>
        <v>1904.7246165084002</v>
      </c>
      <c r="AA527" s="14">
        <f>+AA526*(1+'SImple Return'!M526)</f>
        <v>208.65156311832223</v>
      </c>
      <c r="AB527" s="14">
        <f>+AB526*(1+'SImple Return'!N526)</f>
        <v>294.16377413835244</v>
      </c>
    </row>
    <row r="528" spans="1:28">
      <c r="A528" s="8">
        <v>41306</v>
      </c>
      <c r="B528" s="10">
        <v>1416.79</v>
      </c>
      <c r="C528" s="10">
        <v>371.98</v>
      </c>
      <c r="D528" s="10">
        <v>179.99</v>
      </c>
      <c r="E528" s="11">
        <v>2462.71</v>
      </c>
      <c r="F528" s="11">
        <v>3144.92</v>
      </c>
      <c r="G528" s="11">
        <v>2480.86</v>
      </c>
      <c r="H528" s="14">
        <v>1958.15</v>
      </c>
      <c r="I528" s="14">
        <v>3350.92</v>
      </c>
      <c r="J528" s="14">
        <v>2654.04</v>
      </c>
      <c r="K528" s="14">
        <v>2331.58</v>
      </c>
      <c r="L528" s="14">
        <v>19349.96</v>
      </c>
      <c r="M528" s="14">
        <v>2132.7600000000002</v>
      </c>
      <c r="N528" s="14">
        <v>3040.67</v>
      </c>
      <c r="P528" s="14">
        <f>+P527*(1+'SImple Return'!B527)</f>
        <v>174.07207185069586</v>
      </c>
      <c r="Q528" s="14">
        <f>+Q527*(1+'SImple Return'!C527)</f>
        <v>173.48195131051222</v>
      </c>
      <c r="R528" s="14">
        <f>+R527*(1+'SImple Return'!D527)</f>
        <v>207.64882325796017</v>
      </c>
      <c r="S528" s="14">
        <f>+S527*(1+'SImple Return'!E527)</f>
        <v>245.74265329541461</v>
      </c>
      <c r="T528" s="14">
        <f>+T527*(1+'SImple Return'!F527)</f>
        <v>308.74926369526827</v>
      </c>
      <c r="U528" s="14">
        <f>+U527*(1+'SImple Return'!G527)</f>
        <v>243.09287240088574</v>
      </c>
      <c r="V528" s="14">
        <f>+V527*(1+'SImple Return'!H527)</f>
        <v>195.1067624522984</v>
      </c>
      <c r="W528" s="14">
        <f>+W527*(1+'SImple Return'!I527)</f>
        <v>334.11971163913</v>
      </c>
      <c r="X528" s="14">
        <f>+X527*(1+'SImple Return'!J527)</f>
        <v>267.35300339474816</v>
      </c>
      <c r="Y528" s="14">
        <f>+Y527*(1+'SImple Return'!K527)</f>
        <v>226.47693054880995</v>
      </c>
      <c r="Z528" s="14">
        <f>+Z527*(1+'SImple Return'!L527)</f>
        <v>1884.5833942050158</v>
      </c>
      <c r="AA528" s="14">
        <f>+AA527*(1+'SImple Return'!M527)</f>
        <v>210.99722991689762</v>
      </c>
      <c r="AB528" s="14">
        <f>+AB527*(1+'SImple Return'!N527)</f>
        <v>297.30334881447072</v>
      </c>
    </row>
    <row r="529" spans="1:28">
      <c r="A529" s="8">
        <v>41313</v>
      </c>
      <c r="B529" s="10">
        <v>1410.44</v>
      </c>
      <c r="C529" s="10">
        <v>370.88</v>
      </c>
      <c r="D529" s="10">
        <v>179.32</v>
      </c>
      <c r="E529" s="11">
        <v>2416.23</v>
      </c>
      <c r="F529" s="11">
        <v>3165.7</v>
      </c>
      <c r="G529" s="11">
        <v>2465.2600000000002</v>
      </c>
      <c r="H529" s="14">
        <v>1949.54</v>
      </c>
      <c r="I529" s="14">
        <v>3303.3</v>
      </c>
      <c r="J529" s="14">
        <v>2675.24</v>
      </c>
      <c r="K529" s="14">
        <v>2357.31</v>
      </c>
      <c r="L529" s="14">
        <v>19196.46</v>
      </c>
      <c r="M529" s="14">
        <v>2092.84</v>
      </c>
      <c r="N529" s="14">
        <v>3048.38</v>
      </c>
      <c r="P529" s="14">
        <f>+P528*(1+'SImple Return'!B528)</f>
        <v>173.29188730940751</v>
      </c>
      <c r="Q529" s="14">
        <f>+Q528*(1+'SImple Return'!C528)</f>
        <v>172.96893946460233</v>
      </c>
      <c r="R529" s="14">
        <f>+R528*(1+'SImple Return'!D528)</f>
        <v>206.87586525149959</v>
      </c>
      <c r="S529" s="14">
        <f>+S528*(1+'SImple Return'!E528)</f>
        <v>241.10462505612909</v>
      </c>
      <c r="T529" s="14">
        <f>+T528*(1+'SImple Return'!F528)</f>
        <v>310.78931867268824</v>
      </c>
      <c r="U529" s="14">
        <f>+U528*(1+'SImple Return'!G528)</f>
        <v>241.56426989632934</v>
      </c>
      <c r="V529" s="14">
        <f>+V528*(1+'SImple Return'!H528)</f>
        <v>194.24887657802202</v>
      </c>
      <c r="W529" s="14">
        <f>+W528*(1+'SImple Return'!I528)</f>
        <v>329.37152885104337</v>
      </c>
      <c r="X529" s="14">
        <f>+X528*(1+'SImple Return'!J528)</f>
        <v>269.48857168760304</v>
      </c>
      <c r="Y529" s="14">
        <f>+Y528*(1+'SImple Return'!K528)</f>
        <v>228.97620203982501</v>
      </c>
      <c r="Z529" s="14">
        <f>+Z528*(1+'SImple Return'!L528)</f>
        <v>1869.6333089846603</v>
      </c>
      <c r="AA529" s="14">
        <f>+AA528*(1+'SImple Return'!M528)</f>
        <v>207.04788286505749</v>
      </c>
      <c r="AB529" s="14">
        <f>+AB528*(1+'SImple Return'!N528)</f>
        <v>298.05719872891706</v>
      </c>
    </row>
    <row r="530" spans="1:28">
      <c r="A530" s="8">
        <v>41320</v>
      </c>
      <c r="B530" s="10">
        <v>1406.92</v>
      </c>
      <c r="C530" s="10">
        <v>370.66</v>
      </c>
      <c r="D530" s="10">
        <v>178.81</v>
      </c>
      <c r="E530" s="11">
        <v>2403.19</v>
      </c>
      <c r="F530" s="11">
        <v>3123.35</v>
      </c>
      <c r="G530" s="11">
        <v>2460.41</v>
      </c>
      <c r="H530" s="14">
        <v>1929.55</v>
      </c>
      <c r="I530" s="14">
        <v>3303.33</v>
      </c>
      <c r="J530" s="14">
        <v>2633.08</v>
      </c>
      <c r="K530" s="14">
        <v>2330.0300000000002</v>
      </c>
      <c r="L530" s="14">
        <v>18826.27</v>
      </c>
      <c r="M530" s="14">
        <v>2093.7600000000002</v>
      </c>
      <c r="N530" s="14">
        <v>3024.09</v>
      </c>
      <c r="P530" s="14">
        <f>+P529*(1+'SImple Return'!B529)</f>
        <v>172.85940705974846</v>
      </c>
      <c r="Q530" s="14">
        <f>+Q529*(1+'SImple Return'!C529)</f>
        <v>172.86633709542036</v>
      </c>
      <c r="R530" s="14">
        <f>+R529*(1+'SImple Return'!D529)</f>
        <v>206.2874942316565</v>
      </c>
      <c r="S530" s="14">
        <f>+S529*(1+'SImple Return'!E529)</f>
        <v>239.80342264132094</v>
      </c>
      <c r="T530" s="14">
        <f>+T529*(1+'SImple Return'!F529)</f>
        <v>306.63165128607915</v>
      </c>
      <c r="U530" s="14">
        <f>+U529*(1+'SImple Return'!G529)</f>
        <v>241.08903129715631</v>
      </c>
      <c r="V530" s="14">
        <f>+V529*(1+'SImple Return'!H529)</f>
        <v>192.25710670266955</v>
      </c>
      <c r="W530" s="14">
        <f>+W529*(1+'SImple Return'!I529)</f>
        <v>329.37452014637392</v>
      </c>
      <c r="X530" s="14">
        <f>+X529*(1+'SImple Return'!J529)</f>
        <v>265.241611346718</v>
      </c>
      <c r="Y530" s="14">
        <f>+Y529*(1+'SImple Return'!K529)</f>
        <v>226.32637202525487</v>
      </c>
      <c r="Z530" s="14">
        <f>+Z529*(1+'SImple Return'!L529)</f>
        <v>1833.5787679571463</v>
      </c>
      <c r="AA530" s="14">
        <f>+AA529*(1+'SImple Return'!M529)</f>
        <v>207.13889988128227</v>
      </c>
      <c r="AB530" s="14">
        <f>+AB529*(1+'SImple Return'!N529)</f>
        <v>295.68222928379362</v>
      </c>
    </row>
    <row r="531" spans="1:28">
      <c r="A531" s="8">
        <v>41327</v>
      </c>
      <c r="B531" s="10">
        <v>1402.05</v>
      </c>
      <c r="C531" s="10">
        <v>370.68</v>
      </c>
      <c r="D531" s="10">
        <v>178.87</v>
      </c>
      <c r="E531" s="11">
        <v>2431.98</v>
      </c>
      <c r="F531" s="11">
        <v>3126.92</v>
      </c>
      <c r="G531" s="11">
        <v>2473.4699999999998</v>
      </c>
      <c r="H531" s="14">
        <v>1955.98</v>
      </c>
      <c r="I531" s="14">
        <v>3312.21</v>
      </c>
      <c r="J531" s="14">
        <v>2653.89</v>
      </c>
      <c r="K531" s="14">
        <v>2285.61</v>
      </c>
      <c r="L531" s="14">
        <v>19041.98</v>
      </c>
      <c r="M531" s="14">
        <v>2071.75</v>
      </c>
      <c r="N531" s="14">
        <v>3023.57</v>
      </c>
      <c r="P531" s="14">
        <f>+P530*(1+'SImple Return'!B530)</f>
        <v>172.26106080524858</v>
      </c>
      <c r="Q531" s="14">
        <f>+Q530*(1+'SImple Return'!C530)</f>
        <v>172.87566458352782</v>
      </c>
      <c r="R531" s="14">
        <f>+R530*(1+'SImple Return'!D530)</f>
        <v>206.35671435163803</v>
      </c>
      <c r="S531" s="14">
        <f>+S530*(1+'SImple Return'!E530)</f>
        <v>242.67624607094723</v>
      </c>
      <c r="T531" s="14">
        <f>+T530*(1+'SImple Return'!F530)</f>
        <v>306.98213233850402</v>
      </c>
      <c r="U531" s="14">
        <f>+U530*(1+'SImple Return'!G530)</f>
        <v>242.36874595802212</v>
      </c>
      <c r="V531" s="14">
        <f>+V530*(1+'SImple Return'!H530)</f>
        <v>194.89054731325314</v>
      </c>
      <c r="W531" s="14">
        <f>+W530*(1+'SImple Return'!I530)</f>
        <v>330.25994356422797</v>
      </c>
      <c r="X531" s="14">
        <f>+X530*(1+'SImple Return'!J530)</f>
        <v>267.33789324173267</v>
      </c>
      <c r="Y531" s="14">
        <f>+Y530*(1+'SImple Return'!K530)</f>
        <v>222.01165614375901</v>
      </c>
      <c r="Z531" s="14">
        <f>+Z530*(1+'SImple Return'!L530)</f>
        <v>1854.5877769661554</v>
      </c>
      <c r="AA531" s="14">
        <f>+AA530*(1+'SImple Return'!M530)</f>
        <v>204.96141669964393</v>
      </c>
      <c r="AB531" s="14">
        <f>+AB530*(1+'SImple Return'!N530)</f>
        <v>295.63138596920061</v>
      </c>
    </row>
    <row r="532" spans="1:28">
      <c r="A532" s="8">
        <v>41334</v>
      </c>
      <c r="B532" s="10">
        <v>1401.75</v>
      </c>
      <c r="C532" s="10">
        <v>372.15</v>
      </c>
      <c r="D532" s="10">
        <v>181.38</v>
      </c>
      <c r="E532" s="11">
        <v>2386.36</v>
      </c>
      <c r="F532" s="11">
        <v>3152.55</v>
      </c>
      <c r="G532" s="11">
        <v>2495.17</v>
      </c>
      <c r="H532" s="14">
        <v>1960.91</v>
      </c>
      <c r="I532" s="14">
        <v>3317.13</v>
      </c>
      <c r="J532" s="14">
        <v>2648.41</v>
      </c>
      <c r="K532" s="14">
        <v>2268.83</v>
      </c>
      <c r="L532" s="14">
        <v>19348.2</v>
      </c>
      <c r="M532" s="14">
        <v>2037.65</v>
      </c>
      <c r="N532" s="14">
        <v>3026.24</v>
      </c>
      <c r="P532" s="14">
        <f>+P531*(1+'SImple Return'!B531)</f>
        <v>172.22420169306173</v>
      </c>
      <c r="Q532" s="14">
        <f>+Q531*(1+'SImple Return'!C531)</f>
        <v>173.56123495942558</v>
      </c>
      <c r="R532" s="14">
        <f>+R531*(1+'SImple Return'!D531)</f>
        <v>209.25242270419915</v>
      </c>
      <c r="S532" s="14">
        <f>+S531*(1+'SImple Return'!E531)</f>
        <v>238.12403332834384</v>
      </c>
      <c r="T532" s="14">
        <f>+T531*(1+'SImple Return'!F531)</f>
        <v>309.49833104260767</v>
      </c>
      <c r="U532" s="14">
        <f>+U531*(1+'SImple Return'!G531)</f>
        <v>244.49507123679612</v>
      </c>
      <c r="V532" s="14">
        <f>+V531*(1+'SImple Return'!H531)</f>
        <v>195.38176419596888</v>
      </c>
      <c r="W532" s="14">
        <f>+W531*(1+'SImple Return'!I531)</f>
        <v>330.75051599844443</v>
      </c>
      <c r="X532" s="14">
        <f>+X531*(1+'SImple Return'!J531)</f>
        <v>266.78586898490039</v>
      </c>
      <c r="Y532" s="14">
        <f>+Y531*(1+'SImple Return'!K531)</f>
        <v>220.38173870811062</v>
      </c>
      <c r="Z532" s="14">
        <f>+Z531*(1+'SImple Return'!L531)</f>
        <v>1884.4119795471147</v>
      </c>
      <c r="AA532" s="14">
        <f>+AA531*(1+'SImple Return'!M531)</f>
        <v>201.58785120696487</v>
      </c>
      <c r="AB532" s="14">
        <f>+AB531*(1+'SImple Return'!N531)</f>
        <v>295.89244683451466</v>
      </c>
    </row>
    <row r="533" spans="1:28">
      <c r="A533" s="8">
        <v>41341</v>
      </c>
      <c r="B533" s="10">
        <v>1428.72</v>
      </c>
      <c r="C533" s="10">
        <v>369.22</v>
      </c>
      <c r="D533" s="10">
        <v>182.62</v>
      </c>
      <c r="E533" s="11">
        <v>2403.8000000000002</v>
      </c>
      <c r="F533" s="11">
        <v>3188.97</v>
      </c>
      <c r="G533" s="11">
        <v>2529.02</v>
      </c>
      <c r="H533" s="14">
        <v>1969.82</v>
      </c>
      <c r="I533" s="14">
        <v>3341.23</v>
      </c>
      <c r="J533" s="14">
        <v>2638.49</v>
      </c>
      <c r="K533" s="14">
        <v>2301.0100000000002</v>
      </c>
      <c r="L533" s="14">
        <v>19529.439999999999</v>
      </c>
      <c r="M533" s="14">
        <v>2052.6</v>
      </c>
      <c r="N533" s="14">
        <v>3075.48</v>
      </c>
      <c r="P533" s="14">
        <f>+P532*(1+'SImple Return'!B532)</f>
        <v>175.53783587865965</v>
      </c>
      <c r="Q533" s="14">
        <f>+Q532*(1+'SImple Return'!C532)</f>
        <v>172.19475795168378</v>
      </c>
      <c r="R533" s="14">
        <f>+R532*(1+'SImple Return'!D532)</f>
        <v>210.68297185048434</v>
      </c>
      <c r="S533" s="14">
        <f>+S532*(1+'SImple Return'!E532)</f>
        <v>239.86429177268849</v>
      </c>
      <c r="T533" s="14">
        <f>+T532*(1+'SImple Return'!F532)</f>
        <v>313.07382682112717</v>
      </c>
      <c r="U533" s="14">
        <f>+U532*(1+'SImple Return'!G532)</f>
        <v>247.81194269700345</v>
      </c>
      <c r="V533" s="14">
        <f>+V532*(1+'SImple Return'!H532)</f>
        <v>196.26954156412251</v>
      </c>
      <c r="W533" s="14">
        <f>+W532*(1+'SImple Return'!I532)</f>
        <v>333.15352324735005</v>
      </c>
      <c r="X533" s="14">
        <f>+X532*(1+'SImple Return'!J532)</f>
        <v>265.78658419880981</v>
      </c>
      <c r="Y533" s="14">
        <f>+Y532*(1+'SImple Return'!K532)</f>
        <v>223.50752792617766</v>
      </c>
      <c r="Z533" s="14">
        <f>+Z532*(1+'SImple Return'!L532)</f>
        <v>1902.063793523253</v>
      </c>
      <c r="AA533" s="14">
        <f>+AA532*(1+'SImple Return'!M532)</f>
        <v>203.06687772061744</v>
      </c>
      <c r="AB533" s="14">
        <f>+AB532*(1+'SImple Return'!N532)</f>
        <v>300.70691762405272</v>
      </c>
    </row>
    <row r="534" spans="1:28">
      <c r="A534" s="8">
        <v>41348</v>
      </c>
      <c r="B534" s="10">
        <v>1444.48</v>
      </c>
      <c r="C534" s="10">
        <v>369.25</v>
      </c>
      <c r="D534" s="10">
        <v>183.63</v>
      </c>
      <c r="E534" s="11">
        <v>2415.19</v>
      </c>
      <c r="F534" s="11">
        <v>3199.11</v>
      </c>
      <c r="G534" s="11">
        <v>2563.09</v>
      </c>
      <c r="H534" s="14">
        <v>1992.58</v>
      </c>
      <c r="I534" s="14">
        <v>3293.39</v>
      </c>
      <c r="J534" s="14">
        <v>2617.77</v>
      </c>
      <c r="K534" s="14">
        <v>2338.89</v>
      </c>
      <c r="L534" s="14">
        <v>19215.650000000001</v>
      </c>
      <c r="M534" s="14">
        <v>2061.7399999999998</v>
      </c>
      <c r="N534" s="14">
        <v>3096.2</v>
      </c>
      <c r="P534" s="14">
        <f>+P533*(1+'SImple Return'!B533)</f>
        <v>177.47416790554223</v>
      </c>
      <c r="Q534" s="14">
        <f>+Q533*(1+'SImple Return'!C533)</f>
        <v>172.20874918384496</v>
      </c>
      <c r="R534" s="14">
        <f>+R533*(1+'SImple Return'!D533)</f>
        <v>211.84817720350694</v>
      </c>
      <c r="S534" s="14">
        <f>+S533*(1+'SImple Return'!E533)</f>
        <v>241.00084817642048</v>
      </c>
      <c r="T534" s="14">
        <f>+T533*(1+'SImple Return'!F533)</f>
        <v>314.06931081877104</v>
      </c>
      <c r="U534" s="14">
        <f>+U533*(1+'SImple Return'!G533)</f>
        <v>251.15037137201864</v>
      </c>
      <c r="V534" s="14">
        <f>+V533*(1+'SImple Return'!H533)</f>
        <v>198.5373095662747</v>
      </c>
      <c r="W534" s="14">
        <f>+W533*(1+'SImple Return'!I533)</f>
        <v>328.38340429350575</v>
      </c>
      <c r="X534" s="14">
        <f>+X533*(1+'SImple Return'!J533)</f>
        <v>263.69936839560444</v>
      </c>
      <c r="Y534" s="14">
        <f>+Y533*(1+'SImple Return'!K533)</f>
        <v>227.18698397280218</v>
      </c>
      <c r="Z534" s="14">
        <f>+Z533*(1+'SImple Return'!L533)</f>
        <v>1871.5023131239352</v>
      </c>
      <c r="AA534" s="14">
        <f>+AA533*(1+'SImple Return'!M533)</f>
        <v>203.97111199050266</v>
      </c>
      <c r="AB534" s="14">
        <f>+AB533*(1+'SImple Return'!N533)</f>
        <v>302.73282815937409</v>
      </c>
    </row>
    <row r="535" spans="1:28">
      <c r="A535" s="8">
        <v>41355</v>
      </c>
      <c r="B535" s="10">
        <v>1432.33</v>
      </c>
      <c r="C535" s="10">
        <v>370.83</v>
      </c>
      <c r="D535" s="10">
        <v>181.65</v>
      </c>
      <c r="E535" s="11">
        <v>2445.08</v>
      </c>
      <c r="F535" s="11">
        <v>3240.07</v>
      </c>
      <c r="G535" s="11">
        <v>2589.04</v>
      </c>
      <c r="H535" s="14">
        <v>2013.48</v>
      </c>
      <c r="I535" s="14">
        <v>3309.18</v>
      </c>
      <c r="J535" s="14">
        <v>2656.87</v>
      </c>
      <c r="K535" s="14">
        <v>2333.71</v>
      </c>
      <c r="L535" s="14">
        <v>19393.39</v>
      </c>
      <c r="M535" s="14">
        <v>2074.52</v>
      </c>
      <c r="N535" s="14">
        <v>3145.97</v>
      </c>
      <c r="P535" s="14">
        <f>+P534*(1+'SImple Return'!B534)</f>
        <v>175.98137386197476</v>
      </c>
      <c r="Q535" s="14">
        <f>+Q534*(1+'SImple Return'!C534)</f>
        <v>172.94562074433372</v>
      </c>
      <c r="R535" s="14">
        <f>+R534*(1+'SImple Return'!D534)</f>
        <v>209.56391324411609</v>
      </c>
      <c r="S535" s="14">
        <f>+S534*(1+'SImple Return'!E534)</f>
        <v>243.98343561343088</v>
      </c>
      <c r="T535" s="14">
        <f>+T534*(1+'SImple Return'!F534)</f>
        <v>318.09051639505225</v>
      </c>
      <c r="U535" s="14">
        <f>+U534*(1+'SImple Return'!G534)</f>
        <v>253.69314284594415</v>
      </c>
      <c r="V535" s="14">
        <f>+V534*(1+'SImple Return'!H534)</f>
        <v>200.61975030638808</v>
      </c>
      <c r="W535" s="14">
        <f>+W534*(1+'SImple Return'!I534)</f>
        <v>329.95782273583853</v>
      </c>
      <c r="X535" s="14">
        <f>+X534*(1+'SImple Return'!J534)</f>
        <v>267.63808161497366</v>
      </c>
      <c r="Y535" s="14">
        <f>+Y534*(1+'SImple Return'!K534)</f>
        <v>226.68382710053413</v>
      </c>
      <c r="Z535" s="14">
        <f>+Z534*(1+'SImple Return'!L534)</f>
        <v>1888.8132456781107</v>
      </c>
      <c r="AA535" s="14">
        <f>+AA534*(1+'SImple Return'!M534)</f>
        <v>205.235457063712</v>
      </c>
      <c r="AB535" s="14">
        <f>+AB534*(1+'SImple Return'!N534)</f>
        <v>307.59912001955496</v>
      </c>
    </row>
    <row r="536" spans="1:28">
      <c r="A536" s="8">
        <v>41362</v>
      </c>
      <c r="B536" s="10">
        <v>1434.51</v>
      </c>
      <c r="C536" s="10">
        <v>371.73</v>
      </c>
      <c r="D536" s="10">
        <v>183.92</v>
      </c>
      <c r="E536" s="11">
        <v>2416.29</v>
      </c>
      <c r="F536" s="11">
        <v>3289.5</v>
      </c>
      <c r="G536" s="11">
        <v>2621.8</v>
      </c>
      <c r="H536" s="14">
        <v>2039.97</v>
      </c>
      <c r="I536" s="14">
        <v>3360.28</v>
      </c>
      <c r="J536" s="14">
        <v>2696.22</v>
      </c>
      <c r="K536" s="14">
        <v>2311.83</v>
      </c>
      <c r="L536" s="14">
        <v>19291.439999999999</v>
      </c>
      <c r="M536" s="14">
        <v>2025.73</v>
      </c>
      <c r="N536" s="14">
        <v>3191.9</v>
      </c>
      <c r="P536" s="14">
        <f>+P535*(1+'SImple Return'!B535)</f>
        <v>176.24921674386587</v>
      </c>
      <c r="Q536" s="14">
        <f>+Q535*(1+'SImple Return'!C535)</f>
        <v>173.3653577091691</v>
      </c>
      <c r="R536" s="14">
        <f>+R535*(1+'SImple Return'!D535)</f>
        <v>212.18274111675106</v>
      </c>
      <c r="S536" s="14">
        <f>+S535*(1+'SImple Return'!E535)</f>
        <v>241.11061218380459</v>
      </c>
      <c r="T536" s="14">
        <f>+T535*(1+'SImple Return'!F535)</f>
        <v>322.94325544865518</v>
      </c>
      <c r="U536" s="14">
        <f>+U535*(1+'SImple Return'!G535)</f>
        <v>256.90320810551265</v>
      </c>
      <c r="V536" s="14">
        <f>+V535*(1+'SImple Return'!H535)</f>
        <v>203.25916921574711</v>
      </c>
      <c r="W536" s="14">
        <f>+W535*(1+'SImple Return'!I535)</f>
        <v>335.05299578227346</v>
      </c>
      <c r="X536" s="14">
        <f>+X535*(1+'SImple Return'!J535)</f>
        <v>271.60197842270196</v>
      </c>
      <c r="Y536" s="14">
        <f>+Y535*(1+'SImple Return'!K535)</f>
        <v>224.55852355512371</v>
      </c>
      <c r="Z536" s="14">
        <f>+Z535*(1+'SImple Return'!L535)</f>
        <v>1878.8838568298029</v>
      </c>
      <c r="AA536" s="14">
        <f>+AA535*(1+'SImple Return'!M535)</f>
        <v>200.40858725761782</v>
      </c>
      <c r="AB536" s="14">
        <f>+AB535*(1+'SImple Return'!N535)</f>
        <v>312.08995355658755</v>
      </c>
    </row>
    <row r="537" spans="1:28">
      <c r="A537" s="8">
        <v>41369</v>
      </c>
      <c r="B537" s="10">
        <v>1419.11</v>
      </c>
      <c r="C537" s="10">
        <v>373.85</v>
      </c>
      <c r="D537" s="10">
        <v>189.17</v>
      </c>
      <c r="E537" s="11">
        <v>2440.44</v>
      </c>
      <c r="F537" s="11">
        <v>3266.74</v>
      </c>
      <c r="G537" s="11">
        <v>2576.33</v>
      </c>
      <c r="H537" s="14">
        <v>2076.21</v>
      </c>
      <c r="I537" s="14">
        <v>3397.46</v>
      </c>
      <c r="J537" s="14">
        <v>2690.86</v>
      </c>
      <c r="K537" s="14">
        <v>2251.77</v>
      </c>
      <c r="L537" s="14">
        <v>19509.45</v>
      </c>
      <c r="M537" s="14">
        <v>2013.61</v>
      </c>
      <c r="N537" s="14">
        <v>3135.61</v>
      </c>
      <c r="P537" s="14">
        <f>+P536*(1+'SImple Return'!B536)</f>
        <v>174.3571156516075</v>
      </c>
      <c r="Q537" s="14">
        <f>+Q536*(1+'SImple Return'!C536)</f>
        <v>174.3540714485591</v>
      </c>
      <c r="R537" s="14">
        <f>+R536*(1+'SImple Return'!D536)</f>
        <v>218.23950161513594</v>
      </c>
      <c r="S537" s="14">
        <f>+S536*(1+'SImple Return'!E536)</f>
        <v>243.52043107319241</v>
      </c>
      <c r="T537" s="14">
        <f>+T536*(1+'SImple Return'!F536)</f>
        <v>320.70881602199108</v>
      </c>
      <c r="U537" s="14">
        <f>+U536*(1+'SImple Return'!G536)</f>
        <v>252.44772375409084</v>
      </c>
      <c r="V537" s="14">
        <f>+V536*(1+'SImple Return'!H536)</f>
        <v>206.87006167611597</v>
      </c>
      <c r="W537" s="14">
        <f>+W536*(1+'SImple Return'!I536)</f>
        <v>338.76020779531552</v>
      </c>
      <c r="X537" s="14">
        <f>+X536*(1+'SImple Return'!J536)</f>
        <v>271.0620422882821</v>
      </c>
      <c r="Y537" s="14">
        <f>+Y536*(1+'SImple Return'!K536)</f>
        <v>218.72462360369099</v>
      </c>
      <c r="Z537" s="14">
        <f>+Z536*(1+'SImple Return'!L536)</f>
        <v>1900.1168736303873</v>
      </c>
      <c r="AA537" s="14">
        <f>+AA536*(1+'SImple Return'!M536)</f>
        <v>199.20953700039581</v>
      </c>
      <c r="AB537" s="14">
        <f>+AB536*(1+'SImple Return'!N536)</f>
        <v>306.58616475189433</v>
      </c>
    </row>
    <row r="538" spans="1:28">
      <c r="A538" s="8">
        <v>41376</v>
      </c>
      <c r="B538" s="10">
        <v>1456.54</v>
      </c>
      <c r="C538" s="10">
        <v>373.1</v>
      </c>
      <c r="D538" s="10">
        <v>195.02</v>
      </c>
      <c r="E538" s="11">
        <v>2503.21</v>
      </c>
      <c r="F538" s="11">
        <v>3344.99</v>
      </c>
      <c r="G538" s="11">
        <v>2654.68</v>
      </c>
      <c r="H538" s="14">
        <v>2112.92</v>
      </c>
      <c r="I538" s="14">
        <v>3443.57</v>
      </c>
      <c r="J538" s="14">
        <v>2753.58</v>
      </c>
      <c r="K538" s="14">
        <v>2340.34</v>
      </c>
      <c r="L538" s="14">
        <v>20089.919999999998</v>
      </c>
      <c r="M538" s="14">
        <v>2087.59</v>
      </c>
      <c r="N538" s="14">
        <v>3217.27</v>
      </c>
      <c r="P538" s="14">
        <f>+P537*(1+'SImple Return'!B537)</f>
        <v>178.95590421545361</v>
      </c>
      <c r="Q538" s="14">
        <f>+Q537*(1+'SImple Return'!C537)</f>
        <v>174.00429064452962</v>
      </c>
      <c r="R538" s="14">
        <f>+R537*(1+'SImple Return'!D537)</f>
        <v>224.98846331333624</v>
      </c>
      <c r="S538" s="14">
        <f>+S537*(1+'SImple Return'!E537)</f>
        <v>249.78396447637556</v>
      </c>
      <c r="T538" s="14">
        <f>+T537*(1+'SImple Return'!F537)</f>
        <v>328.39092872570205</v>
      </c>
      <c r="U538" s="14">
        <f>+U537*(1+'SImple Return'!G537)</f>
        <v>260.12503184588536</v>
      </c>
      <c r="V538" s="14">
        <f>+V537*(1+'SImple Return'!H537)</f>
        <v>210.52778414355916</v>
      </c>
      <c r="W538" s="14">
        <f>+W537*(1+'SImple Return'!I537)</f>
        <v>343.35782871842929</v>
      </c>
      <c r="X538" s="14">
        <f>+X537*(1+'SImple Return'!J537)</f>
        <v>277.38010093582267</v>
      </c>
      <c r="Y538" s="14">
        <f>+Y537*(1+'SImple Return'!K537)</f>
        <v>227.32782904322474</v>
      </c>
      <c r="Z538" s="14">
        <f>+Z537*(1+'SImple Return'!L537)</f>
        <v>1956.6515704894082</v>
      </c>
      <c r="AA538" s="14">
        <f>+AA537*(1+'SImple Return'!M537)</f>
        <v>206.52849228334003</v>
      </c>
      <c r="AB538" s="14">
        <f>+AB537*(1+'SImple Return'!N537)</f>
        <v>314.57052065509646</v>
      </c>
    </row>
    <row r="539" spans="1:28">
      <c r="A539" s="8">
        <v>41383</v>
      </c>
      <c r="B539" s="10">
        <v>1422.25</v>
      </c>
      <c r="C539" s="10">
        <v>373.2</v>
      </c>
      <c r="D539" s="10">
        <v>193.96</v>
      </c>
      <c r="E539" s="11">
        <v>2481.09</v>
      </c>
      <c r="F539" s="11">
        <v>3347.38</v>
      </c>
      <c r="G539" s="11">
        <v>2627.6</v>
      </c>
      <c r="H539" s="14">
        <v>2113.15</v>
      </c>
      <c r="I539" s="14">
        <v>3369.68</v>
      </c>
      <c r="J539" s="14">
        <v>2776.34</v>
      </c>
      <c r="K539" s="14">
        <v>2301.9299999999998</v>
      </c>
      <c r="L539" s="14">
        <v>20047.189999999999</v>
      </c>
      <c r="M539" s="14">
        <v>2064.7600000000002</v>
      </c>
      <c r="N539" s="14">
        <v>3206.55</v>
      </c>
      <c r="P539" s="14">
        <f>+P538*(1+'SImple Return'!B538)</f>
        <v>174.74290769249654</v>
      </c>
      <c r="Q539" s="14">
        <f>+Q538*(1+'SImple Return'!C538)</f>
        <v>174.05092808506686</v>
      </c>
      <c r="R539" s="14">
        <f>+R538*(1+'SImple Return'!D538)</f>
        <v>223.76557452699566</v>
      </c>
      <c r="S539" s="14">
        <f>+S538*(1+'SImple Return'!E538)</f>
        <v>247.5767100733421</v>
      </c>
      <c r="T539" s="14">
        <f>+T538*(1+'SImple Return'!F538)</f>
        <v>328.62556450029467</v>
      </c>
      <c r="U539" s="14">
        <f>+U538*(1+'SImple Return'!G538)</f>
        <v>257.47153467771949</v>
      </c>
      <c r="V539" s="14">
        <f>+V538*(1+'SImple Return'!H538)</f>
        <v>210.55070095553168</v>
      </c>
      <c r="W539" s="14">
        <f>+W538*(1+'SImple Return'!I538)</f>
        <v>335.99026831919105</v>
      </c>
      <c r="X539" s="14">
        <f>+X538*(1+'SImple Return'!J538)</f>
        <v>279.67281482003864</v>
      </c>
      <c r="Y539" s="14">
        <f>+Y538*(1+'SImple Return'!K538)</f>
        <v>223.59689169499742</v>
      </c>
      <c r="Z539" s="14">
        <f>+Z538*(1+'SImple Return'!L538)</f>
        <v>1952.4898953007059</v>
      </c>
      <c r="AA539" s="14">
        <f>+AA538*(1+'SImple Return'!M538)</f>
        <v>204.26988523941444</v>
      </c>
      <c r="AB539" s="14">
        <f>+AB538*(1+'SImple Return'!N538)</f>
        <v>313.52236616964058</v>
      </c>
    </row>
    <row r="540" spans="1:28">
      <c r="A540" s="8">
        <v>41390</v>
      </c>
      <c r="B540" s="10">
        <v>1457.8</v>
      </c>
      <c r="C540" s="10">
        <v>374.65</v>
      </c>
      <c r="D540" s="10">
        <v>195.03</v>
      </c>
      <c r="E540" s="11">
        <v>2533.6999999999998</v>
      </c>
      <c r="F540" s="11">
        <v>3382.27</v>
      </c>
      <c r="G540" s="11">
        <v>2679.11</v>
      </c>
      <c r="H540" s="14">
        <v>2150.31</v>
      </c>
      <c r="I540" s="14">
        <v>3364.84</v>
      </c>
      <c r="J540" s="14">
        <v>2748.97</v>
      </c>
      <c r="K540" s="14">
        <v>2342.7800000000002</v>
      </c>
      <c r="L540" s="14">
        <v>20521.900000000001</v>
      </c>
      <c r="M540" s="14">
        <v>2126.56</v>
      </c>
      <c r="N540" s="14">
        <v>3235.87</v>
      </c>
      <c r="P540" s="14">
        <f>+P539*(1+'SImple Return'!B539)</f>
        <v>179.11071248663839</v>
      </c>
      <c r="Q540" s="14">
        <f>+Q539*(1+'SImple Return'!C539)</f>
        <v>174.72717097285718</v>
      </c>
      <c r="R540" s="14">
        <f>+R539*(1+'SImple Return'!D539)</f>
        <v>224.99999999999983</v>
      </c>
      <c r="S540" s="14">
        <f>+S539*(1+'SImple Return'!E539)</f>
        <v>252.82642319014093</v>
      </c>
      <c r="T540" s="14">
        <f>+T539*(1+'SImple Return'!F539)</f>
        <v>332.05085411348921</v>
      </c>
      <c r="U540" s="14">
        <f>+U539*(1+'SImple Return'!G539)</f>
        <v>262.51886256295671</v>
      </c>
      <c r="V540" s="14">
        <f>+V539*(1+'SImple Return'!H539)</f>
        <v>214.25326066379068</v>
      </c>
      <c r="W540" s="14">
        <f>+W539*(1+'SImple Return'!I539)</f>
        <v>335.50767267252286</v>
      </c>
      <c r="X540" s="14">
        <f>+X539*(1+'SImple Return'!J539)</f>
        <v>276.91571556648017</v>
      </c>
      <c r="Y540" s="14">
        <f>+Y539*(1+'SImple Return'!K539)</f>
        <v>227.5648372996599</v>
      </c>
      <c r="Z540" s="14">
        <f>+Z539*(1+'SImple Return'!L539)</f>
        <v>1998.7241295349406</v>
      </c>
      <c r="AA540" s="14">
        <f>+AA539*(1+'SImple Return'!M539)</f>
        <v>210.38385437277412</v>
      </c>
      <c r="AB540" s="14">
        <f>+AB539*(1+'SImple Return'!N539)</f>
        <v>316.38914690784634</v>
      </c>
    </row>
    <row r="541" spans="1:28">
      <c r="A541" s="8">
        <v>41397</v>
      </c>
      <c r="B541" s="10">
        <v>1482.46</v>
      </c>
      <c r="C541" s="10">
        <v>373.88</v>
      </c>
      <c r="D541" s="10">
        <v>196.97</v>
      </c>
      <c r="E541" s="11">
        <v>2587.42</v>
      </c>
      <c r="F541" s="11">
        <v>3401.3</v>
      </c>
      <c r="G541" s="11">
        <v>2706.82</v>
      </c>
      <c r="H541" s="14">
        <v>2180.14</v>
      </c>
      <c r="I541" s="14">
        <v>3445.2</v>
      </c>
      <c r="J541" s="14">
        <v>2773.48</v>
      </c>
      <c r="K541" s="14">
        <v>2302.9</v>
      </c>
      <c r="L541" s="14">
        <v>20677.169999999998</v>
      </c>
      <c r="M541" s="14">
        <v>2171.56</v>
      </c>
      <c r="N541" s="14">
        <v>3261.21</v>
      </c>
      <c r="P541" s="14">
        <f>+P540*(1+'SImple Return'!B540)</f>
        <v>182.14053150839757</v>
      </c>
      <c r="Q541" s="14">
        <f>+Q540*(1+'SImple Return'!C540)</f>
        <v>174.36806268072024</v>
      </c>
      <c r="R541" s="14">
        <f>+R540*(1+'SImple Return'!D540)</f>
        <v>227.23811721273631</v>
      </c>
      <c r="S541" s="14">
        <f>+S540*(1+'SImple Return'!E540)</f>
        <v>258.18689816893652</v>
      </c>
      <c r="T541" s="14">
        <f>+T540*(1+'SImple Return'!F540)</f>
        <v>333.91910465344603</v>
      </c>
      <c r="U541" s="14">
        <f>+U540*(1+'SImple Return'!G540)</f>
        <v>265.23409175534505</v>
      </c>
      <c r="V541" s="14">
        <f>+V540*(1+'SImple Return'!H540)</f>
        <v>217.22547153831613</v>
      </c>
      <c r="W541" s="14">
        <f>+W540*(1+'SImple Return'!I540)</f>
        <v>343.52035576472451</v>
      </c>
      <c r="X541" s="14">
        <f>+X540*(1+'SImple Return'!J540)</f>
        <v>279.38471456921008</v>
      </c>
      <c r="Y541" s="14">
        <f>+Y540*(1+'SImple Return'!K540)</f>
        <v>223.69111219038356</v>
      </c>
      <c r="Z541" s="14">
        <f>+Z540*(1+'SImple Return'!L540)</f>
        <v>2013.8466033601169</v>
      </c>
      <c r="AA541" s="14">
        <f>+AA540*(1+'SImple Return'!M540)</f>
        <v>214.83577364463801</v>
      </c>
      <c r="AB541" s="14">
        <f>+AB540*(1+'SImple Return'!N540)</f>
        <v>318.8667807382057</v>
      </c>
    </row>
    <row r="542" spans="1:28">
      <c r="A542" s="8">
        <v>41404</v>
      </c>
      <c r="B542" s="10">
        <v>1495.84</v>
      </c>
      <c r="C542" s="10">
        <v>370.26</v>
      </c>
      <c r="D542" s="10">
        <v>196.4</v>
      </c>
      <c r="E542" s="11">
        <v>2559.8200000000002</v>
      </c>
      <c r="F542" s="11">
        <v>3383.3</v>
      </c>
      <c r="G542" s="11">
        <v>2714.06</v>
      </c>
      <c r="H542" s="14">
        <v>2132.69</v>
      </c>
      <c r="I542" s="14">
        <v>3423.4</v>
      </c>
      <c r="J542" s="14">
        <v>2735.57</v>
      </c>
      <c r="K542" s="14">
        <v>2351.1999999999998</v>
      </c>
      <c r="L542" s="14">
        <v>20524.89</v>
      </c>
      <c r="M542" s="14">
        <v>2208.92</v>
      </c>
      <c r="N542" s="14">
        <v>3259.1</v>
      </c>
      <c r="P542" s="14">
        <f>+P541*(1+'SImple Return'!B541)</f>
        <v>183.78444791193112</v>
      </c>
      <c r="Q542" s="14">
        <f>+Q541*(1+'SImple Return'!C541)</f>
        <v>172.67978733327129</v>
      </c>
      <c r="R542" s="14">
        <f>+R541*(1+'SImple Return'!D541)</f>
        <v>226.58052607291168</v>
      </c>
      <c r="S542" s="14">
        <f>+S541*(1+'SImple Return'!E541)</f>
        <v>255.43281943820762</v>
      </c>
      <c r="T542" s="14">
        <f>+T541*(1+'SImple Return'!F541)</f>
        <v>332.15197329668183</v>
      </c>
      <c r="U542" s="14">
        <f>+U541*(1+'SImple Return'!G541)</f>
        <v>265.9435200972033</v>
      </c>
      <c r="V542" s="14">
        <f>+V541*(1+'SImple Return'!H541)</f>
        <v>212.49763359006826</v>
      </c>
      <c r="W542" s="14">
        <f>+W541*(1+'SImple Return'!I541)</f>
        <v>341.34668115783057</v>
      </c>
      <c r="X542" s="14">
        <f>+X541*(1+'SImple Return'!J541)</f>
        <v>275.56587523043038</v>
      </c>
      <c r="Y542" s="14">
        <f>+Y541*(1+'SImple Return'!K541)</f>
        <v>228.38271005342386</v>
      </c>
      <c r="Z542" s="14">
        <f>+Z541*(1+'SImple Return'!L541)</f>
        <v>1999.0153396639882</v>
      </c>
      <c r="AA542" s="14">
        <f>+AA541*(1+'SImple Return'!M541)</f>
        <v>218.53185595567876</v>
      </c>
      <c r="AB542" s="14">
        <f>+AB541*(1+'SImple Return'!N541)</f>
        <v>318.66047421168406</v>
      </c>
    </row>
    <row r="543" spans="1:28">
      <c r="A543" s="8">
        <v>41411</v>
      </c>
      <c r="B543" s="10">
        <v>1512.98</v>
      </c>
      <c r="C543" s="10">
        <v>368.45</v>
      </c>
      <c r="D543" s="10">
        <v>196.87</v>
      </c>
      <c r="E543" s="11">
        <v>2556.1799999999998</v>
      </c>
      <c r="F543" s="11">
        <v>3419.87</v>
      </c>
      <c r="G543" s="11">
        <v>2707.54</v>
      </c>
      <c r="H543" s="14">
        <v>2134.5100000000002</v>
      </c>
      <c r="I543" s="14">
        <v>3372.68</v>
      </c>
      <c r="J543" s="14">
        <v>2810.69</v>
      </c>
      <c r="K543" s="14">
        <v>2349.4699999999998</v>
      </c>
      <c r="L543" s="14">
        <v>20536.09</v>
      </c>
      <c r="M543" s="14">
        <v>2174.25</v>
      </c>
      <c r="N543" s="14">
        <v>3294.84</v>
      </c>
      <c r="P543" s="14">
        <f>+P542*(1+'SImple Return'!B542)</f>
        <v>185.89033185487321</v>
      </c>
      <c r="Q543" s="14">
        <f>+Q542*(1+'SImple Return'!C542)</f>
        <v>171.83564965954682</v>
      </c>
      <c r="R543" s="14">
        <f>+R542*(1+'SImple Return'!D542)</f>
        <v>227.12275034610042</v>
      </c>
      <c r="S543" s="14">
        <f>+S542*(1+'SImple Return'!E542)</f>
        <v>255.06960035922739</v>
      </c>
      <c r="T543" s="14">
        <f>+T542*(1+'SImple Return'!F542)</f>
        <v>335.74219516984107</v>
      </c>
      <c r="U543" s="14">
        <f>+U542*(1+'SImple Return'!G542)</f>
        <v>265.30464264017075</v>
      </c>
      <c r="V543" s="14">
        <f>+V542*(1+'SImple Return'!H542)</f>
        <v>212.67897531959014</v>
      </c>
      <c r="W543" s="14">
        <f>+W542*(1+'SImple Return'!I542)</f>
        <v>336.28939785224981</v>
      </c>
      <c r="X543" s="14">
        <f>+X542*(1+'SImple Return'!J542)</f>
        <v>283.13303986058423</v>
      </c>
      <c r="Y543" s="14">
        <f>+Y542*(1+'SImple Return'!K542)</f>
        <v>228.21466731423007</v>
      </c>
      <c r="Z543" s="14">
        <f>+Z542*(1+'SImple Return'!L542)</f>
        <v>2000.1061602142684</v>
      </c>
      <c r="AA543" s="14">
        <f>+AA542*(1+'SImple Return'!M542)</f>
        <v>215.10189948555606</v>
      </c>
      <c r="AB543" s="14">
        <f>+AB542*(1+'SImple Return'!N542)</f>
        <v>322.15497433390362</v>
      </c>
    </row>
    <row r="544" spans="1:28">
      <c r="A544" s="8">
        <v>41418</v>
      </c>
      <c r="B544" s="10">
        <v>1492.74</v>
      </c>
      <c r="C544" s="10">
        <v>368.36</v>
      </c>
      <c r="D544" s="10">
        <v>188.22</v>
      </c>
      <c r="E544" s="11">
        <v>2549.79</v>
      </c>
      <c r="F544" s="11">
        <v>3345.98</v>
      </c>
      <c r="G544" s="11">
        <v>2638.77</v>
      </c>
      <c r="H544" s="14">
        <v>2099.85</v>
      </c>
      <c r="I544" s="14">
        <v>3368.65</v>
      </c>
      <c r="J544" s="14">
        <v>2826.16</v>
      </c>
      <c r="K544" s="14">
        <v>2321.84</v>
      </c>
      <c r="L544" s="14">
        <v>19940.23</v>
      </c>
      <c r="M544" s="14">
        <v>2098.58</v>
      </c>
      <c r="N544" s="14">
        <v>3243.32</v>
      </c>
      <c r="P544" s="14">
        <f>+P543*(1+'SImple Return'!B543)</f>
        <v>183.40357041933365</v>
      </c>
      <c r="Q544" s="14">
        <f>+Q543*(1+'SImple Return'!C543)</f>
        <v>171.79367596306329</v>
      </c>
      <c r="R544" s="14">
        <f>+R543*(1+'SImple Return'!D543)</f>
        <v>217.14351638209487</v>
      </c>
      <c r="S544" s="14">
        <f>+S543*(1+'SImple Return'!E543)</f>
        <v>254.43197126178688</v>
      </c>
      <c r="T544" s="14">
        <f>+T543*(1+'SImple Return'!F543)</f>
        <v>328.48812095032412</v>
      </c>
      <c r="U544" s="14">
        <f>+U543*(1+'SImple Return'!G543)</f>
        <v>258.5660532659179</v>
      </c>
      <c r="V544" s="14">
        <f>+V543*(1+'SImple Return'!H543)</f>
        <v>209.22551139364131</v>
      </c>
      <c r="W544" s="14">
        <f>+W543*(1+'SImple Return'!I543)</f>
        <v>335.88756717950753</v>
      </c>
      <c r="X544" s="14">
        <f>+X543*(1+'SImple Return'!J543)</f>
        <v>284.69140030824769</v>
      </c>
      <c r="Y544" s="14">
        <f>+Y543*(1+'SImple Return'!K543)</f>
        <v>225.53084021369588</v>
      </c>
      <c r="Z544" s="14">
        <f>+Z543*(1+'SImple Return'!L543)</f>
        <v>1942.072559045532</v>
      </c>
      <c r="AA544" s="14">
        <f>+AA543*(1+'SImple Return'!M543)</f>
        <v>207.61574990106851</v>
      </c>
      <c r="AB544" s="14">
        <f>+AB543*(1+'SImple Return'!N543)</f>
        <v>317.11757516499625</v>
      </c>
    </row>
    <row r="545" spans="1:28">
      <c r="A545" s="8">
        <v>41425</v>
      </c>
      <c r="B545" s="10">
        <v>1471.93</v>
      </c>
      <c r="C545" s="10">
        <v>366.39</v>
      </c>
      <c r="D545" s="10">
        <v>180.03</v>
      </c>
      <c r="E545" s="11">
        <v>2490.91</v>
      </c>
      <c r="F545" s="11">
        <v>3222.3</v>
      </c>
      <c r="G545" s="11">
        <v>2577.6999999999998</v>
      </c>
      <c r="H545" s="14">
        <v>2028.54</v>
      </c>
      <c r="I545" s="14">
        <v>3334.46</v>
      </c>
      <c r="J545" s="14">
        <v>2735.57</v>
      </c>
      <c r="K545" s="14">
        <v>2321.11</v>
      </c>
      <c r="L545" s="14">
        <v>19248.53</v>
      </c>
      <c r="M545" s="14">
        <v>2117.71</v>
      </c>
      <c r="N545" s="14">
        <v>3121.67</v>
      </c>
      <c r="P545" s="14">
        <f>+P544*(1+'SImple Return'!B544)</f>
        <v>180.84677667063909</v>
      </c>
      <c r="Q545" s="14">
        <f>+Q544*(1+'SImple Return'!C544)</f>
        <v>170.8749183844792</v>
      </c>
      <c r="R545" s="14">
        <f>+R544*(1+'SImple Return'!D544)</f>
        <v>207.69497000461448</v>
      </c>
      <c r="S545" s="14">
        <f>+S544*(1+'SImple Return'!E544)</f>
        <v>248.55660330289848</v>
      </c>
      <c r="T545" s="14">
        <f>+T544*(1+'SImple Return'!F544)</f>
        <v>316.34596505006886</v>
      </c>
      <c r="U545" s="14">
        <f>+U544*(1+'SImple Return'!G544)</f>
        <v>252.5819664099397</v>
      </c>
      <c r="V545" s="14">
        <f>+V544*(1+'SImple Return'!H544)</f>
        <v>202.12030329902478</v>
      </c>
      <c r="W545" s="14">
        <f>+W544*(1+'SImple Return'!I544)</f>
        <v>332.47848760108076</v>
      </c>
      <c r="X545" s="14">
        <f>+X544*(1+'SImple Return'!J544)</f>
        <v>275.56587523043044</v>
      </c>
      <c r="Y545" s="14">
        <f>+Y544*(1+'SImple Return'!K544)</f>
        <v>225.45993200582799</v>
      </c>
      <c r="Z545" s="14">
        <f>+Z544*(1+'SImple Return'!L544)</f>
        <v>1874.7046505965423</v>
      </c>
      <c r="AA545" s="14">
        <f>+AA544*(1+'SImple Return'!M544)</f>
        <v>209.50831024930753</v>
      </c>
      <c r="AB545" s="14">
        <f>+AB544*(1+'SImple Return'!N544)</f>
        <v>305.22317281838173</v>
      </c>
    </row>
    <row r="546" spans="1:28">
      <c r="A546" s="8">
        <v>41432</v>
      </c>
      <c r="B546" s="10">
        <v>1470.22</v>
      </c>
      <c r="C546" s="10">
        <v>367.9</v>
      </c>
      <c r="D546" s="10">
        <v>178.08</v>
      </c>
      <c r="E546" s="11">
        <v>2487.1</v>
      </c>
      <c r="F546" s="11">
        <v>3223.49</v>
      </c>
      <c r="G546" s="11">
        <v>2495.64</v>
      </c>
      <c r="H546" s="14">
        <v>2023.63</v>
      </c>
      <c r="I546" s="14">
        <v>3291.12</v>
      </c>
      <c r="J546" s="14">
        <v>2751.4</v>
      </c>
      <c r="K546" s="14">
        <v>2304.8000000000002</v>
      </c>
      <c r="L546" s="14">
        <v>19292.990000000002</v>
      </c>
      <c r="M546" s="14">
        <v>2095.11</v>
      </c>
      <c r="N546" s="14">
        <v>3094.7</v>
      </c>
      <c r="P546" s="14">
        <f>+P545*(1+'SImple Return'!B545)</f>
        <v>180.63667973117404</v>
      </c>
      <c r="Q546" s="14">
        <f>+Q545*(1+'SImple Return'!C545)</f>
        <v>171.57914373659187</v>
      </c>
      <c r="R546" s="14">
        <f>+R545*(1+'SImple Return'!D545)</f>
        <v>205.4453161052144</v>
      </c>
      <c r="S546" s="14">
        <f>+S545*(1+'SImple Return'!E545)</f>
        <v>248.17642069550439</v>
      </c>
      <c r="T546" s="14">
        <f>+T545*(1+'SImple Return'!F545)</f>
        <v>316.46279206754377</v>
      </c>
      <c r="U546" s="14">
        <f>+U545*(1+'SImple Return'!G545)</f>
        <v>244.54112528661284</v>
      </c>
      <c r="V546" s="14">
        <f>+V545*(1+'SImple Return'!H545)</f>
        <v>201.63107918256753</v>
      </c>
      <c r="W546" s="14">
        <f>+W545*(1+'SImple Return'!I545)</f>
        <v>328.15706294682462</v>
      </c>
      <c r="X546" s="14">
        <f>+X545*(1+'SImple Return'!J545)</f>
        <v>277.16050004533105</v>
      </c>
      <c r="Y546" s="14">
        <f>+Y545*(1+'SImple Return'!K545)</f>
        <v>223.8756677999028</v>
      </c>
      <c r="Z546" s="14">
        <f>+Z545*(1+'SImple Return'!L545)</f>
        <v>1879.0348186023862</v>
      </c>
      <c r="AA546" s="14">
        <f>+AA545*(1+'SImple Return'!M545)</f>
        <v>207.27245745943813</v>
      </c>
      <c r="AB546" s="14">
        <f>+AB545*(1+'SImple Return'!N545)</f>
        <v>302.58616475189433</v>
      </c>
    </row>
    <row r="547" spans="1:28">
      <c r="A547" s="8">
        <v>41439</v>
      </c>
      <c r="B547" s="10">
        <v>1463.83</v>
      </c>
      <c r="C547" s="10">
        <v>370.17</v>
      </c>
      <c r="D547" s="10">
        <v>176.98</v>
      </c>
      <c r="E547" s="11">
        <v>2478.5100000000002</v>
      </c>
      <c r="F547" s="11">
        <v>3236.54</v>
      </c>
      <c r="G547" s="11">
        <v>2496.56</v>
      </c>
      <c r="H547" s="14">
        <v>2026.48</v>
      </c>
      <c r="I547" s="14">
        <v>3302.17</v>
      </c>
      <c r="J547" s="14">
        <v>2662.31</v>
      </c>
      <c r="K547" s="14">
        <v>2268.39</v>
      </c>
      <c r="L547" s="14">
        <v>19126.509999999998</v>
      </c>
      <c r="M547" s="14">
        <v>2104.06</v>
      </c>
      <c r="N547" s="14">
        <v>3118.2</v>
      </c>
      <c r="P547" s="14">
        <f>+P546*(1+'SImple Return'!B546)</f>
        <v>179.8515806415941</v>
      </c>
      <c r="Q547" s="14">
        <f>+Q546*(1+'SImple Return'!C546)</f>
        <v>172.63781363678777</v>
      </c>
      <c r="R547" s="14">
        <f>+R546*(1+'SImple Return'!D546)</f>
        <v>204.17628057221944</v>
      </c>
      <c r="S547" s="14">
        <f>+S546*(1+'SImple Return'!E546)</f>
        <v>247.31926358329568</v>
      </c>
      <c r="T547" s="14">
        <f>+T546*(1+'SImple Return'!F546)</f>
        <v>317.74396230119788</v>
      </c>
      <c r="U547" s="14">
        <f>+U546*(1+'SImple Return'!G546)</f>
        <v>244.63127363944568</v>
      </c>
      <c r="V547" s="14">
        <f>+V546*(1+'SImple Return'!H546)</f>
        <v>201.91504837440115</v>
      </c>
      <c r="W547" s="14">
        <f>+W546*(1+'SImple Return'!I546)</f>
        <v>329.25885672692459</v>
      </c>
      <c r="X547" s="14">
        <f>+X546*(1+'SImple Return'!J546)</f>
        <v>268.18607649766858</v>
      </c>
      <c r="Y547" s="14">
        <f>+Y546*(1+'SImple Return'!K546)</f>
        <v>220.33899951432727</v>
      </c>
      <c r="Z547" s="14">
        <f>+Z546*(1+'SImple Return'!L546)</f>
        <v>1862.8205502800095</v>
      </c>
      <c r="AA547" s="14">
        <f>+AA546*(1+'SImple Return'!M546)</f>
        <v>208.15789473684214</v>
      </c>
      <c r="AB547" s="14">
        <f>+AB546*(1+'SImple Return'!N546)</f>
        <v>304.88389146907838</v>
      </c>
    </row>
    <row r="548" spans="1:28">
      <c r="A548" s="8">
        <v>41446</v>
      </c>
      <c r="B548" s="10">
        <v>1421.19</v>
      </c>
      <c r="C548" s="10">
        <v>361.84</v>
      </c>
      <c r="D548" s="10">
        <v>167.85</v>
      </c>
      <c r="E548" s="11">
        <v>2349.13</v>
      </c>
      <c r="F548" s="11">
        <v>3106.87</v>
      </c>
      <c r="G548" s="11">
        <v>2414.4499999999998</v>
      </c>
      <c r="H548" s="14">
        <v>1958.79</v>
      </c>
      <c r="I548" s="14">
        <v>3179.58</v>
      </c>
      <c r="J548" s="14">
        <v>2433.67</v>
      </c>
      <c r="K548" s="14">
        <v>2172.9499999999998</v>
      </c>
      <c r="L548" s="14">
        <v>18166.36</v>
      </c>
      <c r="M548" s="14">
        <v>1938.17</v>
      </c>
      <c r="N548" s="14">
        <v>3002.57</v>
      </c>
      <c r="P548" s="14">
        <f>+P547*(1+'SImple Return'!B547)</f>
        <v>174.61267216276968</v>
      </c>
      <c r="Q548" s="14">
        <f>+Q547*(1+'SImple Return'!C547)</f>
        <v>168.7529148400337</v>
      </c>
      <c r="R548" s="14">
        <f>+R547*(1+'SImple Return'!D547)</f>
        <v>193.6432856483616</v>
      </c>
      <c r="S548" s="14">
        <f>+S547*(1+'SImple Return'!E547)</f>
        <v>234.40902060569752</v>
      </c>
      <c r="T548" s="14">
        <f>+T547*(1+'SImple Return'!F547)</f>
        <v>305.01374435499719</v>
      </c>
      <c r="U548" s="14">
        <f>+U547*(1+'SImple Return'!G547)</f>
        <v>236.58553314911703</v>
      </c>
      <c r="V548" s="14">
        <f>+V547*(1+'SImple Return'!H547)</f>
        <v>195.17053097256976</v>
      </c>
      <c r="W548" s="14">
        <f>+W547*(1+'SImple Return'!I547)</f>
        <v>317.03542690769854</v>
      </c>
      <c r="X548" s="14">
        <f>+X547*(1+'SImple Return'!J547)</f>
        <v>245.15417392793518</v>
      </c>
      <c r="Y548" s="14">
        <f>+Y547*(1+'SImple Return'!K547)</f>
        <v>211.06847984458469</v>
      </c>
      <c r="Z548" s="14">
        <f>+Z547*(1+'SImple Return'!L547)</f>
        <v>1769.3070367664961</v>
      </c>
      <c r="AA548" s="14">
        <f>+AA547*(1+'SImple Return'!M547)</f>
        <v>191.74614166996443</v>
      </c>
      <c r="AB548" s="14">
        <f>+AB547*(1+'SImple Return'!N547)</f>
        <v>293.57809826448295</v>
      </c>
    </row>
    <row r="549" spans="1:28">
      <c r="A549" s="8">
        <v>41453</v>
      </c>
      <c r="B549" s="10">
        <v>1433.55</v>
      </c>
      <c r="C549" s="10">
        <v>361.74</v>
      </c>
      <c r="D549" s="10">
        <v>174.44</v>
      </c>
      <c r="E549" s="11">
        <v>2378.86</v>
      </c>
      <c r="F549" s="11">
        <v>3179.26</v>
      </c>
      <c r="G549" s="11">
        <v>2447.9</v>
      </c>
      <c r="H549" s="14">
        <v>1998.08</v>
      </c>
      <c r="I549" s="14">
        <v>3306.24</v>
      </c>
      <c r="J549" s="14">
        <v>2520.4</v>
      </c>
      <c r="K549" s="14">
        <v>2191.37</v>
      </c>
      <c r="L549" s="14">
        <v>18637.650000000001</v>
      </c>
      <c r="M549" s="14">
        <v>1990.57</v>
      </c>
      <c r="N549" s="14">
        <v>3049.83</v>
      </c>
      <c r="P549" s="14">
        <f>+P548*(1+'SImple Return'!B548)</f>
        <v>176.13126758486794</v>
      </c>
      <c r="Q549" s="14">
        <f>+Q548*(1+'SImple Return'!C548)</f>
        <v>168.70627739949646</v>
      </c>
      <c r="R549" s="14">
        <f>+R548*(1+'SImple Return'!D548)</f>
        <v>201.24596215966756</v>
      </c>
      <c r="S549" s="14">
        <f>+S548*(1+'SImple Return'!E548)</f>
        <v>237.37564236890663</v>
      </c>
      <c r="T549" s="14">
        <f>+T548*(1+'SImple Return'!F548)</f>
        <v>312.12055762811718</v>
      </c>
      <c r="U549" s="14">
        <f>+U548*(1+'SImple Return'!G548)</f>
        <v>239.86320967331014</v>
      </c>
      <c r="V549" s="14">
        <f>+V548*(1+'SImple Return'!H548)</f>
        <v>199.08532028735709</v>
      </c>
      <c r="W549" s="14">
        <f>+W548*(1+'SImple Return'!I548)</f>
        <v>329.66467579344101</v>
      </c>
      <c r="X549" s="14">
        <f>+X548*(1+'SImple Return'!J548)</f>
        <v>253.89086440148736</v>
      </c>
      <c r="Y549" s="14">
        <f>+Y548*(1+'SImple Return'!K548)</f>
        <v>212.85769791160752</v>
      </c>
      <c r="Z549" s="14">
        <f>+Z548*(1+'SImple Return'!L548)</f>
        <v>1815.208181154127</v>
      </c>
      <c r="AA549" s="14">
        <f>+AA548*(1+'SImple Return'!M548)</f>
        <v>196.93015433320144</v>
      </c>
      <c r="AB549" s="14">
        <f>+AB548*(1+'SImple Return'!N548)</f>
        <v>298.19897335614752</v>
      </c>
    </row>
    <row r="550" spans="1:28">
      <c r="A550" s="8">
        <v>41460</v>
      </c>
      <c r="B550" s="10">
        <v>1449.05</v>
      </c>
      <c r="C550" s="10">
        <v>357.55</v>
      </c>
      <c r="D550" s="10">
        <v>175.43</v>
      </c>
      <c r="E550" s="11">
        <v>2359.86</v>
      </c>
      <c r="F550" s="11">
        <v>3164.68</v>
      </c>
      <c r="G550" s="11">
        <v>2462.02</v>
      </c>
      <c r="H550" s="14">
        <v>1961.59</v>
      </c>
      <c r="I550" s="14">
        <v>3276.44</v>
      </c>
      <c r="J550" s="14">
        <v>2504.5500000000002</v>
      </c>
      <c r="K550" s="14">
        <v>2173.4699999999998</v>
      </c>
      <c r="L550" s="14">
        <v>18468.86</v>
      </c>
      <c r="M550" s="14">
        <v>1970.01</v>
      </c>
      <c r="N550" s="14">
        <v>3058.81</v>
      </c>
      <c r="P550" s="14">
        <f>+P549*(1+'SImple Return'!B549)</f>
        <v>178.03565504785524</v>
      </c>
      <c r="Q550" s="14">
        <f>+Q549*(1+'SImple Return'!C549)</f>
        <v>166.75216864098513</v>
      </c>
      <c r="R550" s="14">
        <f>+R549*(1+'SImple Return'!D549)</f>
        <v>202.38809413936301</v>
      </c>
      <c r="S550" s="14">
        <f>+S549*(1+'SImple Return'!E549)</f>
        <v>235.47971860499905</v>
      </c>
      <c r="T550" s="14">
        <f>+T549*(1+'SImple Return'!F549)</f>
        <v>310.68918122913817</v>
      </c>
      <c r="U550" s="14">
        <f>+U549*(1+'SImple Return'!G549)</f>
        <v>241.24679091461374</v>
      </c>
      <c r="V550" s="14">
        <f>+V549*(1+'SImple Return'!H549)</f>
        <v>195.44951824875719</v>
      </c>
      <c r="W550" s="14">
        <f>+W549*(1+'SImple Return'!I549)</f>
        <v>326.69332243172363</v>
      </c>
      <c r="X550" s="14">
        <f>+X549*(1+'SImple Return'!J549)</f>
        <v>252.29422489951801</v>
      </c>
      <c r="Y550" s="14">
        <f>+Y549*(1+'SImple Return'!K549)</f>
        <v>211.11898980087415</v>
      </c>
      <c r="Z550" s="14">
        <f>+Z549*(1+'SImple Return'!L549)</f>
        <v>1798.7689310932553</v>
      </c>
      <c r="AA550" s="14">
        <f>+AA549*(1+'SImple Return'!M549)</f>
        <v>194.89612188365655</v>
      </c>
      <c r="AB550" s="14">
        <f>+AB549*(1+'SImple Return'!N549)</f>
        <v>299.0769982889268</v>
      </c>
    </row>
    <row r="551" spans="1:28">
      <c r="A551" s="8">
        <v>41467</v>
      </c>
      <c r="B551" s="10">
        <v>1498.31</v>
      </c>
      <c r="C551" s="10">
        <v>361.61</v>
      </c>
      <c r="D551" s="10">
        <v>179.95</v>
      </c>
      <c r="E551" s="11">
        <v>2401.34</v>
      </c>
      <c r="F551" s="11">
        <v>3314.5</v>
      </c>
      <c r="G551" s="11">
        <v>2521.6999999999998</v>
      </c>
      <c r="H551" s="14">
        <v>2017.19</v>
      </c>
      <c r="I551" s="14">
        <v>3400.38</v>
      </c>
      <c r="J551" s="14">
        <v>2594</v>
      </c>
      <c r="K551" s="14">
        <v>2225.59</v>
      </c>
      <c r="L551" s="14">
        <v>19706.63</v>
      </c>
      <c r="M551" s="14">
        <v>2001.14</v>
      </c>
      <c r="N551" s="14">
        <v>3174.42</v>
      </c>
      <c r="P551" s="14">
        <f>+P550*(1+'SImple Return'!B550)</f>
        <v>184.08792126893619</v>
      </c>
      <c r="Q551" s="14">
        <f>+Q550*(1+'SImple Return'!C550)</f>
        <v>168.64564872679804</v>
      </c>
      <c r="R551" s="14">
        <f>+R550*(1+'SImple Return'!D550)</f>
        <v>207.60267651130579</v>
      </c>
      <c r="S551" s="14">
        <f>+S550*(1+'SImple Return'!E550)</f>
        <v>239.61881953799312</v>
      </c>
      <c r="T551" s="14">
        <f>+T550*(1+'SImple Return'!F550)</f>
        <v>325.3976045552721</v>
      </c>
      <c r="U551" s="14">
        <f>+U550*(1+'SImple Return'!G550)</f>
        <v>247.09467536794233</v>
      </c>
      <c r="V551" s="14">
        <f>+V550*(1+'SImple Return'!H550)</f>
        <v>200.98940844733636</v>
      </c>
      <c r="W551" s="14">
        <f>+W550*(1+'SImple Return'!I550)</f>
        <v>339.05136054082612</v>
      </c>
      <c r="X551" s="14">
        <f>+X550*(1+'SImple Return'!J550)</f>
        <v>261.30491281441766</v>
      </c>
      <c r="Y551" s="14">
        <f>+Y550*(1+'SImple Return'!K550)</f>
        <v>216.18164157357938</v>
      </c>
      <c r="Z551" s="14">
        <f>+Z550*(1+'SImple Return'!L550)</f>
        <v>1919.3211589968344</v>
      </c>
      <c r="AA551" s="14">
        <f>+AA550*(1+'SImple Return'!M550)</f>
        <v>197.97586070439263</v>
      </c>
      <c r="AB551" s="14">
        <f>+AB550*(1+'SImple Return'!N550)</f>
        <v>310.38083598142254</v>
      </c>
    </row>
    <row r="552" spans="1:28">
      <c r="A552" s="8">
        <v>41474</v>
      </c>
      <c r="B552" s="10">
        <v>1513.52</v>
      </c>
      <c r="C552" s="10">
        <v>363.68</v>
      </c>
      <c r="D552" s="10">
        <v>180.66</v>
      </c>
      <c r="E552" s="11">
        <v>2465.04</v>
      </c>
      <c r="F552" s="11">
        <v>3327.7</v>
      </c>
      <c r="G552" s="11">
        <v>2511.87</v>
      </c>
      <c r="H552" s="14">
        <v>2064.63</v>
      </c>
      <c r="I552" s="14">
        <v>3475.2</v>
      </c>
      <c r="J552" s="14">
        <v>2669.38</v>
      </c>
      <c r="K552" s="14">
        <v>2227.5700000000002</v>
      </c>
      <c r="L552" s="14">
        <v>19291.400000000001</v>
      </c>
      <c r="M552" s="14">
        <v>2059.7600000000002</v>
      </c>
      <c r="N552" s="14">
        <v>3188.21</v>
      </c>
      <c r="P552" s="14">
        <f>+P551*(1+'SImple Return'!B551)</f>
        <v>185.95667825680954</v>
      </c>
      <c r="Q552" s="14">
        <f>+Q551*(1+'SImple Return'!C551)</f>
        <v>169.61104374591937</v>
      </c>
      <c r="R552" s="14">
        <f>+R551*(1+'SImple Return'!D551)</f>
        <v>208.4217812644207</v>
      </c>
      <c r="S552" s="14">
        <f>+S551*(1+'SImple Return'!E551)</f>
        <v>245.97515342014646</v>
      </c>
      <c r="T552" s="14">
        <f>+T551*(1+'SImple Return'!F551)</f>
        <v>326.69350088356583</v>
      </c>
      <c r="U552" s="14">
        <f>+U551*(1+'SImple Return'!G551)</f>
        <v>246.13145981539174</v>
      </c>
      <c r="V552" s="14">
        <f>+V551*(1+'SImple Return'!H551)</f>
        <v>205.71625001245499</v>
      </c>
      <c r="W552" s="14">
        <f>+W551*(1+'SImple Return'!I551)</f>
        <v>346.51165109531252</v>
      </c>
      <c r="X552" s="14">
        <f>+X551*(1+'SImple Return'!J551)</f>
        <v>268.89826837646501</v>
      </c>
      <c r="Y552" s="14">
        <f>+Y551*(1+'SImple Return'!K551)</f>
        <v>216.37396794560465</v>
      </c>
      <c r="Z552" s="14">
        <f>+Z551*(1+'SImple Return'!L551)</f>
        <v>1878.8799610421229</v>
      </c>
      <c r="AA552" s="14">
        <f>+AA551*(1+'SImple Return'!M551)</f>
        <v>203.77522754254062</v>
      </c>
      <c r="AB552" s="14">
        <f>+AB551*(1+'SImple Return'!N551)</f>
        <v>311.72916157418712</v>
      </c>
    </row>
    <row r="553" spans="1:28">
      <c r="A553" s="8">
        <v>41481</v>
      </c>
      <c r="B553" s="10">
        <v>1516.21</v>
      </c>
      <c r="C553" s="10">
        <v>364.44</v>
      </c>
      <c r="D553" s="10">
        <v>179.44</v>
      </c>
      <c r="E553" s="11">
        <v>2471.25</v>
      </c>
      <c r="F553" s="11">
        <v>3318.36</v>
      </c>
      <c r="G553" s="11">
        <v>2537.91</v>
      </c>
      <c r="H553" s="14">
        <v>2056.83</v>
      </c>
      <c r="I553" s="14">
        <v>3539.06</v>
      </c>
      <c r="J553" s="14">
        <v>2687.49</v>
      </c>
      <c r="K553" s="14">
        <v>2240.1799999999998</v>
      </c>
      <c r="L553" s="14">
        <v>18761.02</v>
      </c>
      <c r="M553" s="14">
        <v>2117.02</v>
      </c>
      <c r="N553" s="14">
        <v>3199.25</v>
      </c>
      <c r="P553" s="14">
        <f>+P552*(1+'SImple Return'!B552)</f>
        <v>186.28718162941831</v>
      </c>
      <c r="Q553" s="14">
        <f>+Q552*(1+'SImple Return'!C552)</f>
        <v>169.96548829400257</v>
      </c>
      <c r="R553" s="14">
        <f>+R552*(1+'SImple Return'!D552)</f>
        <v>207.01430549146269</v>
      </c>
      <c r="S553" s="14">
        <f>+S552*(1+'SImple Return'!E552)</f>
        <v>246.59482113456048</v>
      </c>
      <c r="T553" s="14">
        <f>+T552*(1+'SImple Return'!F552)</f>
        <v>325.77655605733378</v>
      </c>
      <c r="U553" s="14">
        <f>+U552*(1+'SImple Return'!G552)</f>
        <v>248.68305014992049</v>
      </c>
      <c r="V553" s="14">
        <f>+V552*(1+'SImple Return'!H552)</f>
        <v>204.9390711716471</v>
      </c>
      <c r="W553" s="14">
        <f>+W552*(1+'SImple Return'!I552)</f>
        <v>352.87912175569085</v>
      </c>
      <c r="X553" s="14">
        <f>+X552*(1+'SImple Return'!J552)</f>
        <v>270.72256751720096</v>
      </c>
      <c r="Y553" s="14">
        <f>+Y552*(1+'SImple Return'!K552)</f>
        <v>217.59883438562406</v>
      </c>
      <c r="Z553" s="14">
        <f>+Z552*(1+'SImple Return'!L552)</f>
        <v>1827.223764304845</v>
      </c>
      <c r="AA553" s="14">
        <f>+AA552*(1+'SImple Return'!M552)</f>
        <v>209.44004748713894</v>
      </c>
      <c r="AB553" s="14">
        <f>+AB552*(1+'SImple Return'!N552)</f>
        <v>312.80860425323874</v>
      </c>
    </row>
    <row r="554" spans="1:28">
      <c r="A554" s="8">
        <v>41488</v>
      </c>
      <c r="B554" s="10">
        <v>1533.85</v>
      </c>
      <c r="C554" s="10">
        <v>363.98</v>
      </c>
      <c r="D554" s="10">
        <v>176.74</v>
      </c>
      <c r="E554" s="11">
        <v>2506.2199999999998</v>
      </c>
      <c r="F554" s="11">
        <v>3315.6</v>
      </c>
      <c r="G554" s="11">
        <v>2521.44</v>
      </c>
      <c r="H554" s="14">
        <v>2078.96</v>
      </c>
      <c r="I554" s="14">
        <v>3588.52</v>
      </c>
      <c r="J554" s="14">
        <v>2678.72</v>
      </c>
      <c r="K554" s="14">
        <v>2224.7199999999998</v>
      </c>
      <c r="L554" s="14">
        <v>18139.39</v>
      </c>
      <c r="M554" s="14">
        <v>2126.29</v>
      </c>
      <c r="N554" s="14">
        <v>3220.23</v>
      </c>
      <c r="P554" s="14">
        <f>+P553*(1+'SImple Return'!B553)</f>
        <v>188.45449742600516</v>
      </c>
      <c r="Q554" s="14">
        <f>+Q553*(1+'SImple Return'!C553)</f>
        <v>169.75095606753118</v>
      </c>
      <c r="R554" s="14">
        <f>+R553*(1+'SImple Return'!D553)</f>
        <v>203.89940009229335</v>
      </c>
      <c r="S554" s="14">
        <f>+S553*(1+'SImple Return'!E553)</f>
        <v>250.08431871476301</v>
      </c>
      <c r="T554" s="14">
        <f>+T553*(1+'SImple Return'!F553)</f>
        <v>325.50559591596328</v>
      </c>
      <c r="U554" s="14">
        <f>+U553*(1+'SImple Return'!G553)</f>
        <v>247.06919865953307</v>
      </c>
      <c r="V554" s="14">
        <f>+V553*(1+'SImple Return'!H553)</f>
        <v>207.14406703665713</v>
      </c>
      <c r="W554" s="14">
        <f>+W553*(1+'SImple Return'!I553)</f>
        <v>357.81077065738691</v>
      </c>
      <c r="X554" s="14">
        <f>+X553*(1+'SImple Return'!J553)</f>
        <v>269.83912723756237</v>
      </c>
      <c r="Y554" s="14">
        <f>+Y553*(1+'SImple Return'!K553)</f>
        <v>216.09713453132585</v>
      </c>
      <c r="Z554" s="14">
        <f>+Z553*(1+'SImple Return'!L553)</f>
        <v>1766.6803019235447</v>
      </c>
      <c r="AA554" s="14">
        <f>+AA553*(1+'SImple Return'!M553)</f>
        <v>210.35714285714292</v>
      </c>
      <c r="AB554" s="14">
        <f>+AB553*(1+'SImple Return'!N553)</f>
        <v>314.8599364458567</v>
      </c>
    </row>
    <row r="555" spans="1:28">
      <c r="A555" s="8">
        <v>41495</v>
      </c>
      <c r="B555" s="10">
        <v>1526.9</v>
      </c>
      <c r="C555" s="10">
        <v>365.97</v>
      </c>
      <c r="D555" s="10">
        <v>176.69</v>
      </c>
      <c r="E555" s="11">
        <v>2516.96</v>
      </c>
      <c r="F555" s="11">
        <v>3262.02</v>
      </c>
      <c r="G555" s="11">
        <v>2497.11</v>
      </c>
      <c r="H555" s="14">
        <v>2061.4699999999998</v>
      </c>
      <c r="I555" s="14">
        <v>3647.48</v>
      </c>
      <c r="J555" s="14">
        <v>2662.72</v>
      </c>
      <c r="K555" s="14">
        <v>2185.04</v>
      </c>
      <c r="L555" s="14">
        <v>18135.73</v>
      </c>
      <c r="M555" s="14">
        <v>2149.4</v>
      </c>
      <c r="N555" s="14">
        <v>3160.33</v>
      </c>
      <c r="P555" s="14">
        <f>+P554*(1+'SImple Return'!B554)</f>
        <v>187.60059466034315</v>
      </c>
      <c r="Q555" s="14">
        <f>+Q554*(1+'SImple Return'!C554)</f>
        <v>170.6790411342227</v>
      </c>
      <c r="R555" s="14">
        <f>+R554*(1+'SImple Return'!D554)</f>
        <v>203.84171665897537</v>
      </c>
      <c r="S555" s="14">
        <f>+S554*(1+'SImple Return'!E554)</f>
        <v>251.15601456867711</v>
      </c>
      <c r="T555" s="14">
        <f>+T554*(1+'SImple Return'!F554)</f>
        <v>320.24543491066186</v>
      </c>
      <c r="U555" s="14">
        <f>+U554*(1+'SImple Return'!G554)</f>
        <v>244.68516667646529</v>
      </c>
      <c r="V555" s="14">
        <f>+V554*(1+'SImple Return'!H554)</f>
        <v>205.40139294361487</v>
      </c>
      <c r="W555" s="14">
        <f>+W554*(1+'SImple Return'!I554)</f>
        <v>363.68966308043582</v>
      </c>
      <c r="X555" s="14">
        <f>+X554*(1+'SImple Return'!J554)</f>
        <v>268.2273775825775</v>
      </c>
      <c r="Y555" s="14">
        <f>+Y554*(1+'SImple Return'!K554)</f>
        <v>212.2428363283147</v>
      </c>
      <c r="Z555" s="14">
        <f>+Z554*(1+'SImple Return'!L554)</f>
        <v>1766.3238373508639</v>
      </c>
      <c r="AA555" s="14">
        <f>+AA554*(1+'SImple Return'!M554)</f>
        <v>212.64345073209344</v>
      </c>
      <c r="AB555" s="14">
        <f>+AB554*(1+'SImple Return'!N554)</f>
        <v>309.00317770716197</v>
      </c>
    </row>
    <row r="556" spans="1:28">
      <c r="A556" s="8">
        <v>41502</v>
      </c>
      <c r="B556" s="10">
        <v>1508.8</v>
      </c>
      <c r="C556" s="10">
        <v>361.63</v>
      </c>
      <c r="D556" s="10">
        <v>170.12</v>
      </c>
      <c r="E556" s="11">
        <v>2473.7399999999998</v>
      </c>
      <c r="F556" s="11">
        <v>3169</v>
      </c>
      <c r="G556" s="11">
        <v>2502.4499999999998</v>
      </c>
      <c r="H556" s="14">
        <v>1976.4</v>
      </c>
      <c r="I556" s="14">
        <v>3637.15</v>
      </c>
      <c r="J556" s="14">
        <v>2560.27</v>
      </c>
      <c r="K556" s="14">
        <v>2183.7600000000002</v>
      </c>
      <c r="L556" s="14">
        <v>17877.47</v>
      </c>
      <c r="M556" s="14">
        <v>2135.04</v>
      </c>
      <c r="N556" s="14">
        <v>3104.24</v>
      </c>
      <c r="P556" s="14">
        <f>+P555*(1+'SImple Return'!B555)</f>
        <v>185.37676155840313</v>
      </c>
      <c r="Q556" s="14">
        <f>+Q555*(1+'SImple Return'!C555)</f>
        <v>168.65497621490547</v>
      </c>
      <c r="R556" s="14">
        <f>+R555*(1+'SImple Return'!D555)</f>
        <v>196.26211352099662</v>
      </c>
      <c r="S556" s="14">
        <f>+S555*(1+'SImple Return'!E555)</f>
        <v>246.84328693309359</v>
      </c>
      <c r="T556" s="14">
        <f>+T555*(1+'SImple Return'!F555)</f>
        <v>311.11329275476157</v>
      </c>
      <c r="U556" s="14">
        <f>+U555*(1+'SImple Return'!G555)</f>
        <v>245.20841907225574</v>
      </c>
      <c r="V556" s="14">
        <f>+V555*(1+'SImple Return'!H555)</f>
        <v>196.92516166316292</v>
      </c>
      <c r="W556" s="14">
        <f>+W555*(1+'SImple Return'!I555)</f>
        <v>362.65966038827003</v>
      </c>
      <c r="X556" s="14">
        <f>+X555*(1+'SImple Return'!J555)</f>
        <v>257.90714307300271</v>
      </c>
      <c r="Y556" s="14">
        <f>+Y555*(1+'SImple Return'!K555)</f>
        <v>212.11850412821758</v>
      </c>
      <c r="Z556" s="14">
        <f>+Z555*(1+'SImple Return'!L555)</f>
        <v>1741.1706841977109</v>
      </c>
      <c r="AA556" s="14">
        <f>+AA555*(1+'SImple Return'!M555)</f>
        <v>211.22279382667199</v>
      </c>
      <c r="AB556" s="14">
        <f>+AB555*(1+'SImple Return'!N555)</f>
        <v>303.51894402346602</v>
      </c>
    </row>
    <row r="557" spans="1:28">
      <c r="A557" s="8">
        <v>41509</v>
      </c>
      <c r="B557" s="10">
        <v>1508.49</v>
      </c>
      <c r="C557" s="10">
        <v>361.52</v>
      </c>
      <c r="D557" s="10">
        <v>170.37</v>
      </c>
      <c r="E557" s="11">
        <v>2485.02</v>
      </c>
      <c r="F557" s="11">
        <v>3175.04</v>
      </c>
      <c r="G557" s="11">
        <v>2433.59</v>
      </c>
      <c r="H557" s="14">
        <v>1968.69</v>
      </c>
      <c r="I557" s="14">
        <v>3567.68</v>
      </c>
      <c r="J557" s="14">
        <v>2570.9699999999998</v>
      </c>
      <c r="K557" s="14">
        <v>2185.42</v>
      </c>
      <c r="L557" s="14">
        <v>18296.21</v>
      </c>
      <c r="M557" s="14">
        <v>2109.54</v>
      </c>
      <c r="N557" s="14">
        <v>3089.45</v>
      </c>
      <c r="P557" s="14">
        <f>+P556*(1+'SImple Return'!B556)</f>
        <v>185.33867380914339</v>
      </c>
      <c r="Q557" s="14">
        <f>+Q556*(1+'SImple Return'!C556)</f>
        <v>168.60367503031446</v>
      </c>
      <c r="R557" s="14">
        <f>+R556*(1+'SImple Return'!D556)</f>
        <v>196.55053068758639</v>
      </c>
      <c r="S557" s="14">
        <f>+S556*(1+'SImple Return'!E556)</f>
        <v>247.96886693608718</v>
      </c>
      <c r="T557" s="14">
        <f>+T556*(1+'SImple Return'!F556)</f>
        <v>311.70626349892018</v>
      </c>
      <c r="U557" s="14">
        <f>+U556*(1+'SImple Return'!G556)</f>
        <v>238.46101083739973</v>
      </c>
      <c r="V557" s="14">
        <f>+V556*(1+'SImple Return'!H556)</f>
        <v>196.15695027051822</v>
      </c>
      <c r="W557" s="14">
        <f>+W556*(1+'SImple Return'!I556)</f>
        <v>355.73281750107179</v>
      </c>
      <c r="X557" s="14">
        <f>+X556*(1+'SImple Return'!J556)</f>
        <v>258.98500065477384</v>
      </c>
      <c r="Y557" s="14">
        <f>+Y556*(1+'SImple Return'!K556)</f>
        <v>212.27974745021851</v>
      </c>
      <c r="Z557" s="14">
        <f>+Z556*(1+'SImple Return'!L556)</f>
        <v>1781.9537375213044</v>
      </c>
      <c r="AA557" s="14">
        <f>+AA556*(1+'SImple Return'!M556)</f>
        <v>208.70003957261579</v>
      </c>
      <c r="AB557" s="14">
        <f>+AB556*(1+'SImple Return'!N556)</f>
        <v>302.07284282571487</v>
      </c>
    </row>
    <row r="558" spans="1:28">
      <c r="A558" s="8">
        <v>41516</v>
      </c>
      <c r="B558" s="10">
        <v>1472.74</v>
      </c>
      <c r="C558" s="10">
        <v>362.52</v>
      </c>
      <c r="D558" s="10">
        <v>168.33</v>
      </c>
      <c r="E558" s="11">
        <v>2418.4499999999998</v>
      </c>
      <c r="F558" s="11">
        <v>3158.38</v>
      </c>
      <c r="G558" s="11">
        <v>2397.73</v>
      </c>
      <c r="H558" s="14">
        <v>1943.49</v>
      </c>
      <c r="I558" s="14">
        <v>3430.89</v>
      </c>
      <c r="J558" s="14">
        <v>2506.81</v>
      </c>
      <c r="K558" s="14">
        <v>2243.61</v>
      </c>
      <c r="L558" s="14">
        <v>18230.77</v>
      </c>
      <c r="M558" s="14">
        <v>2033.12</v>
      </c>
      <c r="N558" s="14">
        <v>3063.87</v>
      </c>
      <c r="P558" s="14">
        <f>+P557*(1+'SImple Return'!B557)</f>
        <v>180.94629627354362</v>
      </c>
      <c r="Q558" s="14">
        <f>+Q557*(1+'SImple Return'!C557)</f>
        <v>169.07004943568708</v>
      </c>
      <c r="R558" s="14">
        <f>+R557*(1+'SImple Return'!D557)</f>
        <v>194.19704660821401</v>
      </c>
      <c r="S558" s="14">
        <f>+S557*(1+'SImple Return'!E557)</f>
        <v>241.32614878012251</v>
      </c>
      <c r="T558" s="14">
        <f>+T557*(1+'SImple Return'!F557)</f>
        <v>310.0706852542707</v>
      </c>
      <c r="U558" s="14">
        <f>+U557*(1+'SImple Return'!G557)</f>
        <v>234.94718482372068</v>
      </c>
      <c r="V558" s="14">
        <f>+V557*(1+'SImple Return'!H557)</f>
        <v>193.64606478483125</v>
      </c>
      <c r="W558" s="14">
        <f>+W557*(1+'SImple Return'!I557)</f>
        <v>342.0935078920341</v>
      </c>
      <c r="X558" s="14">
        <f>+X557*(1+'SImple Return'!J557)</f>
        <v>252.52188453828464</v>
      </c>
      <c r="Y558" s="14">
        <f>+Y557*(1+'SImple Return'!K557)</f>
        <v>217.93200582807185</v>
      </c>
      <c r="Z558" s="14">
        <f>+Z557*(1+'SImple Return'!L557)</f>
        <v>1775.5802288775258</v>
      </c>
      <c r="AA558" s="14">
        <f>+AA557*(1+'SImple Return'!M557)</f>
        <v>201.13969133359717</v>
      </c>
      <c r="AB558" s="14">
        <f>+AB557*(1+'SImple Return'!N557)</f>
        <v>299.57174285015878</v>
      </c>
    </row>
    <row r="559" spans="1:28">
      <c r="A559" s="8">
        <v>41523</v>
      </c>
      <c r="B559" s="10">
        <v>1502.4</v>
      </c>
      <c r="C559" s="10">
        <v>359.36</v>
      </c>
      <c r="D559" s="10">
        <v>170.75</v>
      </c>
      <c r="E559" s="11">
        <v>2456.98</v>
      </c>
      <c r="F559" s="11">
        <v>3144.56</v>
      </c>
      <c r="G559" s="11">
        <v>2426.88</v>
      </c>
      <c r="H559" s="14">
        <v>1941.13</v>
      </c>
      <c r="I559" s="14">
        <v>3499.22</v>
      </c>
      <c r="J559" s="14">
        <v>2549.14</v>
      </c>
      <c r="K559" s="14">
        <v>2254.2800000000002</v>
      </c>
      <c r="L559" s="14">
        <v>18544.79</v>
      </c>
      <c r="M559" s="14">
        <v>2106.2199999999998</v>
      </c>
      <c r="N559" s="14">
        <v>3049.74</v>
      </c>
      <c r="P559" s="14">
        <f>+P558*(1+'SImple Return'!B558)</f>
        <v>184.59043383175029</v>
      </c>
      <c r="Q559" s="14">
        <f>+Q558*(1+'SImple Return'!C558)</f>
        <v>167.59630631470958</v>
      </c>
      <c r="R559" s="14">
        <f>+R558*(1+'SImple Return'!D558)</f>
        <v>196.98892478080285</v>
      </c>
      <c r="S559" s="14">
        <f>+S558*(1+'SImple Return'!E558)</f>
        <v>245.17088260240465</v>
      </c>
      <c r="T559" s="14">
        <f>+T558*(1+'SImple Return'!F558)</f>
        <v>308.71392106813283</v>
      </c>
      <c r="U559" s="14">
        <f>+U558*(1+'SImple Return'!G558)</f>
        <v>237.80351578576037</v>
      </c>
      <c r="V559" s="14">
        <f>+V558*(1+'SImple Return'!H558)</f>
        <v>193.41091836633041</v>
      </c>
      <c r="W559" s="14">
        <f>+W558*(1+'SImple Return'!I558)</f>
        <v>348.90668155666998</v>
      </c>
      <c r="X559" s="14">
        <f>+X558*(1+'SImple Return'!J558)</f>
        <v>256.7859697192539</v>
      </c>
      <c r="Y559" s="14">
        <f>+Y558*(1+'SImple Return'!K558)</f>
        <v>218.96843127731904</v>
      </c>
      <c r="Z559" s="14">
        <f>+Z558*(1+'SImple Return'!L558)</f>
        <v>1806.1641100560018</v>
      </c>
      <c r="AA559" s="14">
        <f>+AA558*(1+'SImple Return'!M558)</f>
        <v>208.37158686189159</v>
      </c>
      <c r="AB559" s="14">
        <f>+AB558*(1+'SImple Return'!N558)</f>
        <v>298.19017355169876</v>
      </c>
    </row>
    <row r="560" spans="1:28">
      <c r="A560" s="8">
        <v>41530</v>
      </c>
      <c r="B560" s="10">
        <v>1533.72</v>
      </c>
      <c r="C560" s="10">
        <v>360.74</v>
      </c>
      <c r="D560" s="10">
        <v>175.18</v>
      </c>
      <c r="E560" s="11">
        <v>2495.9899999999998</v>
      </c>
      <c r="F560" s="11">
        <v>3161</v>
      </c>
      <c r="G560" s="11">
        <v>2467.35</v>
      </c>
      <c r="H560" s="14">
        <v>1953.78</v>
      </c>
      <c r="I560" s="14">
        <v>3604.96</v>
      </c>
      <c r="J560" s="14">
        <v>2546.88</v>
      </c>
      <c r="K560" s="14">
        <v>2309.54</v>
      </c>
      <c r="L560" s="14">
        <v>18693.54</v>
      </c>
      <c r="M560" s="14">
        <v>2161.1999999999998</v>
      </c>
      <c r="N560" s="14">
        <v>3069.66</v>
      </c>
      <c r="P560" s="14">
        <f>+P559*(1+'SImple Return'!B559)</f>
        <v>188.43852514405754</v>
      </c>
      <c r="Q560" s="14">
        <f>+Q559*(1+'SImple Return'!C559)</f>
        <v>168.23990299412381</v>
      </c>
      <c r="R560" s="14">
        <f>+R559*(1+'SImple Return'!D559)</f>
        <v>202.0996769727733</v>
      </c>
      <c r="S560" s="14">
        <f>+S559*(1+'SImple Return'!E559)</f>
        <v>249.06351344609067</v>
      </c>
      <c r="T560" s="14">
        <f>+T559*(1+'SImple Return'!F559)</f>
        <v>310.32790104064412</v>
      </c>
      <c r="U560" s="14">
        <f>+U559*(1+'SImple Return'!G559)</f>
        <v>241.76906343700378</v>
      </c>
      <c r="V560" s="14">
        <f>+V559*(1+'SImple Return'!H559)</f>
        <v>194.67134302482009</v>
      </c>
      <c r="W560" s="14">
        <f>+W559*(1+'SImple Return'!I559)</f>
        <v>359.45000049854917</v>
      </c>
      <c r="X560" s="14">
        <f>+X559*(1+'SImple Return'!J559)</f>
        <v>256.55831008048733</v>
      </c>
      <c r="Y560" s="14">
        <f>+Y559*(1+'SImple Return'!K559)</f>
        <v>224.33608547838747</v>
      </c>
      <c r="Z560" s="14">
        <f>+Z559*(1+'SImple Return'!L559)</f>
        <v>1820.6515704894082</v>
      </c>
      <c r="AA560" s="14">
        <f>+AA559*(1+'SImple Return'!M559)</f>
        <v>213.81084289671551</v>
      </c>
      <c r="AB560" s="14">
        <f>+AB559*(1+'SImple Return'!N559)</f>
        <v>300.13786360303095</v>
      </c>
    </row>
    <row r="561" spans="1:28">
      <c r="A561" s="8">
        <v>41537</v>
      </c>
      <c r="B561" s="10">
        <v>1563.26</v>
      </c>
      <c r="C561" s="10">
        <v>364.46</v>
      </c>
      <c r="D561" s="10">
        <v>180.69</v>
      </c>
      <c r="E561" s="11">
        <v>2586.44</v>
      </c>
      <c r="F561" s="11">
        <v>3223.02</v>
      </c>
      <c r="G561" s="11">
        <v>2554.37</v>
      </c>
      <c r="H561" s="14">
        <v>2007.71</v>
      </c>
      <c r="I561" s="14">
        <v>3732.09</v>
      </c>
      <c r="J561" s="14">
        <v>2636.6</v>
      </c>
      <c r="K561" s="14">
        <v>2389.0500000000002</v>
      </c>
      <c r="L561" s="14">
        <v>18852.53</v>
      </c>
      <c r="M561" s="14">
        <v>2261.64</v>
      </c>
      <c r="N561" s="14">
        <v>3145.29</v>
      </c>
      <c r="P561" s="14">
        <f>+P560*(1+'SImple Return'!B560)</f>
        <v>192.06791905738947</v>
      </c>
      <c r="Q561" s="14">
        <f>+Q560*(1+'SImple Return'!C560)</f>
        <v>169.97481578211</v>
      </c>
      <c r="R561" s="14">
        <f>+R560*(1+'SImple Return'!D560)</f>
        <v>208.45639132441147</v>
      </c>
      <c r="S561" s="14">
        <f>+S560*(1+'SImple Return'!E560)</f>
        <v>258.0891084169034</v>
      </c>
      <c r="T561" s="14">
        <f>+T560*(1+'SImple Return'!F560)</f>
        <v>316.41665030433938</v>
      </c>
      <c r="U561" s="14">
        <f>+U560*(1+'SImple Return'!G560)</f>
        <v>250.29592176690753</v>
      </c>
      <c r="V561" s="14">
        <f>+V560*(1+'SImple Return'!H560)</f>
        <v>200.04483724081604</v>
      </c>
      <c r="W561" s="14">
        <f>+W560*(1+'SImple Return'!I560)</f>
        <v>372.12611301113759</v>
      </c>
      <c r="X561" s="14">
        <f>+X560*(1+'SImple Return'!J560)</f>
        <v>265.5961962708148</v>
      </c>
      <c r="Y561" s="14">
        <f>+Y560*(1+'SImple Return'!K560)</f>
        <v>232.05925206410873</v>
      </c>
      <c r="Z561" s="14">
        <f>+Z560*(1+'SImple Return'!L560)</f>
        <v>1836.1363525687848</v>
      </c>
      <c r="AA561" s="14">
        <f>+AA560*(1+'SImple Return'!M560)</f>
        <v>223.74752671151569</v>
      </c>
      <c r="AB561" s="14">
        <f>+AB560*(1+'SImple Return'!N560)</f>
        <v>307.53263260816419</v>
      </c>
    </row>
    <row r="562" spans="1:28">
      <c r="A562" s="8">
        <v>41544</v>
      </c>
      <c r="B562" s="10">
        <v>1554.99</v>
      </c>
      <c r="C562" s="10">
        <v>367.15</v>
      </c>
      <c r="D562" s="10">
        <v>179.54</v>
      </c>
      <c r="E562" s="11">
        <v>2571.0100000000002</v>
      </c>
      <c r="F562" s="11">
        <v>3234.35</v>
      </c>
      <c r="G562" s="11">
        <v>2562.5700000000002</v>
      </c>
      <c r="H562" s="14">
        <v>1991.44</v>
      </c>
      <c r="I562" s="14">
        <v>3731.39</v>
      </c>
      <c r="J562" s="14">
        <v>2634.56</v>
      </c>
      <c r="K562" s="14">
        <v>2426.73</v>
      </c>
      <c r="L562" s="14">
        <v>19091.88</v>
      </c>
      <c r="M562" s="14">
        <v>2271.33</v>
      </c>
      <c r="N562" s="14">
        <v>3147.64</v>
      </c>
      <c r="P562" s="14">
        <f>+P561*(1+'SImple Return'!B561)</f>
        <v>191.05183619810529</v>
      </c>
      <c r="Q562" s="14">
        <f>+Q561*(1+'SImple Return'!C561)</f>
        <v>171.2293629325624</v>
      </c>
      <c r="R562" s="14">
        <f>+R561*(1+'SImple Return'!D561)</f>
        <v>207.12967235809859</v>
      </c>
      <c r="S562" s="14">
        <f>+S561*(1+'SImple Return'!E561)</f>
        <v>256.5494187496879</v>
      </c>
      <c r="T562" s="14">
        <f>+T561*(1+'SImple Return'!F561)</f>
        <v>317.52896131945818</v>
      </c>
      <c r="U562" s="14">
        <f>+U561*(1+'SImple Return'!G561)</f>
        <v>251.09941795520004</v>
      </c>
      <c r="V562" s="14">
        <f>+V561*(1+'SImple Return'!H561)</f>
        <v>198.42372188954118</v>
      </c>
      <c r="W562" s="14">
        <f>+W561*(1+'SImple Return'!I561)</f>
        <v>372.05631612009051</v>
      </c>
      <c r="X562" s="14">
        <f>+X561*(1+'SImple Return'!J561)</f>
        <v>265.39069818980425</v>
      </c>
      <c r="Y562" s="14">
        <f>+Y561*(1+'SImple Return'!K561)</f>
        <v>235.71928120446813</v>
      </c>
      <c r="Z562" s="14">
        <f>+Z561*(1+'SImple Return'!L561)</f>
        <v>1859.4477720964207</v>
      </c>
      <c r="AA562" s="14">
        <f>+AA561*(1+'SImple Return'!M561)</f>
        <v>224.70617332805705</v>
      </c>
      <c r="AB562" s="14">
        <f>+AB561*(1+'SImple Return'!N561)</f>
        <v>307.76240527988261</v>
      </c>
    </row>
    <row r="563" spans="1:28">
      <c r="A563" s="8">
        <v>41551</v>
      </c>
      <c r="B563" s="10">
        <v>1547.5</v>
      </c>
      <c r="C563" s="10">
        <v>367.78</v>
      </c>
      <c r="D563" s="10">
        <v>177.01</v>
      </c>
      <c r="E563" s="11">
        <v>2597.41</v>
      </c>
      <c r="F563" s="11">
        <v>3194.34</v>
      </c>
      <c r="G563" s="11">
        <v>2572.25</v>
      </c>
      <c r="H563" s="14">
        <v>1990.12</v>
      </c>
      <c r="I563" s="14">
        <v>3781.01</v>
      </c>
      <c r="J563" s="14">
        <v>2630.57</v>
      </c>
      <c r="K563" s="14">
        <v>2433.71</v>
      </c>
      <c r="L563" s="14">
        <v>18659.939999999999</v>
      </c>
      <c r="M563" s="14">
        <v>2329.2600000000002</v>
      </c>
      <c r="N563" s="14">
        <v>3124.09</v>
      </c>
      <c r="P563" s="14">
        <f>+P562*(1+'SImple Return'!B562)</f>
        <v>190.13158703050692</v>
      </c>
      <c r="Q563" s="14">
        <f>+Q562*(1+'SImple Return'!C562)</f>
        <v>171.52317880794715</v>
      </c>
      <c r="R563" s="14">
        <f>+R562*(1+'SImple Return'!D562)</f>
        <v>204.21089063221027</v>
      </c>
      <c r="S563" s="14">
        <f>+S562*(1+'SImple Return'!E562)</f>
        <v>259.18375492690689</v>
      </c>
      <c r="T563" s="14">
        <f>+T562*(1+'SImple Return'!F562)</f>
        <v>313.60102100922848</v>
      </c>
      <c r="U563" s="14">
        <f>+U562*(1+'SImple Return'!G562)</f>
        <v>252.04793540674527</v>
      </c>
      <c r="V563" s="14">
        <f>+V562*(1+'SImple Return'!H562)</f>
        <v>198.29219931648137</v>
      </c>
      <c r="W563" s="14">
        <f>+W562*(1+'SImple Return'!I562)</f>
        <v>377.00391859688307</v>
      </c>
      <c r="X563" s="14">
        <f>+X562*(1+'SImple Return'!J562)</f>
        <v>264.98876811959241</v>
      </c>
      <c r="Y563" s="14">
        <f>+Y562*(1+'SImple Return'!K562)</f>
        <v>236.39728023312284</v>
      </c>
      <c r="Z563" s="14">
        <f>+Z562*(1+'SImple Return'!L562)</f>
        <v>1817.3791088385681</v>
      </c>
      <c r="AA563" s="14">
        <f>+AA562*(1+'SImple Return'!M562)</f>
        <v>230.43727740403648</v>
      </c>
      <c r="AB563" s="14">
        <f>+AB562*(1+'SImple Return'!N562)</f>
        <v>305.45978978244926</v>
      </c>
    </row>
    <row r="564" spans="1:28">
      <c r="A564" s="8">
        <v>41558</v>
      </c>
      <c r="B564" s="10">
        <v>1557.35</v>
      </c>
      <c r="C564" s="10">
        <v>367.17</v>
      </c>
      <c r="D564" s="10">
        <v>180.32</v>
      </c>
      <c r="E564" s="11">
        <v>2609.06</v>
      </c>
      <c r="F564" s="11">
        <v>3245.08</v>
      </c>
      <c r="G564" s="11">
        <v>2606.14</v>
      </c>
      <c r="H564" s="14">
        <v>2020.95</v>
      </c>
      <c r="I564" s="14">
        <v>3851.49</v>
      </c>
      <c r="J564" s="14">
        <v>2649.69</v>
      </c>
      <c r="K564" s="14">
        <v>2459.21</v>
      </c>
      <c r="L564" s="14">
        <v>18944.37</v>
      </c>
      <c r="M564" s="14">
        <v>2384.4499999999998</v>
      </c>
      <c r="N564" s="14">
        <v>3157.6</v>
      </c>
      <c r="P564" s="14">
        <f>+P563*(1+'SImple Return'!B563)</f>
        <v>191.34179454730852</v>
      </c>
      <c r="Q564" s="14">
        <f>+Q563*(1+'SImple Return'!C563)</f>
        <v>171.23869042066985</v>
      </c>
      <c r="R564" s="14">
        <f>+R563*(1+'SImple Return'!D563)</f>
        <v>208.02953391785863</v>
      </c>
      <c r="S564" s="14">
        <f>+S563*(1+'SImple Return'!E563)</f>
        <v>260.34625555056607</v>
      </c>
      <c r="T564" s="14">
        <f>+T563*(1+'SImple Return'!F563)</f>
        <v>318.58236795601817</v>
      </c>
      <c r="U564" s="14">
        <f>+U563*(1+'SImple Return'!G563)</f>
        <v>255.36872636055404</v>
      </c>
      <c r="V564" s="14">
        <f>+V563*(1+'SImple Return'!H563)</f>
        <v>201.36404850393095</v>
      </c>
      <c r="W564" s="14">
        <f>+W563*(1+'SImple Return'!I563)</f>
        <v>384.03146842687772</v>
      </c>
      <c r="X564" s="14">
        <f>+X563*(1+'SImple Return'!J563)</f>
        <v>266.91480895729927</v>
      </c>
      <c r="Y564" s="14">
        <f>+Y563*(1+'SImple Return'!K563)</f>
        <v>238.87421078193296</v>
      </c>
      <c r="Z564" s="14">
        <f>+Z563*(1+'SImple Return'!L563)</f>
        <v>1845.0810810810808</v>
      </c>
      <c r="AA564" s="14">
        <f>+AA563*(1+'SImple Return'!M563)</f>
        <v>235.89730906212907</v>
      </c>
      <c r="AB564" s="14">
        <f>+AB563*(1+'SImple Return'!N563)</f>
        <v>308.73625030554871</v>
      </c>
    </row>
    <row r="565" spans="1:28">
      <c r="A565" s="8">
        <v>41565</v>
      </c>
      <c r="B565" s="10">
        <v>1598.14</v>
      </c>
      <c r="C565" s="10">
        <v>369.8</v>
      </c>
      <c r="D565" s="10">
        <v>184.78</v>
      </c>
      <c r="E565" s="11">
        <v>2687.81</v>
      </c>
      <c r="F565" s="11">
        <v>3320.82</v>
      </c>
      <c r="G565" s="11">
        <v>2610.91</v>
      </c>
      <c r="H565" s="14">
        <v>2060.4899999999998</v>
      </c>
      <c r="I565" s="14">
        <v>3921.44</v>
      </c>
      <c r="J565" s="14">
        <v>2724.22</v>
      </c>
      <c r="K565" s="14">
        <v>2424.0100000000002</v>
      </c>
      <c r="L565" s="14">
        <v>19888.060000000001</v>
      </c>
      <c r="M565" s="14">
        <v>2457.36</v>
      </c>
      <c r="N565" s="14">
        <v>3212.58</v>
      </c>
      <c r="P565" s="14">
        <f>+P564*(1+'SImple Return'!B564)</f>
        <v>196.35340516764742</v>
      </c>
      <c r="Q565" s="14">
        <f>+Q564*(1+'SImple Return'!C564)</f>
        <v>172.46525510679987</v>
      </c>
      <c r="R565" s="14">
        <f>+R564*(1+'SImple Return'!D564)</f>
        <v>213.17489616981985</v>
      </c>
      <c r="S565" s="14">
        <f>+S564*(1+'SImple Return'!E564)</f>
        <v>268.20436062465677</v>
      </c>
      <c r="T565" s="14">
        <f>+T564*(1+'SImple Return'!F564)</f>
        <v>326.01806400942479</v>
      </c>
      <c r="U565" s="14">
        <f>+U564*(1+'SImple Return'!G564)</f>
        <v>255.83612597252417</v>
      </c>
      <c r="V565" s="14">
        <f>+V564*(1+'SImple Return'!H564)</f>
        <v>205.30374739694929</v>
      </c>
      <c r="W565" s="14">
        <f>+W564*(1+'SImple Return'!I564)</f>
        <v>391.00617203936537</v>
      </c>
      <c r="X565" s="14">
        <f>+X564*(1+'SImple Return'!J564)</f>
        <v>274.42254031892554</v>
      </c>
      <c r="Y565" s="14">
        <f>+Y564*(1+'SImple Return'!K564)</f>
        <v>235.45507527926179</v>
      </c>
      <c r="Z565" s="14">
        <f>+Z564*(1+'SImple Return'!L564)</f>
        <v>1936.991477964451</v>
      </c>
      <c r="AA565" s="14">
        <f>+AA564*(1+'SImple Return'!M564)</f>
        <v>243.1104075979423</v>
      </c>
      <c r="AB565" s="14">
        <f>+AB564*(1+'SImple Return'!N564)</f>
        <v>314.11195306770952</v>
      </c>
    </row>
    <row r="566" spans="1:28">
      <c r="A566" s="8">
        <v>41572</v>
      </c>
      <c r="B566" s="10">
        <v>1607.96</v>
      </c>
      <c r="C566" s="10">
        <v>371.55</v>
      </c>
      <c r="D566" s="10">
        <v>185.07</v>
      </c>
      <c r="E566" s="11">
        <v>2728.11</v>
      </c>
      <c r="F566" s="11">
        <v>3383.13</v>
      </c>
      <c r="G566" s="11">
        <v>2586.9899999999998</v>
      </c>
      <c r="H566" s="14">
        <v>2103.5500000000002</v>
      </c>
      <c r="I566" s="14">
        <v>3961.51</v>
      </c>
      <c r="J566" s="14">
        <v>2758.65</v>
      </c>
      <c r="K566" s="14">
        <v>2416.58</v>
      </c>
      <c r="L566" s="14">
        <v>20180.990000000002</v>
      </c>
      <c r="M566" s="14">
        <v>2483.36</v>
      </c>
      <c r="N566" s="14">
        <v>3251.58</v>
      </c>
      <c r="P566" s="14">
        <f>+P565*(1+'SImple Return'!B565)</f>
        <v>197.55992677323033</v>
      </c>
      <c r="Q566" s="14">
        <f>+Q565*(1+'SImple Return'!C565)</f>
        <v>173.28141031620197</v>
      </c>
      <c r="R566" s="14">
        <f>+R565*(1+'SImple Return'!D565)</f>
        <v>213.50946008306397</v>
      </c>
      <c r="S566" s="14">
        <f>+S565*(1+'SImple Return'!E565)</f>
        <v>272.22571471336602</v>
      </c>
      <c r="T566" s="14">
        <f>+T565*(1+'SImple Return'!F565)</f>
        <v>332.13528372275681</v>
      </c>
      <c r="U566" s="14">
        <f>+U565*(1+'SImple Return'!G565)</f>
        <v>253.49226879887098</v>
      </c>
      <c r="V566" s="14">
        <f>+V565*(1+'SImple Return'!H565)</f>
        <v>209.59417315146047</v>
      </c>
      <c r="W566" s="14">
        <f>+W565*(1+'SImple Return'!I565)</f>
        <v>395.00154550258736</v>
      </c>
      <c r="X566" s="14">
        <f>+X565*(1+'SImple Return'!J565)</f>
        <v>277.89082410774608</v>
      </c>
      <c r="Y566" s="14">
        <f>+Y565*(1+'SImple Return'!K565)</f>
        <v>234.73336571151043</v>
      </c>
      <c r="Z566" s="14">
        <f>+Z565*(1+'SImple Return'!L565)</f>
        <v>1965.5213050888729</v>
      </c>
      <c r="AA566" s="14">
        <f>+AA565*(1+'SImple Return'!M565)</f>
        <v>245.68262762168587</v>
      </c>
      <c r="AB566" s="14">
        <f>+AB565*(1+'SImple Return'!N565)</f>
        <v>317.9252016621852</v>
      </c>
    </row>
    <row r="567" spans="1:28">
      <c r="A567" s="8">
        <v>41579</v>
      </c>
      <c r="B567" s="10">
        <v>1597.86</v>
      </c>
      <c r="C567" s="10">
        <v>369.03</v>
      </c>
      <c r="D567" s="10">
        <v>181.26</v>
      </c>
      <c r="E567" s="11">
        <v>2675.46</v>
      </c>
      <c r="F567" s="11">
        <v>3357.01</v>
      </c>
      <c r="G567" s="11">
        <v>2568.69</v>
      </c>
      <c r="H567" s="14">
        <v>2083.64</v>
      </c>
      <c r="I567" s="14">
        <v>3889.19</v>
      </c>
      <c r="J567" s="14">
        <v>2703.99</v>
      </c>
      <c r="K567" s="14">
        <v>2411.92</v>
      </c>
      <c r="L567" s="14">
        <v>20032.98</v>
      </c>
      <c r="M567" s="14">
        <v>2398.5500000000002</v>
      </c>
      <c r="N567" s="14">
        <v>3229.93</v>
      </c>
      <c r="P567" s="14">
        <f>+P566*(1+'SImple Return'!B566)</f>
        <v>196.31900332960632</v>
      </c>
      <c r="Q567" s="14">
        <f>+Q566*(1+'SImple Return'!C566)</f>
        <v>172.10614681466291</v>
      </c>
      <c r="R567" s="14">
        <f>+R566*(1+'SImple Return'!D566)</f>
        <v>209.1139824642361</v>
      </c>
      <c r="S567" s="14">
        <f>+S566*(1+'SImple Return'!E566)</f>
        <v>266.97201017811682</v>
      </c>
      <c r="T567" s="14">
        <f>+T566*(1+'SImple Return'!F566)</f>
        <v>329.57097977616348</v>
      </c>
      <c r="U567" s="14">
        <f>+U566*(1+'SImple Return'!G566)</f>
        <v>251.69910047621829</v>
      </c>
      <c r="V567" s="14">
        <f>+V566*(1+'SImple Return'!H566)</f>
        <v>207.61037434114189</v>
      </c>
      <c r="W567" s="14">
        <f>+W566*(1+'SImple Return'!I566)</f>
        <v>387.79052955898322</v>
      </c>
      <c r="X567" s="14">
        <f>+X566*(1+'SImple Return'!J566)</f>
        <v>272.3846843489041</v>
      </c>
      <c r="Y567" s="14">
        <f>+Y566*(1+'SImple Return'!K566)</f>
        <v>234.28071879553181</v>
      </c>
      <c r="Z567" s="14">
        <f>+Z566*(1+'SImple Return'!L566)</f>
        <v>1951.1059167275382</v>
      </c>
      <c r="AA567" s="14">
        <f>+AA566*(1+'SImple Return'!M566)</f>
        <v>237.2922437673131</v>
      </c>
      <c r="AB567" s="14">
        <f>+AB566*(1+'SImple Return'!N566)</f>
        <v>315.80835981422626</v>
      </c>
    </row>
    <row r="568" spans="1:28">
      <c r="A568" s="8">
        <v>41586</v>
      </c>
      <c r="B568" s="10">
        <v>1596.28</v>
      </c>
      <c r="C568" s="10">
        <v>366.88</v>
      </c>
      <c r="D568" s="10">
        <v>176.81</v>
      </c>
      <c r="E568" s="11">
        <v>2656.28</v>
      </c>
      <c r="F568" s="11">
        <v>3333.66</v>
      </c>
      <c r="G568" s="11">
        <v>2536.63</v>
      </c>
      <c r="H568" s="14">
        <v>2067.0500000000002</v>
      </c>
      <c r="I568" s="14">
        <v>3799.66</v>
      </c>
      <c r="J568" s="14">
        <v>2653.87</v>
      </c>
      <c r="K568" s="14">
        <v>2353.5300000000002</v>
      </c>
      <c r="L568" s="14">
        <v>20044.03</v>
      </c>
      <c r="M568" s="14">
        <v>2392.2800000000002</v>
      </c>
      <c r="N568" s="14">
        <v>3196.93</v>
      </c>
      <c r="P568" s="14">
        <f>+P567*(1+'SImple Return'!B567)</f>
        <v>196.12487867208893</v>
      </c>
      <c r="Q568" s="14">
        <f>+Q567*(1+'SImple Return'!C567)</f>
        <v>171.10344184311174</v>
      </c>
      <c r="R568" s="14">
        <f>+R567*(1+'SImple Return'!D567)</f>
        <v>203.98015689893847</v>
      </c>
      <c r="S568" s="14">
        <f>+S567*(1+'SImple Return'!E567)</f>
        <v>265.05812503118273</v>
      </c>
      <c r="T568" s="14">
        <f>+T567*(1+'SImple Return'!F567)</f>
        <v>327.27861771058321</v>
      </c>
      <c r="U568" s="14">
        <f>+U567*(1+'SImple Return'!G567)</f>
        <v>248.55762635467482</v>
      </c>
      <c r="V568" s="14">
        <f>+V567*(1+'SImple Return'!H567)</f>
        <v>205.95737472973136</v>
      </c>
      <c r="W568" s="14">
        <f>+W567*(1+'SImple Return'!I567)</f>
        <v>378.86350719406511</v>
      </c>
      <c r="X568" s="14">
        <f>+X567*(1+'SImple Return'!J567)</f>
        <v>267.33587855466408</v>
      </c>
      <c r="Y568" s="14">
        <f>+Y567*(1+'SImple Return'!K567)</f>
        <v>228.60903351141332</v>
      </c>
      <c r="Z568" s="14">
        <f>+Z567*(1+'SImple Return'!L567)</f>
        <v>1952.1821280740196</v>
      </c>
      <c r="AA568" s="14">
        <f>+AA567*(1+'SImple Return'!M567)</f>
        <v>236.67194301543338</v>
      </c>
      <c r="AB568" s="14">
        <f>+AB567*(1+'SImple Return'!N567)</f>
        <v>312.58176484966992</v>
      </c>
    </row>
    <row r="569" spans="1:28">
      <c r="A569" s="8">
        <v>41593</v>
      </c>
      <c r="B569" s="10">
        <v>1621.5</v>
      </c>
      <c r="C569" s="10">
        <v>368.14</v>
      </c>
      <c r="D569" s="10">
        <v>179.89</v>
      </c>
      <c r="E569" s="11">
        <v>2675.93</v>
      </c>
      <c r="F569" s="11">
        <v>3360.4</v>
      </c>
      <c r="G569" s="11">
        <v>2555.64</v>
      </c>
      <c r="H569" s="14">
        <v>2065.3200000000002</v>
      </c>
      <c r="I569" s="14">
        <v>3896.78</v>
      </c>
      <c r="J569" s="14">
        <v>2713</v>
      </c>
      <c r="K569" s="14">
        <v>2355.58</v>
      </c>
      <c r="L569" s="14">
        <v>20215.77</v>
      </c>
      <c r="M569" s="14">
        <v>2411.86</v>
      </c>
      <c r="N569" s="14">
        <v>3229.09</v>
      </c>
      <c r="P569" s="14">
        <f>+P568*(1+'SImple Return'!B568)</f>
        <v>199.2235013699302</v>
      </c>
      <c r="Q569" s="14">
        <f>+Q568*(1+'SImple Return'!C568)</f>
        <v>171.69107359388124</v>
      </c>
      <c r="R569" s="14">
        <f>+R568*(1+'SImple Return'!D568)</f>
        <v>207.53345639132425</v>
      </c>
      <c r="S569" s="14">
        <f>+S568*(1+'SImple Return'!E568)</f>
        <v>267.0189093449082</v>
      </c>
      <c r="T569" s="14">
        <f>+T568*(1+'SImple Return'!F568)</f>
        <v>329.90378951502072</v>
      </c>
      <c r="U569" s="14">
        <f>+U568*(1+'SImple Return'!G568)</f>
        <v>250.42036568875284</v>
      </c>
      <c r="V569" s="14">
        <f>+V568*(1+'SImple Return'!H568)</f>
        <v>205.78500044837267</v>
      </c>
      <c r="W569" s="14">
        <f>+W568*(1+'SImple Return'!I568)</f>
        <v>388.547327277622</v>
      </c>
      <c r="X569" s="14">
        <f>+X568*(1+'SImple Return'!J568)</f>
        <v>273.29230087336742</v>
      </c>
      <c r="Y569" s="14">
        <f>+Y568*(1+'SImple Return'!K568)</f>
        <v>228.80815930063136</v>
      </c>
      <c r="Z569" s="14">
        <f>+Z568*(1+'SImple Return'!L568)</f>
        <v>1968.9086924762596</v>
      </c>
      <c r="AA569" s="14">
        <f>+AA568*(1+'SImple Return'!M568)</f>
        <v>238.60902255639101</v>
      </c>
      <c r="AB569" s="14">
        <f>+AB568*(1+'SImple Return'!N568)</f>
        <v>315.72622830603757</v>
      </c>
    </row>
    <row r="570" spans="1:28">
      <c r="A570" s="8">
        <v>41600</v>
      </c>
      <c r="B570" s="10">
        <v>1623.15</v>
      </c>
      <c r="C570" s="10">
        <v>367.76</v>
      </c>
      <c r="D570" s="10">
        <v>176</v>
      </c>
      <c r="E570" s="11">
        <v>2659.47</v>
      </c>
      <c r="F570" s="11">
        <v>3311.08</v>
      </c>
      <c r="G570" s="11">
        <v>2563.66</v>
      </c>
      <c r="H570" s="14">
        <v>2049.41</v>
      </c>
      <c r="I570" s="14">
        <v>3820.47</v>
      </c>
      <c r="J570" s="14">
        <v>2663.86</v>
      </c>
      <c r="K570" s="14">
        <v>2365.87</v>
      </c>
      <c r="L570" s="14">
        <v>19605.310000000001</v>
      </c>
      <c r="M570" s="14">
        <v>2382.7600000000002</v>
      </c>
      <c r="N570" s="14">
        <v>3218.12</v>
      </c>
      <c r="P570" s="14">
        <f>+P569*(1+'SImple Return'!B569)</f>
        <v>199.42622648695789</v>
      </c>
      <c r="Q570" s="14">
        <f>+Q569*(1+'SImple Return'!C569)</f>
        <v>171.51385131983966</v>
      </c>
      <c r="R570" s="14">
        <f>+R569*(1+'SImple Return'!D569)</f>
        <v>203.04568527918769</v>
      </c>
      <c r="S570" s="14">
        <f>+S569*(1+'SImple Return'!E569)</f>
        <v>265.37644065259667</v>
      </c>
      <c r="T570" s="14">
        <f>+T569*(1+'SImple Return'!F569)</f>
        <v>325.06184959748686</v>
      </c>
      <c r="U570" s="14">
        <f>+U569*(1+'SImple Return'!G569)</f>
        <v>251.2062241558389</v>
      </c>
      <c r="V570" s="14">
        <f>+V569*(1+'SImple Return'!H569)</f>
        <v>204.19975488975044</v>
      </c>
      <c r="W570" s="14">
        <f>+W569*(1+'SImple Return'!I569)</f>
        <v>380.93846905504961</v>
      </c>
      <c r="X570" s="14">
        <f>+X569*(1+'SImple Return'!J569)</f>
        <v>268.34221474549526</v>
      </c>
      <c r="Y570" s="14">
        <f>+Y569*(1+'SImple Return'!K569)</f>
        <v>229.80767362797474</v>
      </c>
      <c r="Z570" s="14">
        <f>+Z569*(1+'SImple Return'!L569)</f>
        <v>1909.4531288044798</v>
      </c>
      <c r="AA570" s="14">
        <f>+AA569*(1+'SImple Return'!M569)</f>
        <v>235.73011476058571</v>
      </c>
      <c r="AB570" s="14">
        <f>+AB569*(1+'SImple Return'!N569)</f>
        <v>314.65362991933506</v>
      </c>
    </row>
    <row r="571" spans="1:28">
      <c r="A571" s="8">
        <v>41607</v>
      </c>
      <c r="B571" s="10">
        <v>1628.42</v>
      </c>
      <c r="C571" s="10">
        <v>368.1</v>
      </c>
      <c r="D571" s="10">
        <v>175.24</v>
      </c>
      <c r="E571" s="11">
        <v>2702.99</v>
      </c>
      <c r="F571" s="11">
        <v>3278.4</v>
      </c>
      <c r="G571" s="11">
        <v>2577.79</v>
      </c>
      <c r="H571" s="14">
        <v>2044.08</v>
      </c>
      <c r="I571" s="14">
        <v>3927.02</v>
      </c>
      <c r="J571" s="14">
        <v>2655.02</v>
      </c>
      <c r="K571" s="14">
        <v>2367.8200000000002</v>
      </c>
      <c r="L571" s="14">
        <v>19716.560000000001</v>
      </c>
      <c r="M571" s="14">
        <v>2422.69</v>
      </c>
      <c r="N571" s="14">
        <v>3207.93</v>
      </c>
      <c r="P571" s="14">
        <f>+P570*(1+'SImple Return'!B570)</f>
        <v>200.07371822437355</v>
      </c>
      <c r="Q571" s="14">
        <f>+Q570*(1+'SImple Return'!C570)</f>
        <v>171.67241861766638</v>
      </c>
      <c r="R571" s="14">
        <f>+R570*(1+'SImple Return'!D570)</f>
        <v>202.16889709275483</v>
      </c>
      <c r="S571" s="14">
        <f>+S570*(1+'SImple Return'!E570)</f>
        <v>269.71910392655764</v>
      </c>
      <c r="T571" s="14">
        <f>+T570*(1+'SImple Return'!F570)</f>
        <v>321.85352444531725</v>
      </c>
      <c r="U571" s="14">
        <f>+U570*(1+'SImple Return'!G570)</f>
        <v>252.59078527054288</v>
      </c>
      <c r="V571" s="14">
        <f>+V570*(1+'SImple Return'!H570)</f>
        <v>203.66868268186505</v>
      </c>
      <c r="W571" s="14">
        <f>+W570*(1+'SImple Return'!I570)</f>
        <v>391.5625529708546</v>
      </c>
      <c r="X571" s="14">
        <f>+X570*(1+'SImple Return'!J570)</f>
        <v>267.45172306111613</v>
      </c>
      <c r="Y571" s="14">
        <f>+Y570*(1+'SImple Return'!K570)</f>
        <v>229.9970859640602</v>
      </c>
      <c r="Z571" s="14">
        <f>+Z570*(1+'SImple Return'!L570)</f>
        <v>1920.2882882882877</v>
      </c>
      <c r="AA571" s="14">
        <f>+AA570*(1+'SImple Return'!M570)</f>
        <v>239.68045112781954</v>
      </c>
      <c r="AB571" s="14">
        <f>+AB570*(1+'SImple Return'!N570)</f>
        <v>313.65729650452204</v>
      </c>
    </row>
    <row r="572" spans="1:28">
      <c r="A572" s="8">
        <v>41614</v>
      </c>
      <c r="B572" s="10">
        <v>1612.61</v>
      </c>
      <c r="C572" s="10">
        <v>366.25</v>
      </c>
      <c r="D572" s="10">
        <v>173.35</v>
      </c>
      <c r="E572" s="11">
        <v>2644.78</v>
      </c>
      <c r="F572" s="11">
        <v>3295.94</v>
      </c>
      <c r="G572" s="11">
        <v>2531.29</v>
      </c>
      <c r="H572" s="14">
        <v>2023.08</v>
      </c>
      <c r="I572" s="14">
        <v>3937.33</v>
      </c>
      <c r="J572" s="14">
        <v>2567.79</v>
      </c>
      <c r="K572" s="14">
        <v>2324.06</v>
      </c>
      <c r="L572" s="14">
        <v>19921.830000000002</v>
      </c>
      <c r="M572" s="14">
        <v>2384.48</v>
      </c>
      <c r="N572" s="14">
        <v>3205.97</v>
      </c>
      <c r="P572" s="14">
        <f>+P571*(1+'SImple Return'!B571)</f>
        <v>198.13124301212648</v>
      </c>
      <c r="Q572" s="14">
        <f>+Q571*(1+'SImple Return'!C571)</f>
        <v>170.80962596772702</v>
      </c>
      <c r="R572" s="14">
        <f>+R571*(1+'SImple Return'!D571)</f>
        <v>199.98846331333627</v>
      </c>
      <c r="S572" s="14">
        <f>+S571*(1+'SImple Return'!E571)</f>
        <v>263.91059222671237</v>
      </c>
      <c r="T572" s="14">
        <f>+T571*(1+'SImple Return'!F571)</f>
        <v>323.57549577851967</v>
      </c>
      <c r="U572" s="14">
        <f>+U571*(1+'SImple Return'!G571)</f>
        <v>248.03437395888434</v>
      </c>
      <c r="V572" s="14">
        <f>+V571*(1+'SImple Return'!H571)</f>
        <v>201.57627811045924</v>
      </c>
      <c r="W572" s="14">
        <f>+W571*(1+'SImple Return'!I571)</f>
        <v>392.59056146613329</v>
      </c>
      <c r="X572" s="14">
        <f>+X571*(1+'SImple Return'!J571)</f>
        <v>258.6646654108456</v>
      </c>
      <c r="Y572" s="14">
        <f>+Y571*(1+'SImple Return'!K571)</f>
        <v>225.7464788732394</v>
      </c>
      <c r="Z572" s="14">
        <f>+Z571*(1+'SImple Return'!L571)</f>
        <v>1940.2804967129287</v>
      </c>
      <c r="AA572" s="14">
        <f>+AA571*(1+'SImple Return'!M571)</f>
        <v>235.90027700831024</v>
      </c>
      <c r="AB572" s="14">
        <f>+AB571*(1+'SImple Return'!N571)</f>
        <v>313.46565631874836</v>
      </c>
    </row>
    <row r="573" spans="1:28">
      <c r="A573" s="8">
        <v>41621</v>
      </c>
      <c r="B573" s="10">
        <v>1587.69</v>
      </c>
      <c r="C573" s="10">
        <v>366.69</v>
      </c>
      <c r="D573" s="10">
        <v>170.46</v>
      </c>
      <c r="E573" s="11">
        <v>2648.87</v>
      </c>
      <c r="F573" s="11">
        <v>3231.15</v>
      </c>
      <c r="G573" s="11">
        <v>2514.19</v>
      </c>
      <c r="H573" s="14">
        <v>2010.3</v>
      </c>
      <c r="I573" s="14">
        <v>3895.19</v>
      </c>
      <c r="J573" s="14">
        <v>2563.5</v>
      </c>
      <c r="K573" s="14">
        <v>2319.8000000000002</v>
      </c>
      <c r="L573" s="14">
        <v>19723.990000000002</v>
      </c>
      <c r="M573" s="14">
        <v>2347.1</v>
      </c>
      <c r="N573" s="14">
        <v>3150.81</v>
      </c>
      <c r="P573" s="14">
        <f>+P572*(1+'SImple Return'!B572)</f>
        <v>195.06947942647207</v>
      </c>
      <c r="Q573" s="14">
        <f>+Q572*(1+'SImple Return'!C572)</f>
        <v>171.014830706091</v>
      </c>
      <c r="R573" s="14">
        <f>+R572*(1+'SImple Return'!D572)</f>
        <v>196.65436086755872</v>
      </c>
      <c r="S573" s="14">
        <f>+S572*(1+'SImple Return'!E572)</f>
        <v>264.31871476325875</v>
      </c>
      <c r="T573" s="14">
        <f>+T572*(1+'SImple Return'!F572)</f>
        <v>317.21480463381124</v>
      </c>
      <c r="U573" s="14">
        <f>+U572*(1+'SImple Return'!G572)</f>
        <v>246.35879044427443</v>
      </c>
      <c r="V573" s="14">
        <f>+V572*(1+'SImple Return'!H572)</f>
        <v>200.30290047128943</v>
      </c>
      <c r="W573" s="14">
        <f>+W572*(1+'SImple Return'!I572)</f>
        <v>388.38878862510074</v>
      </c>
      <c r="X573" s="14">
        <f>+X572*(1+'SImple Return'!J572)</f>
        <v>258.23251503460278</v>
      </c>
      <c r="Y573" s="14">
        <f>+Y572*(1+'SImple Return'!K572)</f>
        <v>225.33268576979114</v>
      </c>
      <c r="Z573" s="14">
        <f>+Z572*(1+'SImple Return'!L572)</f>
        <v>1921.0119308497683</v>
      </c>
      <c r="AA573" s="14">
        <f>+AA572*(1+'SImple Return'!M572)</f>
        <v>232.20221606648198</v>
      </c>
      <c r="AB573" s="14">
        <f>+AB572*(1+'SImple Return'!N572)</f>
        <v>308.07235394768998</v>
      </c>
    </row>
    <row r="574" spans="1:28">
      <c r="A574" s="8">
        <v>41628</v>
      </c>
      <c r="B574" s="10">
        <v>1626.66</v>
      </c>
      <c r="C574" s="10">
        <v>366.65</v>
      </c>
      <c r="D574" s="10">
        <v>173.15</v>
      </c>
      <c r="E574" s="11">
        <v>2714.66</v>
      </c>
      <c r="F574" s="11">
        <v>3319.98</v>
      </c>
      <c r="G574" s="11">
        <v>2515.02</v>
      </c>
      <c r="H574" s="14">
        <v>2057.42</v>
      </c>
      <c r="I574" s="14">
        <v>3910.1</v>
      </c>
      <c r="J574" s="14">
        <v>2613.88</v>
      </c>
      <c r="K574" s="14">
        <v>2326.62</v>
      </c>
      <c r="L574" s="14">
        <v>19816.759999999998</v>
      </c>
      <c r="M574" s="14">
        <v>2389.11</v>
      </c>
      <c r="N574" s="14">
        <v>3252.5</v>
      </c>
      <c r="P574" s="14">
        <f>+P573*(1+'SImple Return'!B573)</f>
        <v>199.85747809954404</v>
      </c>
      <c r="Q574" s="14">
        <f>+Q573*(1+'SImple Return'!C573)</f>
        <v>170.99617572987609</v>
      </c>
      <c r="R574" s="14">
        <f>+R573*(1+'SImple Return'!D573)</f>
        <v>199.75772958006448</v>
      </c>
      <c r="S574" s="14">
        <f>+S573*(1+'SImple Return'!E573)</f>
        <v>270.88360025944195</v>
      </c>
      <c r="T574" s="14">
        <f>+T573*(1+'SImple Return'!F573)</f>
        <v>325.93559787944253</v>
      </c>
      <c r="U574" s="14">
        <f>+U573*(1+'SImple Return'!G573)</f>
        <v>246.440119936504</v>
      </c>
      <c r="V574" s="14">
        <f>+V573*(1+'SImple Return'!H573)</f>
        <v>204.99785777627235</v>
      </c>
      <c r="W574" s="14">
        <f>+W573*(1+'SImple Return'!I573)</f>
        <v>389.87546240440298</v>
      </c>
      <c r="X574" s="14">
        <f>+X573*(1+'SImple Return'!J573)</f>
        <v>263.30751176073636</v>
      </c>
      <c r="Y574" s="14">
        <f>+Y573*(1+'SImple Return'!K573)</f>
        <v>225.99514327343363</v>
      </c>
      <c r="Z574" s="14">
        <f>+Z573*(1+'SImple Return'!L573)</f>
        <v>1930.0472364256141</v>
      </c>
      <c r="AA574" s="14">
        <f>+AA573*(1+'SImple Return'!M573)</f>
        <v>236.35833003561538</v>
      </c>
      <c r="AB574" s="14">
        <f>+AB573*(1+'SImple Return'!N573)</f>
        <v>318.01515521877286</v>
      </c>
    </row>
    <row r="575" spans="1:28">
      <c r="A575" s="8">
        <v>41635</v>
      </c>
      <c r="B575" s="10">
        <v>1654.16</v>
      </c>
      <c r="C575" s="10">
        <v>365.21</v>
      </c>
      <c r="D575" s="10">
        <v>173.93</v>
      </c>
      <c r="E575" s="11">
        <v>2781.16</v>
      </c>
      <c r="F575" s="11">
        <v>3352.93</v>
      </c>
      <c r="G575" s="11">
        <v>2541.8200000000002</v>
      </c>
      <c r="H575" s="14">
        <v>2075.35</v>
      </c>
      <c r="I575" s="14">
        <v>3922.88</v>
      </c>
      <c r="J575" s="14">
        <v>2676.1</v>
      </c>
      <c r="K575" s="14">
        <v>2363.27</v>
      </c>
      <c r="L575" s="14">
        <v>20094.919999999998</v>
      </c>
      <c r="M575" s="14">
        <v>2428.87</v>
      </c>
      <c r="N575" s="14">
        <v>3302.84</v>
      </c>
      <c r="P575" s="14">
        <f>+P574*(1+'SImple Return'!B574)</f>
        <v>203.23623005000539</v>
      </c>
      <c r="Q575" s="14">
        <f>+Q574*(1+'SImple Return'!C574)</f>
        <v>170.32459658613951</v>
      </c>
      <c r="R575" s="14">
        <f>+R574*(1+'SImple Return'!D574)</f>
        <v>200.65759113982452</v>
      </c>
      <c r="S575" s="14">
        <f>+S574*(1+'SImple Return'!E574)</f>
        <v>277.5193334331185</v>
      </c>
      <c r="T575" s="14">
        <f>+T574*(1+'SImple Return'!F574)</f>
        <v>329.17043000196361</v>
      </c>
      <c r="U575" s="14">
        <f>+U574*(1+'SImple Return'!G574)</f>
        <v>249.06618064945988</v>
      </c>
      <c r="V575" s="14">
        <f>+V574*(1+'SImple Return'!H574)</f>
        <v>206.7843727270012</v>
      </c>
      <c r="W575" s="14">
        <f>+W574*(1+'SImple Return'!I574)</f>
        <v>391.14975421523343</v>
      </c>
      <c r="X575" s="14">
        <f>+X574*(1+'SImple Return'!J574)</f>
        <v>269.57520323155865</v>
      </c>
      <c r="Y575" s="14">
        <f>+Y574*(1+'SImple Return'!K574)</f>
        <v>229.55512384652738</v>
      </c>
      <c r="Z575" s="14">
        <f>+Z574*(1+'SImple Return'!L574)</f>
        <v>1957.138543949354</v>
      </c>
      <c r="AA575" s="14">
        <f>+AA574*(1+'SImple Return'!M574)</f>
        <v>240.29184804115553</v>
      </c>
      <c r="AB575" s="14">
        <f>+AB574*(1+'SImple Return'!N574)</f>
        <v>322.9371791737961</v>
      </c>
    </row>
    <row r="576" spans="1:28">
      <c r="A576" s="8">
        <v>41642</v>
      </c>
      <c r="B576" s="10">
        <v>1646.05</v>
      </c>
      <c r="C576" s="10">
        <v>365.65</v>
      </c>
      <c r="D576" s="10">
        <v>174.82</v>
      </c>
      <c r="E576" s="11">
        <v>2769.31</v>
      </c>
      <c r="F576" s="11">
        <v>3337.5</v>
      </c>
      <c r="G576" s="11">
        <v>2556.0700000000002</v>
      </c>
      <c r="H576" s="14">
        <v>2054.2800000000002</v>
      </c>
      <c r="I576" s="14">
        <v>3867.24</v>
      </c>
      <c r="J576" s="14">
        <v>2638.96</v>
      </c>
      <c r="K576" s="14">
        <v>2388.13</v>
      </c>
      <c r="L576" s="14">
        <v>20036.45</v>
      </c>
      <c r="M576" s="14">
        <v>2443.7199999999998</v>
      </c>
      <c r="N576" s="14">
        <v>3300.9</v>
      </c>
      <c r="P576" s="14">
        <f>+P575*(1+'SImple Return'!B575)</f>
        <v>202.2398053838875</v>
      </c>
      <c r="Q576" s="14">
        <f>+Q575*(1+'SImple Return'!C575)</f>
        <v>170.52980132450344</v>
      </c>
      <c r="R576" s="14">
        <f>+R575*(1+'SImple Return'!D575)</f>
        <v>201.68435625288402</v>
      </c>
      <c r="S576" s="14">
        <f>+S575*(1+'SImple Return'!E575)</f>
        <v>276.3368757172077</v>
      </c>
      <c r="T576" s="14">
        <f>+T575*(1+'SImple Return'!F575)</f>
        <v>327.65560573335966</v>
      </c>
      <c r="U576" s="14">
        <f>+U575*(1+'SImple Return'!G575)</f>
        <v>250.46250024496814</v>
      </c>
      <c r="V576" s="14">
        <f>+V575*(1+'SImple Return'!H575)</f>
        <v>204.68499347369075</v>
      </c>
      <c r="W576" s="14">
        <f>+W575*(1+'SImple Return'!I575)</f>
        <v>385.6018984754362</v>
      </c>
      <c r="X576" s="14">
        <f>+X575*(1+'SImple Return'!J575)</f>
        <v>265.83392934492508</v>
      </c>
      <c r="Y576" s="14">
        <f>+Y575*(1+'SImple Return'!K575)</f>
        <v>231.96988829528891</v>
      </c>
      <c r="Z576" s="14">
        <f>+Z575*(1+'SImple Return'!L575)</f>
        <v>1951.4438763087408</v>
      </c>
      <c r="AA576" s="14">
        <f>+AA575*(1+'SImple Return'!M575)</f>
        <v>241.76098140087058</v>
      </c>
      <c r="AB576" s="14">
        <f>+AB575*(1+'SImple Return'!N575)</f>
        <v>322.74749450012217</v>
      </c>
    </row>
    <row r="577" spans="1:28">
      <c r="A577" s="8">
        <v>41649</v>
      </c>
      <c r="B577" s="10">
        <v>1655.11</v>
      </c>
      <c r="C577" s="10">
        <v>368.23</v>
      </c>
      <c r="D577" s="10">
        <v>175.58</v>
      </c>
      <c r="E577" s="11">
        <v>2789.92</v>
      </c>
      <c r="F577" s="11">
        <v>3380.56</v>
      </c>
      <c r="G577" s="11">
        <v>2516.4299999999998</v>
      </c>
      <c r="H577" s="14">
        <v>2076.41</v>
      </c>
      <c r="I577" s="14">
        <v>3885.96</v>
      </c>
      <c r="J577" s="14">
        <v>2608.2600000000002</v>
      </c>
      <c r="K577" s="14">
        <v>2371.5500000000002</v>
      </c>
      <c r="L577" s="14">
        <v>20353.38</v>
      </c>
      <c r="M577" s="14">
        <v>2468.98</v>
      </c>
      <c r="N577" s="14">
        <v>3318.8</v>
      </c>
      <c r="P577" s="14">
        <f>+P576*(1+'SImple Return'!B576)</f>
        <v>203.35295057193039</v>
      </c>
      <c r="Q577" s="14">
        <f>+Q576*(1+'SImple Return'!C576)</f>
        <v>171.73304729036482</v>
      </c>
      <c r="R577" s="14">
        <f>+R576*(1+'SImple Return'!D576)</f>
        <v>202.56114443931688</v>
      </c>
      <c r="S577" s="14">
        <f>+S576*(1+'SImple Return'!E576)</f>
        <v>278.39345407374117</v>
      </c>
      <c r="T577" s="14">
        <f>+T576*(1+'SImple Return'!F576)</f>
        <v>331.88297663459667</v>
      </c>
      <c r="U577" s="14">
        <f>+U576*(1+'SImple Return'!G576)</f>
        <v>246.57828208595424</v>
      </c>
      <c r="V577" s="14">
        <f>+V576*(1+'SImple Return'!H576)</f>
        <v>206.88998933870073</v>
      </c>
      <c r="W577" s="14">
        <f>+W576*(1+'SImple Return'!I576)</f>
        <v>387.46846676172311</v>
      </c>
      <c r="X577" s="14">
        <f>+X576*(1+'SImple Return'!J576)</f>
        <v>262.74138469442295</v>
      </c>
      <c r="Y577" s="14">
        <f>+Y576*(1+'SImple Return'!K576)</f>
        <v>230.35939776590573</v>
      </c>
      <c r="Z577" s="14">
        <f>+Z576*(1+'SImple Return'!L576)</f>
        <v>1982.3111760409054</v>
      </c>
      <c r="AA577" s="14">
        <f>+AA576*(1+'SImple Return'!M576)</f>
        <v>244.25999208547685</v>
      </c>
      <c r="AB577" s="14">
        <f>+AB576*(1+'SImple Return'!N576)</f>
        <v>324.49767782938153</v>
      </c>
    </row>
    <row r="578" spans="1:28">
      <c r="A578" s="8">
        <v>41656</v>
      </c>
      <c r="B578" s="10">
        <v>1657.32</v>
      </c>
      <c r="C578" s="10">
        <v>368.52</v>
      </c>
      <c r="D578" s="10">
        <v>176.1</v>
      </c>
      <c r="E578" s="11">
        <v>2826.91</v>
      </c>
      <c r="F578" s="11">
        <v>3392.73</v>
      </c>
      <c r="G578" s="11">
        <v>2517.6799999999998</v>
      </c>
      <c r="H578" s="14">
        <v>2078.1999999999998</v>
      </c>
      <c r="I578" s="14">
        <v>3861.17</v>
      </c>
      <c r="J578" s="14">
        <v>2632.01</v>
      </c>
      <c r="K578" s="14">
        <v>2389.3000000000002</v>
      </c>
      <c r="L578" s="14">
        <v>20727.310000000001</v>
      </c>
      <c r="M578" s="14">
        <v>2496.2800000000002</v>
      </c>
      <c r="N578" s="14">
        <v>3331.69</v>
      </c>
      <c r="P578" s="14">
        <f>+P577*(1+'SImple Return'!B577)</f>
        <v>203.62447936504023</v>
      </c>
      <c r="Q578" s="14">
        <f>+Q577*(1+'SImple Return'!C577)</f>
        <v>171.86829586792288</v>
      </c>
      <c r="R578" s="14">
        <f>+R577*(1+'SImple Return'!D577)</f>
        <v>203.16105214582356</v>
      </c>
      <c r="S578" s="14">
        <f>+S577*(1+'SImple Return'!E577)</f>
        <v>282.08451828568548</v>
      </c>
      <c r="T578" s="14">
        <f>+T577*(1+'SImple Return'!F577)</f>
        <v>333.07775377969784</v>
      </c>
      <c r="U578" s="14">
        <f>+U577*(1+'SImple Return'!G577)</f>
        <v>246.70076626099882</v>
      </c>
      <c r="V578" s="14">
        <f>+V577*(1+'SImple Return'!H577)</f>
        <v>207.06834191883485</v>
      </c>
      <c r="W578" s="14">
        <f>+W577*(1+'SImple Return'!I577)</f>
        <v>384.99665972021387</v>
      </c>
      <c r="X578" s="14">
        <f>+X577*(1+'SImple Return'!J577)</f>
        <v>265.13382558854107</v>
      </c>
      <c r="Y578" s="14">
        <f>+Y577*(1+'SImple Return'!K577)</f>
        <v>232.0835356969402</v>
      </c>
      <c r="Z578" s="14">
        <f>+Z577*(1+'SImple Return'!L577)</f>
        <v>2018.7299732164593</v>
      </c>
      <c r="AA578" s="14">
        <f>+AA577*(1+'SImple Return'!M577)</f>
        <v>246.96082311040763</v>
      </c>
      <c r="AB578" s="14">
        <f>+AB577*(1+'SImple Return'!N577)</f>
        <v>325.75800537765826</v>
      </c>
    </row>
    <row r="579" spans="1:28">
      <c r="A579" s="8">
        <v>41663</v>
      </c>
      <c r="B579" s="10">
        <v>1618.36</v>
      </c>
      <c r="C579" s="10">
        <v>370.78</v>
      </c>
      <c r="D579" s="10">
        <v>173.4</v>
      </c>
      <c r="E579" s="11">
        <v>2819.54</v>
      </c>
      <c r="F579" s="11">
        <v>3347.81</v>
      </c>
      <c r="G579" s="11">
        <v>2494.3000000000002</v>
      </c>
      <c r="H579" s="14">
        <v>2081</v>
      </c>
      <c r="I579" s="14">
        <v>3872.95</v>
      </c>
      <c r="J579" s="14">
        <v>2649.39</v>
      </c>
      <c r="K579" s="14">
        <v>2377.46</v>
      </c>
      <c r="L579" s="14">
        <v>20186.98</v>
      </c>
      <c r="M579" s="14">
        <v>2474.87</v>
      </c>
      <c r="N579" s="14">
        <v>3286.13</v>
      </c>
      <c r="P579" s="14">
        <f>+P578*(1+'SImple Return'!B578)</f>
        <v>198.83770932904116</v>
      </c>
      <c r="Q579" s="14">
        <f>+Q578*(1+'SImple Return'!C578)</f>
        <v>172.92230202406503</v>
      </c>
      <c r="R579" s="14">
        <f>+R578*(1+'SImple Return'!D578)</f>
        <v>200.04614674665422</v>
      </c>
      <c r="S579" s="14">
        <f>+S578*(1+'SImple Return'!E578)</f>
        <v>281.34909943621187</v>
      </c>
      <c r="T579" s="14">
        <f>+T578*(1+'SImple Return'!F578)</f>
        <v>328.66777930492856</v>
      </c>
      <c r="U579" s="14">
        <f>+U578*(1+'SImple Return'!G578)</f>
        <v>244.40982225096496</v>
      </c>
      <c r="V579" s="14">
        <f>+V578*(1+'SImple Return'!H578)</f>
        <v>207.34732919502233</v>
      </c>
      <c r="W579" s="14">
        <f>+W578*(1+'SImple Return'!I578)</f>
        <v>386.17124168669136</v>
      </c>
      <c r="X579" s="14">
        <f>+X578*(1+'SImple Return'!J578)</f>
        <v>266.8845886512683</v>
      </c>
      <c r="Y579" s="14">
        <f>+Y578*(1+'SImple Return'!K578)</f>
        <v>230.93346284604172</v>
      </c>
      <c r="Z579" s="14">
        <f>+Z578*(1+'SImple Return'!L578)</f>
        <v>1966.104699293888</v>
      </c>
      <c r="AA579" s="14">
        <f>+AA578*(1+'SImple Return'!M578)</f>
        <v>244.84269885239414</v>
      </c>
      <c r="AB579" s="14">
        <f>+AB578*(1+'SImple Return'!N578)</f>
        <v>321.30334881447078</v>
      </c>
    </row>
    <row r="580" spans="1:28">
      <c r="A580" s="8">
        <v>41670</v>
      </c>
      <c r="B580" s="10">
        <v>1598.46</v>
      </c>
      <c r="C580" s="10">
        <v>371.5</v>
      </c>
      <c r="D580" s="10">
        <v>172.52</v>
      </c>
      <c r="E580" s="11">
        <v>2796.21</v>
      </c>
      <c r="F580" s="11">
        <v>3389.68</v>
      </c>
      <c r="G580" s="11">
        <v>2460.27</v>
      </c>
      <c r="H580" s="14">
        <v>2098.66</v>
      </c>
      <c r="I580" s="14">
        <v>3850.75</v>
      </c>
      <c r="J580" s="14">
        <v>2677.39</v>
      </c>
      <c r="K580" s="14">
        <v>2336.16</v>
      </c>
      <c r="L580" s="14">
        <v>20265.419999999998</v>
      </c>
      <c r="M580" s="14">
        <v>2460.92</v>
      </c>
      <c r="N580" s="14">
        <v>3294.66</v>
      </c>
      <c r="P580" s="14">
        <f>+P579*(1+'SImple Return'!B579)</f>
        <v>196.39272155398007</v>
      </c>
      <c r="Q580" s="14">
        <f>+Q579*(1+'SImple Return'!C579)</f>
        <v>173.25809159593334</v>
      </c>
      <c r="R580" s="14">
        <f>+R579*(1+'SImple Return'!D579)</f>
        <v>199.03091832025828</v>
      </c>
      <c r="S580" s="14">
        <f>+S579*(1+'SImple Return'!E579)</f>
        <v>279.02110462505584</v>
      </c>
      <c r="T580" s="14">
        <f>+T579*(1+'SImple Return'!F579)</f>
        <v>332.77832318869059</v>
      </c>
      <c r="U580" s="14">
        <f>+U579*(1+'SImple Return'!G579)</f>
        <v>241.07531306955119</v>
      </c>
      <c r="V580" s="14">
        <f>+V579*(1+'SImple Return'!H579)</f>
        <v>209.10694180126166</v>
      </c>
      <c r="W580" s="14">
        <f>+W579*(1+'SImple Return'!I579)</f>
        <v>383.95768314205628</v>
      </c>
      <c r="X580" s="14">
        <f>+X579*(1+'SImple Return'!J579)</f>
        <v>269.70515054749183</v>
      </c>
      <c r="Y580" s="14">
        <f>+Y579*(1+'SImple Return'!K579)</f>
        <v>226.92180670228259</v>
      </c>
      <c r="Z580" s="14">
        <f>+Z579*(1+'SImple Return'!L579)</f>
        <v>1973.7443389335274</v>
      </c>
      <c r="AA580" s="14">
        <f>+AA579*(1+'SImple Return'!M579)</f>
        <v>243.46260387811634</v>
      </c>
      <c r="AB580" s="14">
        <f>+AB579*(1+'SImple Return'!N579)</f>
        <v>322.13737472500605</v>
      </c>
    </row>
    <row r="581" spans="1:28">
      <c r="A581" s="8">
        <v>41677</v>
      </c>
      <c r="B581" s="10">
        <v>1611.78</v>
      </c>
      <c r="C581" s="10">
        <v>372.21</v>
      </c>
      <c r="D581" s="10">
        <v>173.43</v>
      </c>
      <c r="E581" s="11">
        <v>2845.65</v>
      </c>
      <c r="F581" s="11">
        <v>3392.18</v>
      </c>
      <c r="G581" s="11">
        <v>2449.1</v>
      </c>
      <c r="H581" s="14">
        <v>2100.09</v>
      </c>
      <c r="I581" s="14">
        <v>3883.9</v>
      </c>
      <c r="J581" s="14">
        <v>2690.43</v>
      </c>
      <c r="K581" s="14">
        <v>2321.77</v>
      </c>
      <c r="L581" s="14">
        <v>20493.310000000001</v>
      </c>
      <c r="M581" s="14">
        <v>2504.9699999999998</v>
      </c>
      <c r="N581" s="14">
        <v>3300.85</v>
      </c>
      <c r="P581" s="14">
        <f>+P580*(1+'SImple Return'!B580)</f>
        <v>198.02926613507626</v>
      </c>
      <c r="Q581" s="14">
        <f>+Q580*(1+'SImple Return'!C580)</f>
        <v>173.5892174237479</v>
      </c>
      <c r="R581" s="14">
        <f>+R580*(1+'SImple Return'!D580)</f>
        <v>200.08075680664498</v>
      </c>
      <c r="S581" s="14">
        <f>+S580*(1+'SImple Return'!E580)</f>
        <v>283.95449782966597</v>
      </c>
      <c r="T581" s="14">
        <f>+T580*(1+'SImple Return'!F580)</f>
        <v>333.02375809935234</v>
      </c>
      <c r="U581" s="14">
        <f>+U580*(1+'SImple Return'!G580)</f>
        <v>239.98079448135277</v>
      </c>
      <c r="V581" s="14">
        <f>+V580*(1+'SImple Return'!H580)</f>
        <v>209.24942458874312</v>
      </c>
      <c r="W581" s="14">
        <f>+W580*(1+'SImple Return'!I580)</f>
        <v>387.26306448235601</v>
      </c>
      <c r="X581" s="14">
        <f>+X580*(1+'SImple Return'!J580)</f>
        <v>271.01872651630447</v>
      </c>
      <c r="Y581" s="14">
        <f>+Y580*(1+'SImple Return'!K580)</f>
        <v>225.5240407965031</v>
      </c>
      <c r="Z581" s="14">
        <f>+Z580*(1+'SImple Return'!L580)</f>
        <v>1995.939615290966</v>
      </c>
      <c r="AA581" s="14">
        <f>+AA580*(1+'SImple Return'!M580)</f>
        <v>247.82053818757416</v>
      </c>
      <c r="AB581" s="14">
        <f>+AB580*(1+'SImple Return'!N580)</f>
        <v>322.74260571987287</v>
      </c>
    </row>
    <row r="582" spans="1:28">
      <c r="A582" s="8">
        <v>41684</v>
      </c>
      <c r="B582" s="10">
        <v>1650.12</v>
      </c>
      <c r="C582" s="10">
        <v>372.32</v>
      </c>
      <c r="D582" s="10">
        <v>176.18</v>
      </c>
      <c r="E582" s="11">
        <v>2932.82</v>
      </c>
      <c r="F582" s="11">
        <v>3474.62</v>
      </c>
      <c r="G582" s="11">
        <v>2499.12</v>
      </c>
      <c r="H582" s="14">
        <v>2180.4</v>
      </c>
      <c r="I582" s="14">
        <v>3941.66</v>
      </c>
      <c r="J582" s="14">
        <v>2783.34</v>
      </c>
      <c r="K582" s="14">
        <v>2353.5300000000002</v>
      </c>
      <c r="L582" s="14">
        <v>21148.25</v>
      </c>
      <c r="M582" s="14">
        <v>2569.06</v>
      </c>
      <c r="N582" s="14">
        <v>3357.95</v>
      </c>
      <c r="P582" s="14">
        <f>+P581*(1+'SImple Return'!B581)</f>
        <v>202.73986067255581</v>
      </c>
      <c r="Q582" s="14">
        <f>+Q581*(1+'SImple Return'!C581)</f>
        <v>173.64051860833888</v>
      </c>
      <c r="R582" s="14">
        <f>+R581*(1+'SImple Return'!D581)</f>
        <v>203.25334563913228</v>
      </c>
      <c r="S582" s="14">
        <f>+S581*(1+'SImple Return'!E581)</f>
        <v>292.65279648755154</v>
      </c>
      <c r="T582" s="14">
        <f>+T581*(1+'SImple Return'!F581)</f>
        <v>341.1172197133323</v>
      </c>
      <c r="U582" s="14">
        <f>+U581*(1+'SImple Return'!G581)</f>
        <v>244.88212122993687</v>
      </c>
      <c r="V582" s="14">
        <f>+V581*(1+'SImple Return'!H581)</f>
        <v>217.25137749967647</v>
      </c>
      <c r="W582" s="14">
        <f>+W581*(1+'SImple Return'!I581)</f>
        <v>393.0223050921814</v>
      </c>
      <c r="X582" s="14">
        <f>+X581*(1+'SImple Return'!J581)</f>
        <v>280.37795529409465</v>
      </c>
      <c r="Y582" s="14">
        <f>+Y581*(1+'SImple Return'!K581)</f>
        <v>228.60903351141329</v>
      </c>
      <c r="Z582" s="14">
        <f>+Z581*(1+'SImple Return'!L581)</f>
        <v>2059.7272948624291</v>
      </c>
      <c r="AA582" s="14">
        <f>+AA581*(1+'SImple Return'!M581)</f>
        <v>254.16106054610208</v>
      </c>
      <c r="AB582" s="14">
        <f>+AB581*(1+'SImple Return'!N581)</f>
        <v>328.32559276460518</v>
      </c>
    </row>
    <row r="583" spans="1:28">
      <c r="A583" s="8">
        <v>41691</v>
      </c>
      <c r="B583" s="10">
        <v>1659.85</v>
      </c>
      <c r="C583" s="10">
        <v>372.35</v>
      </c>
      <c r="D583" s="10">
        <v>177.88</v>
      </c>
      <c r="E583" s="11">
        <v>2970.2</v>
      </c>
      <c r="F583" s="11">
        <v>3477.73</v>
      </c>
      <c r="G583" s="11">
        <v>2524.46</v>
      </c>
      <c r="H583" s="14">
        <v>2200.9299999999998</v>
      </c>
      <c r="I583" s="14">
        <v>3939.19</v>
      </c>
      <c r="J583" s="14">
        <v>2831.59</v>
      </c>
      <c r="K583" s="14">
        <v>2326.52</v>
      </c>
      <c r="L583" s="14">
        <v>21255.26</v>
      </c>
      <c r="M583" s="14">
        <v>2590.9699999999998</v>
      </c>
      <c r="N583" s="14">
        <v>3366.22</v>
      </c>
      <c r="P583" s="14">
        <f>+P582*(1+'SImple Return'!B582)</f>
        <v>203.93532454448268</v>
      </c>
      <c r="Q583" s="14">
        <f>+Q582*(1+'SImple Return'!C582)</f>
        <v>173.65450984050008</v>
      </c>
      <c r="R583" s="14">
        <f>+R582*(1+'SImple Return'!D582)</f>
        <v>205.21458237194261</v>
      </c>
      <c r="S583" s="14">
        <f>+S582*(1+'SImple Return'!E582)</f>
        <v>296.38277702938655</v>
      </c>
      <c r="T583" s="14">
        <f>+T582*(1+'SImple Return'!F582)</f>
        <v>341.42254074219545</v>
      </c>
      <c r="U583" s="14">
        <f>+U582*(1+'SImple Return'!G582)</f>
        <v>247.36512042644071</v>
      </c>
      <c r="V583" s="14">
        <f>+V582*(1+'SImple Return'!H582)</f>
        <v>219.29695206400791</v>
      </c>
      <c r="W583" s="14">
        <f>+W582*(1+'SImple Return'!I582)</f>
        <v>392.7760217766297</v>
      </c>
      <c r="X583" s="14">
        <f>+X582*(1+'SImple Return'!J582)</f>
        <v>285.23838784740832</v>
      </c>
      <c r="Y583" s="14">
        <f>+Y582*(1+'SImple Return'!K582)</f>
        <v>225.98542982030108</v>
      </c>
      <c r="Z583" s="14">
        <f>+Z582*(1+'SImple Return'!L582)</f>
        <v>2070.1495008522024</v>
      </c>
      <c r="AA583" s="14">
        <f>+AA582*(1+'SImple Return'!M582)</f>
        <v>256.32865057380292</v>
      </c>
      <c r="AB583" s="14">
        <f>+AB582*(1+'SImple Return'!N582)</f>
        <v>329.13419701784397</v>
      </c>
    </row>
    <row r="584" spans="1:28">
      <c r="A584" s="8">
        <v>41698</v>
      </c>
      <c r="B584" s="10">
        <v>1675.4</v>
      </c>
      <c r="C584" s="10">
        <v>374.58</v>
      </c>
      <c r="D584" s="10">
        <v>178.11</v>
      </c>
      <c r="E584" s="11">
        <v>3020.52</v>
      </c>
      <c r="F584" s="11">
        <v>3456</v>
      </c>
      <c r="G584" s="11">
        <v>2594.15</v>
      </c>
      <c r="H584" s="14">
        <v>2209.63</v>
      </c>
      <c r="I584" s="14">
        <v>4063.95</v>
      </c>
      <c r="J584" s="14">
        <v>2875.85</v>
      </c>
      <c r="K584" s="14">
        <v>2368.3200000000002</v>
      </c>
      <c r="L584" s="14">
        <v>21149.119999999999</v>
      </c>
      <c r="M584" s="14">
        <v>2635.57</v>
      </c>
      <c r="N584" s="14">
        <v>3370.56</v>
      </c>
      <c r="P584" s="14">
        <f>+P583*(1+'SImple Return'!B583)</f>
        <v>205.84585519283448</v>
      </c>
      <c r="Q584" s="14">
        <f>+Q583*(1+'SImple Return'!C583)</f>
        <v>174.69452476448103</v>
      </c>
      <c r="R584" s="14">
        <f>+R583*(1+'SImple Return'!D583)</f>
        <v>205.47992616520523</v>
      </c>
      <c r="S584" s="14">
        <f>+S583*(1+'SImple Return'!E583)</f>
        <v>301.40398143990393</v>
      </c>
      <c r="T584" s="14">
        <f>+T583*(1+'SImple Return'!F583)</f>
        <v>339.28922049872398</v>
      </c>
      <c r="U584" s="14">
        <f>+U583*(1+'SImple Return'!G583)</f>
        <v>254.19385815352635</v>
      </c>
      <c r="V584" s="14">
        <f>+V583*(1+'SImple Return'!H583)</f>
        <v>220.16380538644748</v>
      </c>
      <c r="W584" s="14">
        <f>+W583*(1+'SImple Return'!I583)</f>
        <v>405.21582195810157</v>
      </c>
      <c r="X584" s="14">
        <f>+X583*(1+'SImple Return'!J583)</f>
        <v>289.69689033051014</v>
      </c>
      <c r="Y584" s="14">
        <f>+Y583*(1+'SImple Return'!K583)</f>
        <v>230.04565322972317</v>
      </c>
      <c r="Z584" s="14">
        <f>+Z583*(1+'SImple Return'!L583)</f>
        <v>2059.8120282444597</v>
      </c>
      <c r="AA584" s="14">
        <f>+AA583*(1+'SImple Return'!M583)</f>
        <v>260.7409972299169</v>
      </c>
      <c r="AB584" s="14">
        <f>+AB583*(1+'SImple Return'!N583)</f>
        <v>329.55854314348562</v>
      </c>
    </row>
    <row r="585" spans="1:28">
      <c r="A585" s="8">
        <v>41705</v>
      </c>
      <c r="B585" s="10">
        <v>1681.17</v>
      </c>
      <c r="C585" s="10">
        <v>372.43</v>
      </c>
      <c r="D585" s="10">
        <v>179.01</v>
      </c>
      <c r="E585" s="11">
        <v>3020.63</v>
      </c>
      <c r="F585" s="11">
        <v>3460.3</v>
      </c>
      <c r="G585" s="11">
        <v>2618.66</v>
      </c>
      <c r="H585" s="14">
        <v>2183.73</v>
      </c>
      <c r="I585" s="14">
        <v>4148.29</v>
      </c>
      <c r="J585" s="14">
        <v>2861.08</v>
      </c>
      <c r="K585" s="14">
        <v>2373.5100000000002</v>
      </c>
      <c r="L585" s="14">
        <v>21029.439999999999</v>
      </c>
      <c r="M585" s="14">
        <v>2667.14</v>
      </c>
      <c r="N585" s="14">
        <v>3395.86</v>
      </c>
      <c r="P585" s="14">
        <f>+P584*(1+'SImple Return'!B584)</f>
        <v>206.55477878389493</v>
      </c>
      <c r="Q585" s="14">
        <f>+Q584*(1+'SImple Return'!C584)</f>
        <v>173.69181979292989</v>
      </c>
      <c r="R585" s="14">
        <f>+R584*(1+'SImple Return'!D584)</f>
        <v>206.51822796492831</v>
      </c>
      <c r="S585" s="14">
        <f>+S584*(1+'SImple Return'!E584)</f>
        <v>301.41495784064233</v>
      </c>
      <c r="T585" s="14">
        <f>+T584*(1+'SImple Return'!F584)</f>
        <v>339.7113685450621</v>
      </c>
      <c r="U585" s="14">
        <f>+U584*(1+'SImple Return'!G584)</f>
        <v>256.59552785780056</v>
      </c>
      <c r="V585" s="14">
        <f>+V584*(1+'SImple Return'!H584)</f>
        <v>217.58317308171365</v>
      </c>
      <c r="W585" s="14">
        <f>+W584*(1+'SImple Return'!I584)</f>
        <v>413.62535023082791</v>
      </c>
      <c r="X585" s="14">
        <f>+X584*(1+'SImple Return'!J584)</f>
        <v>288.20904393025228</v>
      </c>
      <c r="Y585" s="14">
        <f>+Y584*(1+'SImple Return'!K584)</f>
        <v>230.54978144730453</v>
      </c>
      <c r="Z585" s="14">
        <f>+Z584*(1+'SImple Return'!L584)</f>
        <v>2048.155831507182</v>
      </c>
      <c r="AA585" s="14">
        <f>+AA584*(1+'SImple Return'!M584)</f>
        <v>263.86426592797778</v>
      </c>
      <c r="AB585" s="14">
        <f>+AB584*(1+'SImple Return'!N584)</f>
        <v>332.03226594964548</v>
      </c>
    </row>
    <row r="586" spans="1:28">
      <c r="A586" s="8">
        <v>41712</v>
      </c>
      <c r="B586" s="10">
        <v>1641.13</v>
      </c>
      <c r="C586" s="10">
        <v>375.15</v>
      </c>
      <c r="D586" s="10">
        <v>175.5</v>
      </c>
      <c r="E586" s="11">
        <v>2987.71</v>
      </c>
      <c r="F586" s="11">
        <v>3474.35</v>
      </c>
      <c r="G586" s="11">
        <v>2565.77</v>
      </c>
      <c r="H586" s="14">
        <v>2200.2199999999998</v>
      </c>
      <c r="I586" s="14">
        <v>4123.09</v>
      </c>
      <c r="J586" s="14">
        <v>2869.85</v>
      </c>
      <c r="K586" s="14">
        <v>2293.75</v>
      </c>
      <c r="L586" s="14">
        <v>20944.43</v>
      </c>
      <c r="M586" s="14">
        <v>2593.83</v>
      </c>
      <c r="N586" s="14">
        <v>3385.04</v>
      </c>
      <c r="P586" s="14">
        <f>+P585*(1+'SImple Return'!B585)</f>
        <v>201.6353159440232</v>
      </c>
      <c r="Q586" s="14">
        <f>+Q585*(1+'SImple Return'!C585)</f>
        <v>174.96035817554346</v>
      </c>
      <c r="R586" s="14">
        <f>+R585*(1+'SImple Return'!D585)</f>
        <v>202.46885094600816</v>
      </c>
      <c r="S586" s="14">
        <f>+S585*(1+'SImple Return'!E585)</f>
        <v>298.13002045601928</v>
      </c>
      <c r="T586" s="14">
        <f>+T585*(1+'SImple Return'!F585)</f>
        <v>341.09071274298083</v>
      </c>
      <c r="U586" s="14">
        <f>+U585*(1+'SImple Return'!G585)</f>
        <v>251.41297744331413</v>
      </c>
      <c r="V586" s="14">
        <f>+V585*(1+'SImple Return'!H585)</f>
        <v>219.22620886183182</v>
      </c>
      <c r="W586" s="14">
        <f>+W585*(1+'SImple Return'!I585)</f>
        <v>411.11266215313401</v>
      </c>
      <c r="X586" s="14">
        <f>+X585*(1+'SImple Return'!J585)</f>
        <v>289.09248420989087</v>
      </c>
      <c r="Y586" s="14">
        <f>+Y585*(1+'SImple Return'!K585)</f>
        <v>222.8023312287518</v>
      </c>
      <c r="Z586" s="14">
        <f>+Z585*(1+'SImple Return'!L585)</f>
        <v>2039.8763087411728</v>
      </c>
      <c r="AA586" s="14">
        <f>+AA585*(1+'SImple Return'!M585)</f>
        <v>256.61159477641468</v>
      </c>
      <c r="AB586" s="14">
        <f>+AB585*(1+'SImple Return'!N585)</f>
        <v>330.97433390369093</v>
      </c>
    </row>
    <row r="587" spans="1:28">
      <c r="A587" s="8">
        <v>41719</v>
      </c>
      <c r="B587" s="10">
        <v>1653.38</v>
      </c>
      <c r="C587" s="10">
        <v>373.17</v>
      </c>
      <c r="D587" s="10">
        <v>173.98</v>
      </c>
      <c r="E587" s="11">
        <v>3017.9</v>
      </c>
      <c r="F587" s="11">
        <v>3459.79</v>
      </c>
      <c r="G587" s="11">
        <v>2553.66</v>
      </c>
      <c r="H587" s="14">
        <v>2183.89</v>
      </c>
      <c r="I587" s="14">
        <v>4161.1899999999996</v>
      </c>
      <c r="J587" s="14">
        <v>2877.95</v>
      </c>
      <c r="K587" s="14">
        <v>2235.09</v>
      </c>
      <c r="L587" s="14">
        <v>21104.16</v>
      </c>
      <c r="M587" s="14">
        <v>2630.48</v>
      </c>
      <c r="N587" s="14">
        <v>3377.93</v>
      </c>
      <c r="P587" s="14">
        <f>+P586*(1+'SImple Return'!B586)</f>
        <v>203.14039635831961</v>
      </c>
      <c r="Q587" s="14">
        <f>+Q586*(1+'SImple Return'!C586)</f>
        <v>174.03693685290565</v>
      </c>
      <c r="R587" s="14">
        <f>+R586*(1+'SImple Return'!D586)</f>
        <v>200.71527457314244</v>
      </c>
      <c r="S587" s="14">
        <f>+S586*(1+'SImple Return'!E586)</f>
        <v>301.14254353140723</v>
      </c>
      <c r="T587" s="14">
        <f>+T586*(1+'SImple Return'!F586)</f>
        <v>339.6612998232871</v>
      </c>
      <c r="U587" s="14">
        <f>+U586*(1+'SImple Return'!G586)</f>
        <v>250.2263507554822</v>
      </c>
      <c r="V587" s="14">
        <f>+V586*(1+'SImple Return'!H586)</f>
        <v>217.59911521178151</v>
      </c>
      <c r="W587" s="14">
        <f>+W586*(1+'SImple Return'!I586)</f>
        <v>414.91160722298065</v>
      </c>
      <c r="X587" s="14">
        <f>+X586*(1+'SImple Return'!J586)</f>
        <v>289.90843247272693</v>
      </c>
      <c r="Y587" s="14">
        <f>+Y586*(1+'SImple Return'!K586)</f>
        <v>217.10441962117534</v>
      </c>
      <c r="Z587" s="14">
        <f>+Z586*(1+'SImple Return'!L586)</f>
        <v>2055.4331628926216</v>
      </c>
      <c r="AA587" s="14">
        <f>+AA586*(1+'SImple Return'!M586)</f>
        <v>260.23743569449937</v>
      </c>
      <c r="AB587" s="14">
        <f>+AB586*(1+'SImple Return'!N586)</f>
        <v>330.27914935223652</v>
      </c>
    </row>
    <row r="588" spans="1:28">
      <c r="A588" s="8">
        <v>41726</v>
      </c>
      <c r="B588" s="10">
        <v>1661.84</v>
      </c>
      <c r="C588" s="10">
        <v>373.95</v>
      </c>
      <c r="D588" s="10">
        <v>176.2</v>
      </c>
      <c r="E588" s="11">
        <v>3053.99</v>
      </c>
      <c r="F588" s="11">
        <v>3482.06</v>
      </c>
      <c r="G588" s="11">
        <v>2616.5500000000002</v>
      </c>
      <c r="H588" s="14">
        <v>2193.89</v>
      </c>
      <c r="I588" s="14">
        <v>4216.4799999999996</v>
      </c>
      <c r="J588" s="14">
        <v>2872.62</v>
      </c>
      <c r="K588" s="14">
        <v>2288.81</v>
      </c>
      <c r="L588" s="14">
        <v>21336.51</v>
      </c>
      <c r="M588" s="14">
        <v>2680.79</v>
      </c>
      <c r="N588" s="14">
        <v>3423.07</v>
      </c>
      <c r="P588" s="14">
        <f>+P587*(1+'SImple Return'!B587)</f>
        <v>204.17982332198878</v>
      </c>
      <c r="Q588" s="14">
        <f>+Q587*(1+'SImple Return'!C587)</f>
        <v>174.40070888909631</v>
      </c>
      <c r="R588" s="14">
        <f>+R587*(1+'SImple Return'!D587)</f>
        <v>203.27641901245948</v>
      </c>
      <c r="S588" s="14">
        <f>+S587*(1+'SImple Return'!E587)</f>
        <v>304.74380082821904</v>
      </c>
      <c r="T588" s="14">
        <f>+T587*(1+'SImple Return'!F587)</f>
        <v>341.84763400746147</v>
      </c>
      <c r="U588" s="14">
        <f>+U587*(1+'SImple Return'!G587)</f>
        <v>256.38877457032538</v>
      </c>
      <c r="V588" s="14">
        <f>+V587*(1+'SImple Return'!H587)</f>
        <v>218.59549834102239</v>
      </c>
      <c r="W588" s="14">
        <f>+W587*(1+'SImple Return'!I587)</f>
        <v>420.42456451725434</v>
      </c>
      <c r="X588" s="14">
        <f>+X587*(1+'SImple Return'!J587)</f>
        <v>289.37151836891007</v>
      </c>
      <c r="Y588" s="14">
        <f>+Y587*(1+'SImple Return'!K587)</f>
        <v>222.32248664400194</v>
      </c>
      <c r="Z588" s="14">
        <f>+Z587*(1+'SImple Return'!L587)</f>
        <v>2078.062819576332</v>
      </c>
      <c r="AA588" s="14">
        <f>+AA587*(1+'SImple Return'!M587)</f>
        <v>265.2146814404432</v>
      </c>
      <c r="AB588" s="14">
        <f>+AB587*(1+'SImple Return'!N587)</f>
        <v>334.69274016132965</v>
      </c>
    </row>
    <row r="589" spans="1:28">
      <c r="A589" s="8">
        <v>41733</v>
      </c>
      <c r="B589" s="10">
        <v>1676.25</v>
      </c>
      <c r="C589" s="10">
        <v>373.99</v>
      </c>
      <c r="D589" s="10">
        <v>180.26</v>
      </c>
      <c r="E589" s="11">
        <v>3045.36</v>
      </c>
      <c r="F589" s="11">
        <v>3528.27</v>
      </c>
      <c r="G589" s="11">
        <v>2634.63</v>
      </c>
      <c r="H589" s="14">
        <v>2209.6</v>
      </c>
      <c r="I589" s="14">
        <v>4262.75</v>
      </c>
      <c r="J589" s="14">
        <v>2890.75</v>
      </c>
      <c r="K589" s="14">
        <v>2276.91</v>
      </c>
      <c r="L589" s="14">
        <v>21029.38</v>
      </c>
      <c r="M589" s="14">
        <v>2731.22</v>
      </c>
      <c r="N589" s="14">
        <v>3472.25</v>
      </c>
      <c r="P589" s="14">
        <f>+P588*(1+'SImple Return'!B588)</f>
        <v>205.95028934403052</v>
      </c>
      <c r="Q589" s="14">
        <f>+Q588*(1+'SImple Return'!C588)</f>
        <v>174.41936386531123</v>
      </c>
      <c r="R589" s="14">
        <f>+R588*(1+'SImple Return'!D588)</f>
        <v>207.96031379787709</v>
      </c>
      <c r="S589" s="14">
        <f>+S588*(1+'SImple Return'!E588)</f>
        <v>303.88265229756001</v>
      </c>
      <c r="T589" s="14">
        <f>+T588*(1+'SImple Return'!F588)</f>
        <v>346.38425289613224</v>
      </c>
      <c r="U589" s="14">
        <f>+U588*(1+'SImple Return'!G588)</f>
        <v>258.16038567817026</v>
      </c>
      <c r="V589" s="14">
        <f>+V588*(1+'SImple Return'!H588)</f>
        <v>220.16081623705978</v>
      </c>
      <c r="W589" s="14">
        <f>+W588*(1+'SImple Return'!I588)</f>
        <v>425.03813901546459</v>
      </c>
      <c r="X589" s="14">
        <f>+X588*(1+'SImple Return'!J588)</f>
        <v>291.19783219671478</v>
      </c>
      <c r="Y589" s="14">
        <f>+Y588*(1+'SImple Return'!K588)</f>
        <v>221.16658572122387</v>
      </c>
      <c r="Z589" s="14">
        <f>+Z588*(1+'SImple Return'!L588)</f>
        <v>2048.1499878256627</v>
      </c>
      <c r="AA589" s="14">
        <f>+AA588*(1+'SImple Return'!M588)</f>
        <v>270.20379897111195</v>
      </c>
      <c r="AB589" s="14">
        <f>+AB588*(1+'SImple Return'!N588)</f>
        <v>339.50134441456845</v>
      </c>
    </row>
    <row r="590" spans="1:28">
      <c r="A590" s="8">
        <v>41740</v>
      </c>
      <c r="B590" s="10">
        <v>1638.43</v>
      </c>
      <c r="C590" s="10">
        <v>377.45</v>
      </c>
      <c r="D590" s="10">
        <v>178.65</v>
      </c>
      <c r="E590" s="11">
        <v>3016.18</v>
      </c>
      <c r="F590" s="11">
        <v>3521.5</v>
      </c>
      <c r="G590" s="11">
        <v>2658.14</v>
      </c>
      <c r="H590" s="14">
        <v>2213.64</v>
      </c>
      <c r="I590" s="14">
        <v>4206.32</v>
      </c>
      <c r="J590" s="14">
        <v>2813.63</v>
      </c>
      <c r="K590" s="14">
        <v>2360.0700000000002</v>
      </c>
      <c r="L590" s="14">
        <v>20861.23</v>
      </c>
      <c r="M590" s="14">
        <v>2681.18</v>
      </c>
      <c r="N590" s="14">
        <v>3476.43</v>
      </c>
      <c r="P590" s="14">
        <f>+P589*(1+'SImple Return'!B589)</f>
        <v>201.3035839343415</v>
      </c>
      <c r="Q590" s="14">
        <f>+Q589*(1+'SImple Return'!C589)</f>
        <v>176.03301930790053</v>
      </c>
      <c r="R590" s="14">
        <f>+R589*(1+'SImple Return'!D589)</f>
        <v>206.10290724503906</v>
      </c>
      <c r="S590" s="14">
        <f>+S589*(1+'SImple Return'!E589)</f>
        <v>300.97091253804291</v>
      </c>
      <c r="T590" s="14">
        <f>+T589*(1+'SImple Return'!F589)</f>
        <v>345.71961515806038</v>
      </c>
      <c r="U590" s="14">
        <f>+U589*(1+'SImple Return'!G589)</f>
        <v>260.46406804240877</v>
      </c>
      <c r="V590" s="14">
        <f>+V589*(1+'SImple Return'!H589)</f>
        <v>220.56335502127308</v>
      </c>
      <c r="W590" s="14">
        <f>+W589*(1+'SImple Return'!I589)</f>
        <v>419.41151249862855</v>
      </c>
      <c r="X590" s="14">
        <f>+X589*(1+'SImple Return'!J589)</f>
        <v>283.42919885968786</v>
      </c>
      <c r="Y590" s="14">
        <f>+Y589*(1+'SImple Return'!K589)</f>
        <v>229.24429334628462</v>
      </c>
      <c r="Z590" s="14">
        <f>+Z589*(1+'SImple Return'!L589)</f>
        <v>2031.7730703676639</v>
      </c>
      <c r="AA590" s="14">
        <f>+AA589*(1+'SImple Return'!M589)</f>
        <v>265.25326474079935</v>
      </c>
      <c r="AB590" s="14">
        <f>+AB589*(1+'SImple Return'!N589)</f>
        <v>339.91004644341223</v>
      </c>
    </row>
    <row r="591" spans="1:28">
      <c r="A591" s="8">
        <v>41747</v>
      </c>
      <c r="B591" s="10">
        <v>1670.6</v>
      </c>
      <c r="C591" s="10">
        <v>375.98</v>
      </c>
      <c r="D591" s="10">
        <v>181.52</v>
      </c>
      <c r="E591" s="11">
        <v>3035.59</v>
      </c>
      <c r="F591" s="11">
        <v>3591.1</v>
      </c>
      <c r="G591" s="11">
        <v>2663.87</v>
      </c>
      <c r="H591" s="14">
        <v>2248.16</v>
      </c>
      <c r="I591" s="14">
        <v>4192.42</v>
      </c>
      <c r="J591" s="14">
        <v>2867.93</v>
      </c>
      <c r="K591" s="14">
        <v>2328.54</v>
      </c>
      <c r="L591" s="14">
        <v>21132.46</v>
      </c>
      <c r="M591" s="14">
        <v>2671.43</v>
      </c>
      <c r="N591" s="14">
        <v>3537.67</v>
      </c>
      <c r="P591" s="14">
        <f>+P590*(1+'SImple Return'!B590)</f>
        <v>205.25610939784482</v>
      </c>
      <c r="Q591" s="14">
        <f>+Q590*(1+'SImple Return'!C590)</f>
        <v>175.34744893200278</v>
      </c>
      <c r="R591" s="14">
        <f>+R590*(1+'SImple Return'!D590)</f>
        <v>209.41393631748949</v>
      </c>
      <c r="S591" s="14">
        <f>+S590*(1+'SImple Return'!E590)</f>
        <v>302.90774834106645</v>
      </c>
      <c r="T591" s="14">
        <f>+T590*(1+'SImple Return'!F590)</f>
        <v>352.55252307088193</v>
      </c>
      <c r="U591" s="14">
        <f>+U590*(1+'SImple Return'!G590)</f>
        <v>261.02553550081313</v>
      </c>
      <c r="V591" s="14">
        <f>+V590*(1+'SImple Return'!H590)</f>
        <v>224.00286958341249</v>
      </c>
      <c r="W591" s="14">
        <f>+W590*(1+'SImple Return'!I590)</f>
        <v>418.02554566212279</v>
      </c>
      <c r="X591" s="14">
        <f>+X590*(1+'SImple Return'!J590)</f>
        <v>288.89907425129263</v>
      </c>
      <c r="Y591" s="14">
        <f>+Y590*(1+'SImple Return'!K590)</f>
        <v>226.18164157357941</v>
      </c>
      <c r="Z591" s="14">
        <f>+Z590*(1+'SImple Return'!L590)</f>
        <v>2058.1894326759179</v>
      </c>
      <c r="AA591" s="14">
        <f>+AA590*(1+'SImple Return'!M590)</f>
        <v>264.28868223189551</v>
      </c>
      <c r="AB591" s="14">
        <f>+AB590*(1+'SImple Return'!N590)</f>
        <v>345.89782449278897</v>
      </c>
    </row>
    <row r="592" spans="1:28">
      <c r="A592" s="8">
        <v>41754</v>
      </c>
      <c r="B592" s="10">
        <v>1670.76</v>
      </c>
      <c r="C592" s="10">
        <v>377.21</v>
      </c>
      <c r="D592" s="10">
        <v>181.17</v>
      </c>
      <c r="E592" s="11">
        <v>3051.24</v>
      </c>
      <c r="F592" s="11">
        <v>3593.08</v>
      </c>
      <c r="G592" s="11">
        <v>2655.69</v>
      </c>
      <c r="H592" s="14">
        <v>2265.38</v>
      </c>
      <c r="I592" s="14">
        <v>4211.21</v>
      </c>
      <c r="J592" s="14">
        <v>2887.08</v>
      </c>
      <c r="K592" s="14">
        <v>2321.54</v>
      </c>
      <c r="L592" s="14">
        <v>21216.18</v>
      </c>
      <c r="M592" s="14">
        <v>2687.01</v>
      </c>
      <c r="N592" s="14">
        <v>3522.41</v>
      </c>
      <c r="P592" s="14">
        <f>+P591*(1+'SImple Return'!B591)</f>
        <v>205.27576759101117</v>
      </c>
      <c r="Q592" s="14">
        <f>+Q591*(1+'SImple Return'!C591)</f>
        <v>175.92108945061108</v>
      </c>
      <c r="R592" s="14">
        <f>+R591*(1+'SImple Return'!D591)</f>
        <v>209.0101522842638</v>
      </c>
      <c r="S592" s="14">
        <f>+S591*(1+'SImple Return'!E591)</f>
        <v>304.46939080975869</v>
      </c>
      <c r="T592" s="14">
        <f>+T591*(1+'SImple Return'!F591)</f>
        <v>352.746907520126</v>
      </c>
      <c r="U592" s="14">
        <f>+U591*(1+'SImple Return'!G591)</f>
        <v>260.22399905932139</v>
      </c>
      <c r="V592" s="14">
        <f>+V591*(1+'SImple Return'!H591)</f>
        <v>225.71864133196524</v>
      </c>
      <c r="W592" s="14">
        <f>+W591*(1+'SImple Return'!I591)</f>
        <v>419.8990936375144</v>
      </c>
      <c r="X592" s="14">
        <f>+X591*(1+'SImple Return'!J591)</f>
        <v>290.82813711960262</v>
      </c>
      <c r="Y592" s="14">
        <f>+Y591*(1+'SImple Return'!K591)</f>
        <v>225.50169985429821</v>
      </c>
      <c r="Z592" s="14">
        <f>+Z591*(1+'SImple Return'!L591)</f>
        <v>2066.3433162892611</v>
      </c>
      <c r="AA592" s="14">
        <f>+AA591*(1+'SImple Return'!M591)</f>
        <v>265.83003561535418</v>
      </c>
      <c r="AB592" s="14">
        <f>+AB591*(1+'SImple Return'!N591)</f>
        <v>344.40576876069412</v>
      </c>
    </row>
    <row r="593" spans="1:28">
      <c r="A593" s="8">
        <v>41761</v>
      </c>
      <c r="B593" s="10">
        <v>1688.99</v>
      </c>
      <c r="C593" s="10">
        <v>378.6</v>
      </c>
      <c r="D593" s="10">
        <v>183.88</v>
      </c>
      <c r="E593" s="11">
        <v>3103.1</v>
      </c>
      <c r="F593" s="11">
        <v>3640.13</v>
      </c>
      <c r="G593" s="11">
        <v>2664.33</v>
      </c>
      <c r="H593" s="14">
        <v>2290.14</v>
      </c>
      <c r="I593" s="14">
        <v>4269.93</v>
      </c>
      <c r="J593" s="14">
        <v>2929.95</v>
      </c>
      <c r="K593" s="14">
        <v>2306.2600000000002</v>
      </c>
      <c r="L593" s="14">
        <v>21934.45</v>
      </c>
      <c r="M593" s="14">
        <v>2712.57</v>
      </c>
      <c r="N593" s="14">
        <v>3560.88</v>
      </c>
      <c r="P593" s="14">
        <f>+P592*(1+'SImple Return'!B592)</f>
        <v>207.51557297489884</v>
      </c>
      <c r="Q593" s="14">
        <f>+Q592*(1+'SImple Return'!C592)</f>
        <v>176.56934987407905</v>
      </c>
      <c r="R593" s="14">
        <f>+R592*(1+'SImple Return'!D592)</f>
        <v>212.13659437009676</v>
      </c>
      <c r="S593" s="14">
        <f>+S592*(1+'SImple Return'!E592)</f>
        <v>309.64426483061391</v>
      </c>
      <c r="T593" s="14">
        <f>+T592*(1+'SImple Return'!F592)</f>
        <v>357.3659925387791</v>
      </c>
      <c r="U593" s="14">
        <f>+U592*(1+'SImple Return'!G592)</f>
        <v>261.07060967722953</v>
      </c>
      <c r="V593" s="14">
        <f>+V592*(1+'SImple Return'!H592)</f>
        <v>228.18568595996561</v>
      </c>
      <c r="W593" s="14">
        <f>+W592*(1+'SImple Return'!I592)</f>
        <v>425.75405569791866</v>
      </c>
      <c r="X593" s="14">
        <f>+X592*(1+'SImple Return'!J592)</f>
        <v>295.14661885142766</v>
      </c>
      <c r="Y593" s="14">
        <f>+Y592*(1+'SImple Return'!K592)</f>
        <v>224.01748421563869</v>
      </c>
      <c r="Z593" s="14">
        <f>+Z592*(1+'SImple Return'!L592)</f>
        <v>2136.2990017044062</v>
      </c>
      <c r="AA593" s="14">
        <f>+AA592*(1+'SImple Return'!M592)</f>
        <v>268.35872576177286</v>
      </c>
      <c r="AB593" s="14">
        <f>+AB592*(1+'SImple Return'!N592)</f>
        <v>348.16719628452694</v>
      </c>
    </row>
    <row r="594" spans="1:28">
      <c r="A594" s="8">
        <v>41768</v>
      </c>
      <c r="B594" s="10">
        <v>1683.36</v>
      </c>
      <c r="C594" s="10">
        <v>378.58</v>
      </c>
      <c r="D594" s="10">
        <v>185.68</v>
      </c>
      <c r="E594" s="11">
        <v>3123.71</v>
      </c>
      <c r="F594" s="11">
        <v>3643.67</v>
      </c>
      <c r="G594" s="11">
        <v>2640.52</v>
      </c>
      <c r="H594" s="14">
        <v>2299.48</v>
      </c>
      <c r="I594" s="14">
        <v>4289.57</v>
      </c>
      <c r="J594" s="14">
        <v>2942.71</v>
      </c>
      <c r="K594" s="14">
        <v>2272.16</v>
      </c>
      <c r="L594" s="14">
        <v>22289.7</v>
      </c>
      <c r="M594" s="14">
        <v>2707.73</v>
      </c>
      <c r="N594" s="14">
        <v>3544.79</v>
      </c>
      <c r="P594" s="14">
        <f>+P593*(1+'SImple Return'!B593)</f>
        <v>206.82385030285892</v>
      </c>
      <c r="Q594" s="14">
        <f>+Q593*(1+'SImple Return'!C593)</f>
        <v>176.56002238597159</v>
      </c>
      <c r="R594" s="14">
        <f>+R593*(1+'SImple Return'!D593)</f>
        <v>214.21319796954299</v>
      </c>
      <c r="S594" s="14">
        <f>+S593*(1+'SImple Return'!E593)</f>
        <v>311.70084318714743</v>
      </c>
      <c r="T594" s="14">
        <f>+T593*(1+'SImple Return'!F593)</f>
        <v>357.71352837227602</v>
      </c>
      <c r="U594" s="14">
        <f>+U593*(1+'SImple Return'!G593)</f>
        <v>258.73753111098029</v>
      </c>
      <c r="V594" s="14">
        <f>+V593*(1+'SImple Return'!H593)</f>
        <v>229.1163078026766</v>
      </c>
      <c r="W594" s="14">
        <f>+W593*(1+'SImple Return'!I593)</f>
        <v>427.71235704101019</v>
      </c>
      <c r="X594" s="14">
        <f>+X593*(1+'SImple Return'!J593)</f>
        <v>296.4319892012781</v>
      </c>
      <c r="Y594" s="14">
        <f>+Y593*(1+'SImple Return'!K593)</f>
        <v>220.70519669742592</v>
      </c>
      <c r="Z594" s="14">
        <f>+Z593*(1+'SImple Return'!L593)</f>
        <v>2170.8984660336005</v>
      </c>
      <c r="AA594" s="14">
        <f>+AA593*(1+'SImple Return'!M593)</f>
        <v>267.87989711119906</v>
      </c>
      <c r="AB594" s="14">
        <f>+AB593*(1+'SImple Return'!N593)</f>
        <v>346.59398680029324</v>
      </c>
    </row>
    <row r="595" spans="1:28">
      <c r="A595" s="8">
        <v>41775</v>
      </c>
      <c r="B595" s="10">
        <v>1683.69</v>
      </c>
      <c r="C595" s="10">
        <v>380.13</v>
      </c>
      <c r="D595" s="10">
        <v>188.19</v>
      </c>
      <c r="E595" s="11">
        <v>3122.65</v>
      </c>
      <c r="F595" s="11">
        <v>3680.39</v>
      </c>
      <c r="G595" s="11">
        <v>2694.53</v>
      </c>
      <c r="H595" s="14">
        <v>2312.8000000000002</v>
      </c>
      <c r="I595" s="14">
        <v>4267.8100000000004</v>
      </c>
      <c r="J595" s="14">
        <v>2989.35</v>
      </c>
      <c r="K595" s="14">
        <v>2344.4299999999998</v>
      </c>
      <c r="L595" s="14">
        <v>22275.54</v>
      </c>
      <c r="M595" s="14">
        <v>2729.52</v>
      </c>
      <c r="N595" s="14">
        <v>3594.41</v>
      </c>
      <c r="P595" s="14">
        <f>+P594*(1+'SImple Return'!B594)</f>
        <v>206.86439532626446</v>
      </c>
      <c r="Q595" s="14">
        <f>+Q594*(1+'SImple Return'!C594)</f>
        <v>177.28290271429918</v>
      </c>
      <c r="R595" s="14">
        <f>+R594*(1+'SImple Return'!D594)</f>
        <v>217.1089063221041</v>
      </c>
      <c r="S595" s="14">
        <f>+S594*(1+'SImple Return'!E594)</f>
        <v>311.59507059821362</v>
      </c>
      <c r="T595" s="14">
        <f>+T594*(1+'SImple Return'!F594)</f>
        <v>361.31847634007494</v>
      </c>
      <c r="U595" s="14">
        <f>+U594*(1+'SImple Return'!G594)</f>
        <v>264.02982734630672</v>
      </c>
      <c r="V595" s="14">
        <f>+V594*(1+'SImple Return'!H594)</f>
        <v>230.44349013082544</v>
      </c>
      <c r="W595" s="14">
        <f>+W594*(1+'SImple Return'!I594)</f>
        <v>425.54267082789045</v>
      </c>
      <c r="X595" s="14">
        <f>+X594*(1+'SImple Return'!J594)</f>
        <v>301.13023944555886</v>
      </c>
      <c r="Y595" s="14">
        <f>+Y594*(1+'SImple Return'!K594)</f>
        <v>227.72510927634772</v>
      </c>
      <c r="Z595" s="14">
        <f>+Z594*(1+'SImple Return'!L594)</f>
        <v>2169.5193571950322</v>
      </c>
      <c r="AA595" s="14">
        <f>+AA594*(1+'SImple Return'!M594)</f>
        <v>270.03561535417492</v>
      </c>
      <c r="AB595" s="14">
        <f>+AB594*(1+'SImple Return'!N594)</f>
        <v>351.44561231972614</v>
      </c>
    </row>
    <row r="596" spans="1:28">
      <c r="A596" s="8">
        <v>41782</v>
      </c>
      <c r="B596" s="10">
        <v>1697.94</v>
      </c>
      <c r="C596" s="10">
        <v>379.61</v>
      </c>
      <c r="D596" s="10">
        <v>187.67</v>
      </c>
      <c r="E596" s="11">
        <v>3114.05</v>
      </c>
      <c r="F596" s="11">
        <v>3707.58</v>
      </c>
      <c r="G596" s="11">
        <v>2755.4</v>
      </c>
      <c r="H596" s="14">
        <v>2314.1999999999998</v>
      </c>
      <c r="I596" s="14">
        <v>4274.95</v>
      </c>
      <c r="J596" s="14">
        <v>3018.44</v>
      </c>
      <c r="K596" s="14">
        <v>2363.92</v>
      </c>
      <c r="L596" s="14">
        <v>22084.11</v>
      </c>
      <c r="M596" s="14">
        <v>2720.81</v>
      </c>
      <c r="N596" s="14">
        <v>3648.27</v>
      </c>
      <c r="P596" s="14">
        <f>+P595*(1+'SImple Return'!B595)</f>
        <v>208.61520315513988</v>
      </c>
      <c r="Q596" s="14">
        <f>+Q595*(1+'SImple Return'!C595)</f>
        <v>177.04038802350541</v>
      </c>
      <c r="R596" s="14">
        <f>+R595*(1+'SImple Return'!D595)</f>
        <v>216.50899861559739</v>
      </c>
      <c r="S596" s="14">
        <f>+S595*(1+'SImple Return'!E595)</f>
        <v>310.73691563139226</v>
      </c>
      <c r="T596" s="14">
        <f>+T595*(1+'SImple Return'!F595)</f>
        <v>363.9878264284315</v>
      </c>
      <c r="U596" s="14">
        <f>+U595*(1+'SImple Return'!G595)</f>
        <v>269.99431673427779</v>
      </c>
      <c r="V596" s="14">
        <f>+V595*(1+'SImple Return'!H595)</f>
        <v>230.58298376891912</v>
      </c>
      <c r="W596" s="14">
        <f>+W595*(1+'SImple Return'!I595)</f>
        <v>426.25459911657032</v>
      </c>
      <c r="X596" s="14">
        <f>+X595*(1+'SImple Return'!J595)</f>
        <v>304.06060178702819</v>
      </c>
      <c r="Y596" s="14">
        <f>+Y595*(1+'SImple Return'!K595)</f>
        <v>229.61826129188927</v>
      </c>
      <c r="Z596" s="14">
        <f>+Z595*(1+'SImple Return'!L595)</f>
        <v>2150.8750913075232</v>
      </c>
      <c r="AA596" s="14">
        <f>+AA595*(1+'SImple Return'!M595)</f>
        <v>269.17392164622083</v>
      </c>
      <c r="AB596" s="14">
        <f>+AB595*(1+'SImple Return'!N595)</f>
        <v>356.71180640430208</v>
      </c>
    </row>
    <row r="597" spans="1:28">
      <c r="A597" s="8">
        <v>41789</v>
      </c>
      <c r="B597" s="10">
        <v>1715.18</v>
      </c>
      <c r="C597" s="10">
        <v>381.09</v>
      </c>
      <c r="D597" s="10">
        <v>189.33</v>
      </c>
      <c r="E597" s="11">
        <v>3181.93</v>
      </c>
      <c r="F597" s="11">
        <v>3731.99</v>
      </c>
      <c r="G597" s="11">
        <v>2755.64</v>
      </c>
      <c r="H597" s="14">
        <v>2342</v>
      </c>
      <c r="I597" s="14">
        <v>4324.84</v>
      </c>
      <c r="J597" s="14">
        <v>3067.1</v>
      </c>
      <c r="K597" s="14">
        <v>2367.7600000000002</v>
      </c>
      <c r="L597" s="14">
        <v>22399.8</v>
      </c>
      <c r="M597" s="14">
        <v>2818.25</v>
      </c>
      <c r="N597" s="14">
        <v>3658.25</v>
      </c>
      <c r="P597" s="14">
        <f>+P596*(1+'SImple Return'!B596)</f>
        <v>210.73337346881092</v>
      </c>
      <c r="Q597" s="14">
        <f>+Q596*(1+'SImple Return'!C596)</f>
        <v>177.73062214345691</v>
      </c>
      <c r="R597" s="14">
        <f>+R596*(1+'SImple Return'!D596)</f>
        <v>218.42408860175337</v>
      </c>
      <c r="S597" s="14">
        <f>+S596*(1+'SImple Return'!E596)</f>
        <v>317.51035274160529</v>
      </c>
      <c r="T597" s="14">
        <f>+T596*(1+'SImple Return'!F596)</f>
        <v>366.3842528961323</v>
      </c>
      <c r="U597" s="14">
        <f>+U596*(1+'SImple Return'!G596)</f>
        <v>270.01783369588634</v>
      </c>
      <c r="V597" s="14">
        <f>+V596*(1+'SImple Return'!H596)</f>
        <v>233.35292886820872</v>
      </c>
      <c r="W597" s="14">
        <f>+W596*(1+'SImple Return'!I596)</f>
        <v>431.22912325133814</v>
      </c>
      <c r="X597" s="14">
        <f>+X596*(1+'SImple Return'!J596)</f>
        <v>308.96233542525079</v>
      </c>
      <c r="Y597" s="14">
        <f>+Y596*(1+'SImple Return'!K596)</f>
        <v>229.99125789218067</v>
      </c>
      <c r="Z597" s="14">
        <f>+Z596*(1+'SImple Return'!L596)</f>
        <v>2181.6216216216208</v>
      </c>
      <c r="AA597" s="14">
        <f>+AA596*(1+'SImple Return'!M596)</f>
        <v>278.81381084289677</v>
      </c>
      <c r="AB597" s="14">
        <f>+AB596*(1+'SImple Return'!N596)</f>
        <v>357.68760694206793</v>
      </c>
    </row>
    <row r="598" spans="1:28">
      <c r="A598" s="8">
        <v>41796</v>
      </c>
      <c r="B598" s="10">
        <v>1734.47</v>
      </c>
      <c r="C598" s="10">
        <v>379.35</v>
      </c>
      <c r="D598" s="10">
        <v>191.42</v>
      </c>
      <c r="E598" s="11">
        <v>3169.61</v>
      </c>
      <c r="F598" s="11">
        <v>3761.21</v>
      </c>
      <c r="G598" s="11">
        <v>2775.06</v>
      </c>
      <c r="H598" s="14">
        <v>2315.25</v>
      </c>
      <c r="I598" s="14">
        <v>4380.4399999999996</v>
      </c>
      <c r="J598" s="14">
        <v>3077.68</v>
      </c>
      <c r="K598" s="14">
        <v>2386.17</v>
      </c>
      <c r="L598" s="14">
        <v>22362.01</v>
      </c>
      <c r="M598" s="14">
        <v>2877.49</v>
      </c>
      <c r="N598" s="14">
        <v>3699.74</v>
      </c>
      <c r="P598" s="14">
        <f>+P597*(1+'SImple Return'!B597)</f>
        <v>213.10341438242543</v>
      </c>
      <c r="Q598" s="14">
        <f>+Q597*(1+'SImple Return'!C597)</f>
        <v>176.91913067810856</v>
      </c>
      <c r="R598" s="14">
        <f>+R597*(1+'SImple Return'!D597)</f>
        <v>220.83525611444372</v>
      </c>
      <c r="S598" s="14">
        <f>+S597*(1+'SImple Return'!E597)</f>
        <v>316.28099585890311</v>
      </c>
      <c r="T598" s="14">
        <f>+T597*(1+'SImple Return'!F597)</f>
        <v>369.25289613194622</v>
      </c>
      <c r="U598" s="14">
        <f>+U597*(1+'SImple Return'!G597)</f>
        <v>271.92074783937903</v>
      </c>
      <c r="V598" s="14">
        <f>+V597*(1+'SImple Return'!H597)</f>
        <v>230.68760399748942</v>
      </c>
      <c r="W598" s="14">
        <f>+W597*(1+'SImple Return'!I597)</f>
        <v>436.77299059736117</v>
      </c>
      <c r="X598" s="14">
        <f>+X597*(1+'SImple Return'!J597)</f>
        <v>310.02810488460949</v>
      </c>
      <c r="Y598" s="14">
        <f>+Y597*(1+'SImple Return'!K597)</f>
        <v>231.77950461389023</v>
      </c>
      <c r="Z598" s="14">
        <f>+Z597*(1+'SImple Return'!L597)</f>
        <v>2177.9410762113457</v>
      </c>
      <c r="AA598" s="14">
        <f>+AA597*(1+'SImple Return'!M597)</f>
        <v>284.67451523545714</v>
      </c>
      <c r="AB598" s="14">
        <f>+AB597*(1+'SImple Return'!N597)</f>
        <v>361.74431679296009</v>
      </c>
    </row>
    <row r="599" spans="1:28">
      <c r="A599" s="8">
        <v>41803</v>
      </c>
      <c r="B599" s="10">
        <v>1727.21</v>
      </c>
      <c r="C599" s="10">
        <v>379.3</v>
      </c>
      <c r="D599" s="10">
        <v>188.6</v>
      </c>
      <c r="E599" s="11">
        <v>3147.14</v>
      </c>
      <c r="F599" s="11">
        <v>3741.49</v>
      </c>
      <c r="G599" s="11">
        <v>2796.22</v>
      </c>
      <c r="H599" s="14">
        <v>2302.5700000000002</v>
      </c>
      <c r="I599" s="14">
        <v>4356.21</v>
      </c>
      <c r="J599" s="14">
        <v>3110.65</v>
      </c>
      <c r="K599" s="14">
        <v>2378.8200000000002</v>
      </c>
      <c r="L599" s="14">
        <v>21909.53</v>
      </c>
      <c r="M599" s="14">
        <v>2866.26</v>
      </c>
      <c r="N599" s="14">
        <v>3697.1</v>
      </c>
      <c r="P599" s="14">
        <f>+P598*(1+'SImple Return'!B598)</f>
        <v>212.21142386750364</v>
      </c>
      <c r="Q599" s="14">
        <f>+Q598*(1+'SImple Return'!C598)</f>
        <v>176.89581195783992</v>
      </c>
      <c r="R599" s="14">
        <f>+R598*(1+'SImple Return'!D598)</f>
        <v>217.58191047531128</v>
      </c>
      <c r="S599" s="14">
        <f>+S598*(1+'SImple Return'!E598)</f>
        <v>314.03881654442921</v>
      </c>
      <c r="T599" s="14">
        <f>+T598*(1+'SImple Return'!F598)</f>
        <v>367.31690555664676</v>
      </c>
      <c r="U599" s="14">
        <f>+U598*(1+'SImple Return'!G598)</f>
        <v>273.99415995453376</v>
      </c>
      <c r="V599" s="14">
        <f>+V598*(1+'SImple Return'!H598)</f>
        <v>229.42419018961201</v>
      </c>
      <c r="W599" s="14">
        <f>+W598*(1+'SImple Return'!I598)</f>
        <v>434.35702106868968</v>
      </c>
      <c r="X599" s="14">
        <f>+X598*(1+'SImple Return'!J598)</f>
        <v>313.34931651741266</v>
      </c>
      <c r="Y599" s="14">
        <f>+Y598*(1+'SImple Return'!K598)</f>
        <v>231.06556580864498</v>
      </c>
      <c r="Z599" s="14">
        <f>+Z598*(1+'SImple Return'!L598)</f>
        <v>2133.8719259800332</v>
      </c>
      <c r="AA599" s="14">
        <f>+AA598*(1+'SImple Return'!M598)</f>
        <v>283.56351404827871</v>
      </c>
      <c r="AB599" s="14">
        <f>+AB598*(1+'SImple Return'!N598)</f>
        <v>361.48618919579559</v>
      </c>
    </row>
    <row r="600" spans="1:28">
      <c r="A600" s="8">
        <v>41810</v>
      </c>
      <c r="B600" s="10">
        <v>1747.43</v>
      </c>
      <c r="C600" s="10">
        <v>379.64</v>
      </c>
      <c r="D600" s="10">
        <v>190.56</v>
      </c>
      <c r="E600" s="11">
        <v>3169</v>
      </c>
      <c r="F600" s="11">
        <v>3867.11</v>
      </c>
      <c r="G600" s="11">
        <v>2808.84</v>
      </c>
      <c r="H600" s="14">
        <v>2344.64</v>
      </c>
      <c r="I600" s="14">
        <v>4381.97</v>
      </c>
      <c r="J600" s="14">
        <v>3120.05</v>
      </c>
      <c r="K600" s="14">
        <v>2339.34</v>
      </c>
      <c r="L600" s="14">
        <v>22014.65</v>
      </c>
      <c r="M600" s="14">
        <v>2861.69</v>
      </c>
      <c r="N600" s="14">
        <v>3839.56</v>
      </c>
      <c r="P600" s="14">
        <f>+P599*(1+'SImple Return'!B599)</f>
        <v>214.69572802889743</v>
      </c>
      <c r="Q600" s="14">
        <f>+Q599*(1+'SImple Return'!C599)</f>
        <v>177.05437925566662</v>
      </c>
      <c r="R600" s="14">
        <f>+R599*(1+'SImple Return'!D599)</f>
        <v>219.84310106137497</v>
      </c>
      <c r="S600" s="14">
        <f>+S599*(1+'SImple Return'!E599)</f>
        <v>316.22012672753556</v>
      </c>
      <c r="T600" s="14">
        <f>+T599*(1+'SImple Return'!F599)</f>
        <v>379.64951894757553</v>
      </c>
      <c r="U600" s="14">
        <f>+U599*(1+'SImple Return'!G599)</f>
        <v>275.23076018578394</v>
      </c>
      <c r="V600" s="14">
        <f>+V599*(1+'SImple Return'!H599)</f>
        <v>233.61597401432829</v>
      </c>
      <c r="W600" s="14">
        <f>+W599*(1+'SImple Return'!I599)</f>
        <v>436.92554665922125</v>
      </c>
      <c r="X600" s="14">
        <f>+X599*(1+'SImple Return'!J599)</f>
        <v>314.29621943971625</v>
      </c>
      <c r="Y600" s="14">
        <f>+Y599*(1+'SImple Return'!K599)</f>
        <v>227.23069451189897</v>
      </c>
      <c r="Z600" s="14">
        <f>+Z599*(1+'SImple Return'!L599)</f>
        <v>2144.1100560019472</v>
      </c>
      <c r="AA600" s="14">
        <f>+AA599*(1+'SImple Return'!M599)</f>
        <v>283.11139691333608</v>
      </c>
      <c r="AB600" s="14">
        <f>+AB599*(1+'SImple Return'!N599)</f>
        <v>375.4153018821803</v>
      </c>
    </row>
    <row r="601" spans="1:28">
      <c r="A601" s="8">
        <v>41817</v>
      </c>
      <c r="B601" s="10">
        <v>1740.86</v>
      </c>
      <c r="C601" s="10">
        <v>381.87</v>
      </c>
      <c r="D601" s="10">
        <v>191</v>
      </c>
      <c r="E601" s="11">
        <v>3173.84</v>
      </c>
      <c r="F601" s="11">
        <v>3901.98</v>
      </c>
      <c r="G601" s="11">
        <v>2817.7</v>
      </c>
      <c r="H601" s="14">
        <v>2342.6999999999998</v>
      </c>
      <c r="I601" s="14">
        <v>4354.53</v>
      </c>
      <c r="J601" s="14">
        <v>3139.72</v>
      </c>
      <c r="K601" s="14">
        <v>2334.7600000000002</v>
      </c>
      <c r="L601" s="14">
        <v>22222.12</v>
      </c>
      <c r="M601" s="14">
        <v>2872.93</v>
      </c>
      <c r="N601" s="14">
        <v>3875.48</v>
      </c>
      <c r="P601" s="14">
        <f>+P600*(1+'SImple Return'!B600)</f>
        <v>213.88851347200537</v>
      </c>
      <c r="Q601" s="14">
        <f>+Q600*(1+'SImple Return'!C600)</f>
        <v>178.09439417964759</v>
      </c>
      <c r="R601" s="14">
        <f>+R600*(1+'SImple Return'!D600)</f>
        <v>220.35071527457296</v>
      </c>
      <c r="S601" s="14">
        <f>+S600*(1+'SImple Return'!E600)</f>
        <v>316.70308836002573</v>
      </c>
      <c r="T601" s="14">
        <f>+T600*(1+'SImple Return'!F600)</f>
        <v>383.07284508148479</v>
      </c>
      <c r="U601" s="14">
        <f>+U600*(1+'SImple Return'!G600)</f>
        <v>276.09892801849992</v>
      </c>
      <c r="V601" s="14">
        <f>+V600*(1+'SImple Return'!H600)</f>
        <v>233.42267568725555</v>
      </c>
      <c r="W601" s="14">
        <f>+W600*(1+'SImple Return'!I600)</f>
        <v>434.18950853017674</v>
      </c>
      <c r="X601" s="14">
        <f>+X600*(1+'SImple Return'!J600)</f>
        <v>316.27766417181317</v>
      </c>
      <c r="Y601" s="14">
        <f>+Y600*(1+'SImple Return'!K600)</f>
        <v>226.78581835842641</v>
      </c>
      <c r="Z601" s="14">
        <f>+Z600*(1+'SImple Return'!L600)</f>
        <v>2164.3165327489642</v>
      </c>
      <c r="AA601" s="14">
        <f>+AA600*(1+'SImple Return'!M600)</f>
        <v>284.22338741590823</v>
      </c>
      <c r="AB601" s="14">
        <f>+AB600*(1+'SImple Return'!N600)</f>
        <v>378.92740161329738</v>
      </c>
    </row>
    <row r="602" spans="1:28">
      <c r="A602" s="8">
        <v>41824</v>
      </c>
      <c r="B602" s="10">
        <v>1763.44</v>
      </c>
      <c r="C602" s="10">
        <v>379.82</v>
      </c>
      <c r="D602" s="10">
        <v>190.78</v>
      </c>
      <c r="E602" s="11">
        <v>3212.72</v>
      </c>
      <c r="F602" s="11">
        <v>3879.96</v>
      </c>
      <c r="G602" s="11">
        <v>2842.99</v>
      </c>
      <c r="H602" s="14">
        <v>2329.1</v>
      </c>
      <c r="I602" s="14">
        <v>4414.97</v>
      </c>
      <c r="J602" s="14">
        <v>3163.69</v>
      </c>
      <c r="K602" s="14">
        <v>2378.92</v>
      </c>
      <c r="L602" s="14">
        <v>22425.37</v>
      </c>
      <c r="M602" s="14">
        <v>2890.71</v>
      </c>
      <c r="N602" s="14">
        <v>3869.05</v>
      </c>
      <c r="P602" s="14">
        <f>+P601*(1+'SImple Return'!B601)</f>
        <v>216.66277598260237</v>
      </c>
      <c r="Q602" s="14">
        <f>+Q601*(1+'SImple Return'!C601)</f>
        <v>177.13832664863369</v>
      </c>
      <c r="R602" s="14">
        <f>+R601*(1+'SImple Return'!D601)</f>
        <v>220.09690816797396</v>
      </c>
      <c r="S602" s="14">
        <f>+S601*(1+'SImple Return'!E601)</f>
        <v>320.5827470937482</v>
      </c>
      <c r="T602" s="14">
        <f>+T601*(1+'SImple Return'!F601)</f>
        <v>380.91105438837661</v>
      </c>
      <c r="U602" s="14">
        <f>+U601*(1+'SImple Return'!G601)</f>
        <v>278.57702784800199</v>
      </c>
      <c r="V602" s="14">
        <f>+V601*(1+'SImple Return'!H601)</f>
        <v>232.06759463148799</v>
      </c>
      <c r="W602" s="14">
        <f>+W601*(1+'SImple Return'!I601)</f>
        <v>440.21597152286802</v>
      </c>
      <c r="X602" s="14">
        <f>+X601*(1+'SImple Return'!J601)</f>
        <v>318.69226662368732</v>
      </c>
      <c r="Y602" s="14">
        <f>+Y601*(1+'SImple Return'!K601)</f>
        <v>231.07527926177752</v>
      </c>
      <c r="Z602" s="14">
        <f>+Z601*(1+'SImple Return'!L601)</f>
        <v>2184.1120038957865</v>
      </c>
      <c r="AA602" s="14">
        <f>+AA601*(1+'SImple Return'!M601)</f>
        <v>285.98239018599133</v>
      </c>
      <c r="AB602" s="14">
        <f>+AB601*(1+'SImple Return'!N601)</f>
        <v>378.29870447323384</v>
      </c>
    </row>
    <row r="603" spans="1:28">
      <c r="A603" s="8">
        <v>41831</v>
      </c>
      <c r="B603" s="10">
        <v>1736.02</v>
      </c>
      <c r="C603" s="10">
        <v>382.05</v>
      </c>
      <c r="D603" s="10">
        <v>191.39</v>
      </c>
      <c r="E603" s="11">
        <v>3161.31</v>
      </c>
      <c r="F603" s="11">
        <v>3898.02</v>
      </c>
      <c r="G603" s="11">
        <v>2857.48</v>
      </c>
      <c r="H603" s="14">
        <v>2335.0300000000002</v>
      </c>
      <c r="I603" s="14">
        <v>4354.84</v>
      </c>
      <c r="J603" s="14">
        <v>3124.22</v>
      </c>
      <c r="K603" s="14">
        <v>2409.41</v>
      </c>
      <c r="L603" s="14">
        <v>22576.09</v>
      </c>
      <c r="M603" s="14">
        <v>2845.27</v>
      </c>
      <c r="N603" s="14">
        <v>3875.6</v>
      </c>
      <c r="P603" s="14">
        <f>+P602*(1+'SImple Return'!B602)</f>
        <v>213.29385312872418</v>
      </c>
      <c r="Q603" s="14">
        <f>+Q602*(1+'SImple Return'!C602)</f>
        <v>178.1783415726147</v>
      </c>
      <c r="R603" s="14">
        <f>+R602*(1+'SImple Return'!D602)</f>
        <v>220.80064605445295</v>
      </c>
      <c r="S603" s="14">
        <f>+S602*(1+'SImple Return'!E602)</f>
        <v>315.45277653045929</v>
      </c>
      <c r="T603" s="14">
        <f>+T602*(1+'SImple Return'!F602)</f>
        <v>382.68407618299665</v>
      </c>
      <c r="U603" s="14">
        <f>+U602*(1+'SImple Return'!G602)</f>
        <v>279.9968644051188</v>
      </c>
      <c r="V603" s="14">
        <f>+V602*(1+'SImple Return'!H602)</f>
        <v>232.65844982712787</v>
      </c>
      <c r="W603" s="14">
        <f>+W602*(1+'SImple Return'!I602)</f>
        <v>434.22041858192614</v>
      </c>
      <c r="X603" s="14">
        <f>+X602*(1+'SImple Return'!J602)</f>
        <v>314.71628169354659</v>
      </c>
      <c r="Y603" s="14">
        <f>+Y602*(1+'SImple Return'!K602)</f>
        <v>234.03691112190378</v>
      </c>
      <c r="Z603" s="14">
        <f>+Z602*(1+'SImple Return'!L602)</f>
        <v>2198.7913318724118</v>
      </c>
      <c r="AA603" s="14">
        <f>+AA602*(1+'SImple Return'!M602)</f>
        <v>281.48694103680253</v>
      </c>
      <c r="AB603" s="14">
        <f>+AB602*(1+'SImple Return'!N602)</f>
        <v>378.93913468589574</v>
      </c>
    </row>
    <row r="604" spans="1:28">
      <c r="A604" s="8">
        <v>41838</v>
      </c>
      <c r="B604" s="10">
        <v>1744.31</v>
      </c>
      <c r="C604" s="10">
        <v>382.21</v>
      </c>
      <c r="D604" s="10">
        <v>193.47</v>
      </c>
      <c r="E604" s="11">
        <v>3177.94</v>
      </c>
      <c r="F604" s="11">
        <v>3944.41</v>
      </c>
      <c r="G604" s="11">
        <v>2872.85</v>
      </c>
      <c r="H604" s="14">
        <v>2347.7600000000002</v>
      </c>
      <c r="I604" s="14">
        <v>4416.32</v>
      </c>
      <c r="J604" s="14">
        <v>3133.21</v>
      </c>
      <c r="K604" s="14">
        <v>2412.36</v>
      </c>
      <c r="L604" s="14">
        <v>22698.47</v>
      </c>
      <c r="M604" s="14">
        <v>2856.45</v>
      </c>
      <c r="N604" s="14">
        <v>3925.82</v>
      </c>
      <c r="P604" s="14">
        <f>+P603*(1+'SImple Return'!B603)</f>
        <v>214.31239326215419</v>
      </c>
      <c r="Q604" s="14">
        <f>+Q603*(1+'SImple Return'!C603)</f>
        <v>178.25296147747432</v>
      </c>
      <c r="R604" s="14">
        <f>+R603*(1+'SImple Return'!D603)</f>
        <v>223.20027688047975</v>
      </c>
      <c r="S604" s="14">
        <f>+S603*(1+'SImple Return'!E603)</f>
        <v>317.11220875118471</v>
      </c>
      <c r="T604" s="14">
        <f>+T603*(1+'SImple Return'!F603)</f>
        <v>387.23836638523505</v>
      </c>
      <c r="U604" s="14">
        <f>+U603*(1+'SImple Return'!G603)</f>
        <v>281.50292982146698</v>
      </c>
      <c r="V604" s="14">
        <f>+V603*(1+'SImple Return'!H603)</f>
        <v>233.92684555065151</v>
      </c>
      <c r="W604" s="14">
        <f>+W603*(1+'SImple Return'!I603)</f>
        <v>440.3505798127444</v>
      </c>
      <c r="X604" s="14">
        <f>+X603*(1+'SImple Return'!J603)</f>
        <v>315.6218835309412</v>
      </c>
      <c r="Y604" s="14">
        <f>+Y603*(1+'SImple Return'!K603)</f>
        <v>234.32345798931519</v>
      </c>
      <c r="Z604" s="14">
        <f>+Z603*(1+'SImple Return'!L603)</f>
        <v>2210.7104942780611</v>
      </c>
      <c r="AA604" s="14">
        <f>+AA603*(1+'SImple Return'!M603)</f>
        <v>282.59299564701229</v>
      </c>
      <c r="AB604" s="14">
        <f>+AB603*(1+'SImple Return'!N603)</f>
        <v>383.84942556832061</v>
      </c>
    </row>
    <row r="605" spans="1:28">
      <c r="A605" s="8">
        <v>41845</v>
      </c>
      <c r="B605" s="10">
        <v>1748.25</v>
      </c>
      <c r="C605" s="10">
        <v>382.14</v>
      </c>
      <c r="D605" s="10">
        <v>193.16</v>
      </c>
      <c r="E605" s="11">
        <v>3190.22</v>
      </c>
      <c r="F605" s="11">
        <v>3957.11</v>
      </c>
      <c r="G605" s="11">
        <v>2891.87</v>
      </c>
      <c r="H605" s="14">
        <v>2351.52</v>
      </c>
      <c r="I605" s="14">
        <v>4433.78</v>
      </c>
      <c r="J605" s="14">
        <v>3097.56</v>
      </c>
      <c r="K605" s="14">
        <v>2429</v>
      </c>
      <c r="L605" s="14">
        <v>22450.39</v>
      </c>
      <c r="M605" s="14">
        <v>2858.39</v>
      </c>
      <c r="N605" s="14">
        <v>3965.53</v>
      </c>
      <c r="P605" s="14">
        <f>+P604*(1+'SImple Return'!B604)</f>
        <v>214.79647626887484</v>
      </c>
      <c r="Q605" s="14">
        <f>+Q604*(1+'SImple Return'!C604)</f>
        <v>178.22031526909822</v>
      </c>
      <c r="R605" s="14">
        <f>+R604*(1+'SImple Return'!D604)</f>
        <v>222.84263959390844</v>
      </c>
      <c r="S605" s="14">
        <f>+S604*(1+'SImple Return'!E604)</f>
        <v>318.33757421543658</v>
      </c>
      <c r="T605" s="14">
        <f>+T604*(1+'SImple Return'!F604)</f>
        <v>388.48517573139645</v>
      </c>
      <c r="U605" s="14">
        <f>+U604*(1+'SImple Return'!G604)</f>
        <v>283.36664902894535</v>
      </c>
      <c r="V605" s="14">
        <f>+V604*(1+'SImple Return'!H604)</f>
        <v>234.30148560724606</v>
      </c>
      <c r="W605" s="14">
        <f>+W604*(1+'SImple Return'!I604)</f>
        <v>442.0915136951466</v>
      </c>
      <c r="X605" s="14">
        <f>+X604*(1+'SImple Return'!J604)</f>
        <v>312.03070383092808</v>
      </c>
      <c r="Y605" s="14">
        <f>+Y604*(1+'SImple Return'!K604)</f>
        <v>235.93977659057794</v>
      </c>
      <c r="Z605" s="14">
        <f>+Z604*(1+'SImple Return'!L604)</f>
        <v>2186.5488190893589</v>
      </c>
      <c r="AA605" s="14">
        <f>+AA604*(1+'SImple Return'!M604)</f>
        <v>282.78492283339932</v>
      </c>
      <c r="AB605" s="14">
        <f>+AB604*(1+'SImple Return'!N604)</f>
        <v>387.73209484233672</v>
      </c>
    </row>
    <row r="606" spans="1:28">
      <c r="A606" s="8">
        <v>41852</v>
      </c>
      <c r="B606" s="10">
        <v>1705.76</v>
      </c>
      <c r="C606" s="10">
        <v>381.43</v>
      </c>
      <c r="D606" s="10">
        <v>191.66</v>
      </c>
      <c r="E606" s="11">
        <v>3087.38</v>
      </c>
      <c r="F606" s="11">
        <v>3839.85</v>
      </c>
      <c r="G606" s="11">
        <v>2857.44</v>
      </c>
      <c r="H606" s="14">
        <v>2275.12</v>
      </c>
      <c r="I606" s="14">
        <v>4388.17</v>
      </c>
      <c r="J606" s="14">
        <v>2999.14</v>
      </c>
      <c r="K606" s="14">
        <v>2386.15</v>
      </c>
      <c r="L606" s="14">
        <v>22672.82</v>
      </c>
      <c r="M606" s="14">
        <v>2759.26</v>
      </c>
      <c r="N606" s="14">
        <v>3819.97</v>
      </c>
      <c r="P606" s="14">
        <f>+P605*(1+'SImple Return'!B605)</f>
        <v>209.57599734614382</v>
      </c>
      <c r="Q606" s="14">
        <f>+Q605*(1+'SImple Return'!C605)</f>
        <v>177.88918944128366</v>
      </c>
      <c r="R606" s="14">
        <f>+R605*(1+'SImple Return'!D605)</f>
        <v>221.11213659436993</v>
      </c>
      <c r="S606" s="14">
        <f>+S605*(1+'SImple Return'!E605)</f>
        <v>308.07563737963358</v>
      </c>
      <c r="T606" s="14">
        <f>+T605*(1+'SImple Return'!F605)</f>
        <v>376.9732966817204</v>
      </c>
      <c r="U606" s="14">
        <f>+U605*(1+'SImple Return'!G605)</f>
        <v>279.99294491151733</v>
      </c>
      <c r="V606" s="14">
        <f>+V605*(1+'SImple Return'!H605)</f>
        <v>226.6891184998459</v>
      </c>
      <c r="W606" s="14">
        <f>+W605*(1+'SImple Return'!I605)</f>
        <v>437.5437476942094</v>
      </c>
      <c r="X606" s="14">
        <f>+X605*(1+'SImple Return'!J605)</f>
        <v>302.11642876570255</v>
      </c>
      <c r="Y606" s="14">
        <f>+Y605*(1+'SImple Return'!K605)</f>
        <v>231.7775619232637</v>
      </c>
      <c r="Z606" s="14">
        <f>+Z605*(1+'SImple Return'!L605)</f>
        <v>2208.2123204285358</v>
      </c>
      <c r="AA606" s="14">
        <f>+AA605*(1+'SImple Return'!M605)</f>
        <v>272.97783933518014</v>
      </c>
      <c r="AB606" s="14">
        <f>+AB605*(1+'SImple Return'!N605)</f>
        <v>373.49987778049359</v>
      </c>
    </row>
    <row r="607" spans="1:28">
      <c r="A607" s="8">
        <v>41859</v>
      </c>
      <c r="B607" s="10">
        <v>1690.59</v>
      </c>
      <c r="C607" s="10">
        <v>382.76</v>
      </c>
      <c r="D607" s="10">
        <v>189.6</v>
      </c>
      <c r="E607" s="11">
        <v>3003.28</v>
      </c>
      <c r="F607" s="11">
        <v>3873.28</v>
      </c>
      <c r="G607" s="11">
        <v>2826.11</v>
      </c>
      <c r="H607" s="14">
        <v>2265.65</v>
      </c>
      <c r="I607" s="14">
        <v>4280.68</v>
      </c>
      <c r="J607" s="14">
        <v>2972.66</v>
      </c>
      <c r="K607" s="14">
        <v>2352.94</v>
      </c>
      <c r="L607" s="14">
        <v>23318.39</v>
      </c>
      <c r="M607" s="14">
        <v>2624.58</v>
      </c>
      <c r="N607" s="14">
        <v>3817.65</v>
      </c>
      <c r="P607" s="14">
        <f>+P606*(1+'SImple Return'!B606)</f>
        <v>207.71215490656203</v>
      </c>
      <c r="Q607" s="14">
        <f>+Q606*(1+'SImple Return'!C606)</f>
        <v>178.50946740042929</v>
      </c>
      <c r="R607" s="14">
        <f>+R606*(1+'SImple Return'!D606)</f>
        <v>218.73557914167034</v>
      </c>
      <c r="S607" s="14">
        <f>+S606*(1+'SImple Return'!E606)</f>
        <v>299.68368008781101</v>
      </c>
      <c r="T607" s="14">
        <f>+T606*(1+'SImple Return'!F606)</f>
        <v>380.2552523070886</v>
      </c>
      <c r="U607" s="14">
        <f>+U606*(1+'SImple Return'!G606)</f>
        <v>276.92300154819986</v>
      </c>
      <c r="V607" s="14">
        <f>+V606*(1+'SImple Return'!H606)</f>
        <v>225.74554367645484</v>
      </c>
      <c r="W607" s="14">
        <f>+W606*(1+'SImple Return'!I606)</f>
        <v>426.82593652471269</v>
      </c>
      <c r="X607" s="14">
        <f>+X606*(1+'SImple Return'!J606)</f>
        <v>299.44898308670264</v>
      </c>
      <c r="Y607" s="14">
        <f>+Y606*(1+'SImple Return'!K606)</f>
        <v>228.55172413793102</v>
      </c>
      <c r="Z607" s="14">
        <f>+Z606*(1+'SImple Return'!L606)</f>
        <v>2271.0874117360595</v>
      </c>
      <c r="AA607" s="14">
        <f>+AA606*(1+'SImple Return'!M606)</f>
        <v>259.65373961218842</v>
      </c>
      <c r="AB607" s="14">
        <f>+AB606*(1+'SImple Return'!N606)</f>
        <v>373.27303837692477</v>
      </c>
    </row>
    <row r="608" spans="1:28">
      <c r="A608" s="8">
        <v>41866</v>
      </c>
      <c r="B608" s="10">
        <v>1714.26</v>
      </c>
      <c r="C608" s="10">
        <v>384.16</v>
      </c>
      <c r="D608" s="10">
        <v>193.95</v>
      </c>
      <c r="E608" s="11">
        <v>3069.54</v>
      </c>
      <c r="F608" s="11">
        <v>4001.34</v>
      </c>
      <c r="G608" s="11">
        <v>2889.23</v>
      </c>
      <c r="H608" s="14">
        <v>2309.6999999999998</v>
      </c>
      <c r="I608" s="14">
        <v>4400.1099999999997</v>
      </c>
      <c r="J608" s="14">
        <v>3044.57</v>
      </c>
      <c r="K608" s="14">
        <v>2410.75</v>
      </c>
      <c r="L608" s="14">
        <v>23419.32</v>
      </c>
      <c r="M608" s="14">
        <v>2696.4</v>
      </c>
      <c r="N608" s="14">
        <v>3975.55</v>
      </c>
      <c r="P608" s="14">
        <f>+P607*(1+'SImple Return'!B607)</f>
        <v>210.62033885810462</v>
      </c>
      <c r="Q608" s="14">
        <f>+Q607*(1+'SImple Return'!C607)</f>
        <v>179.162391567951</v>
      </c>
      <c r="R608" s="14">
        <f>+R607*(1+'SImple Return'!D607)</f>
        <v>223.75403784033207</v>
      </c>
      <c r="S608" s="14">
        <f>+S607*(1+'SImple Return'!E607)</f>
        <v>306.29546475078558</v>
      </c>
      <c r="T608" s="14">
        <f>+T607*(1+'SImple Return'!F607)</f>
        <v>392.82741017082316</v>
      </c>
      <c r="U608" s="14">
        <f>+U607*(1+'SImple Return'!G607)</f>
        <v>283.10796245125118</v>
      </c>
      <c r="V608" s="14">
        <f>+V607*(1+'SImple Return'!H607)</f>
        <v>230.1346113607608</v>
      </c>
      <c r="W608" s="14">
        <f>+W607*(1+'SImple Return'!I607)</f>
        <v>438.73428323578344</v>
      </c>
      <c r="X608" s="14">
        <f>+X607*(1+'SImple Return'!J607)</f>
        <v>306.69279044232513</v>
      </c>
      <c r="Y608" s="14">
        <f>+Y607*(1+'SImple Return'!K607)</f>
        <v>234.16707139388052</v>
      </c>
      <c r="Z608" s="14">
        <f>+Z607*(1+'SImple Return'!L607)</f>
        <v>2280.9174579985383</v>
      </c>
      <c r="AA608" s="14">
        <f>+AA607*(1+'SImple Return'!M607)</f>
        <v>266.75900277008316</v>
      </c>
      <c r="AB608" s="14">
        <f>+AB607*(1+'SImple Return'!N607)</f>
        <v>388.71180640430197</v>
      </c>
    </row>
    <row r="609" spans="1:28">
      <c r="A609" s="8">
        <v>41873</v>
      </c>
      <c r="B609" s="10">
        <v>1735.96</v>
      </c>
      <c r="C609" s="10">
        <v>382.25</v>
      </c>
      <c r="D609" s="10">
        <v>195.76</v>
      </c>
      <c r="E609" s="11">
        <v>3097.27</v>
      </c>
      <c r="F609" s="11">
        <v>4024.39</v>
      </c>
      <c r="G609" s="11">
        <v>2929.99</v>
      </c>
      <c r="H609" s="14">
        <v>2328.61</v>
      </c>
      <c r="I609" s="14">
        <v>4449.01</v>
      </c>
      <c r="J609" s="14">
        <v>3060.92</v>
      </c>
      <c r="K609" s="14">
        <v>2435.63</v>
      </c>
      <c r="L609" s="14">
        <v>23505.200000000001</v>
      </c>
      <c r="M609" s="14">
        <v>2730.57</v>
      </c>
      <c r="N609" s="14">
        <v>4008.08</v>
      </c>
      <c r="P609" s="14">
        <f>+P608*(1+'SImple Return'!B608)</f>
        <v>213.28648130628684</v>
      </c>
      <c r="Q609" s="14">
        <f>+Q608*(1+'SImple Return'!C608)</f>
        <v>178.27161645368926</v>
      </c>
      <c r="R609" s="14">
        <f>+R608*(1+'SImple Return'!D608)</f>
        <v>225.84217812644189</v>
      </c>
      <c r="S609" s="14">
        <f>+S608*(1+'SImple Return'!E608)</f>
        <v>309.06251559147807</v>
      </c>
      <c r="T609" s="14">
        <f>+T608*(1+'SImple Return'!F608)</f>
        <v>395.09032004712395</v>
      </c>
      <c r="U609" s="14">
        <f>+U608*(1+'SImple Return'!G608)</f>
        <v>287.10192643110497</v>
      </c>
      <c r="V609" s="14">
        <f>+V608*(1+'SImple Return'!H608)</f>
        <v>232.01877185815528</v>
      </c>
      <c r="W609" s="14">
        <f>+W608*(1+'SImple Return'!I608)</f>
        <v>443.61009462464187</v>
      </c>
      <c r="X609" s="14">
        <f>+X608*(1+'SImple Return'!J608)</f>
        <v>308.33979712101279</v>
      </c>
      <c r="Y609" s="14">
        <f>+Y608*(1+'SImple Return'!K608)</f>
        <v>236.58377853326857</v>
      </c>
      <c r="Z609" s="14">
        <f>+Z608*(1+'SImple Return'!L608)</f>
        <v>2289.281714146578</v>
      </c>
      <c r="AA609" s="14">
        <f>+AA608*(1+'SImple Return'!M608)</f>
        <v>270.13949347051852</v>
      </c>
      <c r="AB609" s="14">
        <f>+AB608*(1+'SImple Return'!N608)</f>
        <v>391.8924468345146</v>
      </c>
    </row>
    <row r="610" spans="1:28">
      <c r="A610" s="8">
        <v>41880</v>
      </c>
      <c r="B610" s="10">
        <v>1748.69</v>
      </c>
      <c r="C610" s="10">
        <v>383.79</v>
      </c>
      <c r="D610" s="10">
        <v>195.66</v>
      </c>
      <c r="E610" s="11">
        <v>3146.98</v>
      </c>
      <c r="F610" s="11">
        <v>4094.19</v>
      </c>
      <c r="G610" s="11">
        <v>2893.13</v>
      </c>
      <c r="H610" s="14">
        <v>2363.37</v>
      </c>
      <c r="I610" s="14">
        <v>4489.2</v>
      </c>
      <c r="J610" s="14">
        <v>3091.26</v>
      </c>
      <c r="K610" s="14">
        <v>2411.9899999999998</v>
      </c>
      <c r="L610" s="14">
        <v>23735.49</v>
      </c>
      <c r="M610" s="14">
        <v>2775.39</v>
      </c>
      <c r="N610" s="14">
        <v>4061.88</v>
      </c>
      <c r="P610" s="14">
        <f>+P609*(1+'SImple Return'!B609)</f>
        <v>214.85053630008221</v>
      </c>
      <c r="Q610" s="14">
        <f>+Q609*(1+'SImple Return'!C609)</f>
        <v>178.98983303796314</v>
      </c>
      <c r="R610" s="14">
        <f>+R609*(1+'SImple Return'!D609)</f>
        <v>225.726811259806</v>
      </c>
      <c r="S610" s="14">
        <f>+S609*(1+'SImple Return'!E609)</f>
        <v>314.02285087062791</v>
      </c>
      <c r="T610" s="14">
        <f>+T609*(1+'SImple Return'!F609)</f>
        <v>401.94286275279842</v>
      </c>
      <c r="U610" s="14">
        <f>+U609*(1+'SImple Return'!G609)</f>
        <v>283.49011307739033</v>
      </c>
      <c r="V610" s="14">
        <f>+V609*(1+'SImple Return'!H609)</f>
        <v>235.48219961539647</v>
      </c>
      <c r="W610" s="14">
        <f>+W609*(1+'SImple Return'!I609)</f>
        <v>447.61743326918617</v>
      </c>
      <c r="X610" s="14">
        <f>+X609*(1+'SImple Return'!J609)</f>
        <v>311.39607740427783</v>
      </c>
      <c r="Y610" s="14">
        <f>+Y609*(1+'SImple Return'!K609)</f>
        <v>234.28751821272459</v>
      </c>
      <c r="Z610" s="14">
        <f>+Z609*(1+'SImple Return'!L609)</f>
        <v>2311.7107377647908</v>
      </c>
      <c r="AA610" s="14">
        <f>+AA609*(1+'SImple Return'!M609)</f>
        <v>274.57360506529494</v>
      </c>
      <c r="AB610" s="14">
        <f>+AB609*(1+'SImple Return'!N609)</f>
        <v>397.15277438279134</v>
      </c>
    </row>
    <row r="611" spans="1:28">
      <c r="A611" s="8">
        <v>41887</v>
      </c>
      <c r="B611" s="10">
        <v>1750.63</v>
      </c>
      <c r="C611" s="10">
        <v>380.94</v>
      </c>
      <c r="D611" s="10">
        <v>196.88</v>
      </c>
      <c r="E611" s="11">
        <v>3160.62</v>
      </c>
      <c r="F611" s="11">
        <v>4140.12</v>
      </c>
      <c r="G611" s="11">
        <v>2951.09</v>
      </c>
      <c r="H611" s="14">
        <v>2389.84</v>
      </c>
      <c r="I611" s="14">
        <v>4629.1000000000004</v>
      </c>
      <c r="J611" s="14">
        <v>3081.51</v>
      </c>
      <c r="K611" s="14">
        <v>2412.2600000000002</v>
      </c>
      <c r="L611" s="14">
        <v>23955.47</v>
      </c>
      <c r="M611" s="14">
        <v>2813.93</v>
      </c>
      <c r="N611" s="14">
        <v>4113.0200000000004</v>
      </c>
      <c r="P611" s="14">
        <f>+P610*(1+'SImple Return'!B610)</f>
        <v>215.08889189222387</v>
      </c>
      <c r="Q611" s="14">
        <f>+Q610*(1+'SImple Return'!C610)</f>
        <v>177.66066598265112</v>
      </c>
      <c r="R611" s="14">
        <f>+R610*(1+'SImple Return'!D610)</f>
        <v>227.13428703276401</v>
      </c>
      <c r="S611" s="14">
        <f>+S610*(1+'SImple Return'!E610)</f>
        <v>315.38392456219105</v>
      </c>
      <c r="T611" s="14">
        <f>+T610*(1+'SImple Return'!F610)</f>
        <v>406.45199293147505</v>
      </c>
      <c r="U611" s="14">
        <f>+U610*(1+'SImple Return'!G610)</f>
        <v>289.16945930585763</v>
      </c>
      <c r="V611" s="14">
        <f>+V610*(1+'SImple Return'!H610)</f>
        <v>238.11962575849702</v>
      </c>
      <c r="W611" s="14">
        <f>+W610*(1+'SImple Return'!I610)</f>
        <v>461.56684049416157</v>
      </c>
      <c r="X611" s="14">
        <f>+X610*(1+'SImple Return'!J610)</f>
        <v>310.41391745827144</v>
      </c>
      <c r="Y611" s="14">
        <f>+Y610*(1+'SImple Return'!K610)</f>
        <v>234.31374453618261</v>
      </c>
      <c r="Z611" s="14">
        <f>+Z610*(1+'SImple Return'!L610)</f>
        <v>2333.1356221085939</v>
      </c>
      <c r="AA611" s="14">
        <f>+AA610*(1+'SImple Return'!M610)</f>
        <v>278.38642659279793</v>
      </c>
      <c r="AB611" s="14">
        <f>+AB610*(1+'SImple Return'!N610)</f>
        <v>402.15301882180381</v>
      </c>
    </row>
    <row r="612" spans="1:28">
      <c r="A612" s="8">
        <v>41894</v>
      </c>
      <c r="B612" s="10">
        <v>1729.5</v>
      </c>
      <c r="C612" s="10">
        <v>377.31</v>
      </c>
      <c r="D612" s="10">
        <v>189.22</v>
      </c>
      <c r="E612" s="11">
        <v>3091.57</v>
      </c>
      <c r="F612" s="11">
        <v>4010.22</v>
      </c>
      <c r="G612" s="11">
        <v>2855.39</v>
      </c>
      <c r="H612" s="14">
        <v>2322.67</v>
      </c>
      <c r="I612" s="14">
        <v>4501.8100000000004</v>
      </c>
      <c r="J612" s="14">
        <v>2982.99</v>
      </c>
      <c r="K612" s="14">
        <v>2406.96</v>
      </c>
      <c r="L612" s="14">
        <v>23407.69</v>
      </c>
      <c r="M612" s="14">
        <v>2707.14</v>
      </c>
      <c r="N612" s="14">
        <v>3987.57</v>
      </c>
      <c r="P612" s="14">
        <f>+P611*(1+'SImple Return'!B611)</f>
        <v>212.49278175719667</v>
      </c>
      <c r="Q612" s="14">
        <f>+Q611*(1+'SImple Return'!C611)</f>
        <v>175.96772689114846</v>
      </c>
      <c r="R612" s="14">
        <f>+R611*(1+'SImple Return'!D611)</f>
        <v>218.29718504845391</v>
      </c>
      <c r="S612" s="14">
        <f>+S611*(1+'SImple Return'!E611)</f>
        <v>308.49373846230583</v>
      </c>
      <c r="T612" s="14">
        <f>+T611*(1+'SImple Return'!F611)</f>
        <v>393.69919497349349</v>
      </c>
      <c r="U612" s="14">
        <f>+U611*(1+'SImple Return'!G611)</f>
        <v>279.79207086444421</v>
      </c>
      <c r="V612" s="14">
        <f>+V611*(1+'SImple Return'!H611)</f>
        <v>231.42692027938617</v>
      </c>
      <c r="W612" s="14">
        <f>+W611*(1+'SImple Return'!I611)</f>
        <v>448.87477440647677</v>
      </c>
      <c r="X612" s="14">
        <f>+X611*(1+'SImple Return'!J611)</f>
        <v>300.48956895770226</v>
      </c>
      <c r="Y612" s="14">
        <f>+Y611*(1+'SImple Return'!K611)</f>
        <v>233.79893152015538</v>
      </c>
      <c r="Z612" s="14">
        <f>+Z611*(1+'SImple Return'!L611)</f>
        <v>2279.784757730702</v>
      </c>
      <c r="AA612" s="14">
        <f>+AA611*(1+'SImple Return'!M611)</f>
        <v>267.82152750296808</v>
      </c>
      <c r="AB612" s="14">
        <f>+AB611*(1+'SImple Return'!N611)</f>
        <v>389.88706917624035</v>
      </c>
    </row>
    <row r="613" spans="1:28">
      <c r="A613" s="8">
        <v>41901</v>
      </c>
      <c r="B613" s="10">
        <v>1740.32</v>
      </c>
      <c r="C613" s="10">
        <v>377.27</v>
      </c>
      <c r="D613" s="10">
        <v>187.12</v>
      </c>
      <c r="E613" s="11">
        <v>3063.24</v>
      </c>
      <c r="F613" s="11">
        <v>4050.52</v>
      </c>
      <c r="G613" s="11">
        <v>2782.82</v>
      </c>
      <c r="H613" s="14">
        <v>2316.9499999999998</v>
      </c>
      <c r="I613" s="14">
        <v>4393.51</v>
      </c>
      <c r="J613" s="14">
        <v>2959.37</v>
      </c>
      <c r="K613" s="14">
        <v>2420.4499999999998</v>
      </c>
      <c r="L613" s="14">
        <v>23354.81</v>
      </c>
      <c r="M613" s="14">
        <v>2651.27</v>
      </c>
      <c r="N613" s="14">
        <v>4021.29</v>
      </c>
      <c r="P613" s="14">
        <f>+P612*(1+'SImple Return'!B612)</f>
        <v>213.82216707006907</v>
      </c>
      <c r="Q613" s="14">
        <f>+Q612*(1+'SImple Return'!C612)</f>
        <v>175.94907191493354</v>
      </c>
      <c r="R613" s="14">
        <f>+R612*(1+'SImple Return'!D612)</f>
        <v>215.87448084909997</v>
      </c>
      <c r="S613" s="14">
        <f>+S612*(1+'SImple Return'!E612)</f>
        <v>305.66681634485832</v>
      </c>
      <c r="T613" s="14">
        <f>+T612*(1+'SImple Return'!F612)</f>
        <v>397.65560573335995</v>
      </c>
      <c r="U613" s="14">
        <f>+U612*(1+'SImple Return'!G612)</f>
        <v>272.68112959805586</v>
      </c>
      <c r="V613" s="14">
        <f>+V612*(1+'SImple Return'!H612)</f>
        <v>230.85698912946037</v>
      </c>
      <c r="W613" s="14">
        <f>+W612*(1+'SImple Return'!I612)</f>
        <v>438.07619826305415</v>
      </c>
      <c r="X613" s="14">
        <f>+X612*(1+'SImple Return'!J612)</f>
        <v>298.11022352953091</v>
      </c>
      <c r="Y613" s="14">
        <f>+Y612*(1+'SImple Return'!K612)</f>
        <v>235.10927634774157</v>
      </c>
      <c r="Z613" s="14">
        <f>+Z612*(1+'SImple Return'!L612)</f>
        <v>2274.6345264183087</v>
      </c>
      <c r="AA613" s="14">
        <f>+AA612*(1+'SImple Return'!M612)</f>
        <v>262.29422239810066</v>
      </c>
      <c r="AB613" s="14">
        <f>+AB612*(1+'SImple Return'!N612)</f>
        <v>393.18406257638702</v>
      </c>
    </row>
    <row r="614" spans="1:28">
      <c r="A614" s="8">
        <v>41908</v>
      </c>
      <c r="B614" s="10">
        <v>1707.87</v>
      </c>
      <c r="C614" s="10">
        <v>377.64</v>
      </c>
      <c r="D614" s="10">
        <v>184.86</v>
      </c>
      <c r="E614" s="11">
        <v>2999.69</v>
      </c>
      <c r="F614" s="11">
        <v>3930.74</v>
      </c>
      <c r="G614" s="11">
        <v>2739.22</v>
      </c>
      <c r="H614" s="14">
        <v>2276.08</v>
      </c>
      <c r="I614" s="14">
        <v>4313.96</v>
      </c>
      <c r="J614" s="14">
        <v>2876.33</v>
      </c>
      <c r="K614" s="14">
        <v>2348.44</v>
      </c>
      <c r="L614" s="14">
        <v>23076.37</v>
      </c>
      <c r="M614" s="14">
        <v>2574.09</v>
      </c>
      <c r="N614" s="14">
        <v>3891.27</v>
      </c>
      <c r="P614" s="14">
        <f>+P613*(1+'SImple Return'!B613)</f>
        <v>209.83523976852467</v>
      </c>
      <c r="Q614" s="14">
        <f>+Q613*(1+'SImple Return'!C613)</f>
        <v>176.12163044492141</v>
      </c>
      <c r="R614" s="14">
        <f>+R613*(1+'SImple Return'!D613)</f>
        <v>213.26718966312859</v>
      </c>
      <c r="S614" s="14">
        <f>+S613*(1+'SImple Return'!E613)</f>
        <v>299.32545028189372</v>
      </c>
      <c r="T614" s="14">
        <f>+T613*(1+'SImple Return'!F613)</f>
        <v>385.89632829373687</v>
      </c>
      <c r="U614" s="14">
        <f>+U613*(1+'SImple Return'!G613)</f>
        <v>268.40888157250072</v>
      </c>
      <c r="V614" s="14">
        <f>+V613*(1+'SImple Return'!H613)</f>
        <v>226.78477128025301</v>
      </c>
      <c r="W614" s="14">
        <f>+W613*(1+'SImple Return'!I613)</f>
        <v>430.14428014477829</v>
      </c>
      <c r="X614" s="14">
        <f>+X613*(1+'SImple Return'!J613)</f>
        <v>289.7452428201596</v>
      </c>
      <c r="Y614" s="14">
        <f>+Y613*(1+'SImple Return'!K613)</f>
        <v>228.11461874696454</v>
      </c>
      <c r="Z614" s="14">
        <f>+Z613*(1+'SImple Return'!L613)</f>
        <v>2247.5159483808116</v>
      </c>
      <c r="AA614" s="14">
        <f>+AA613*(1+'SImple Return'!M613)</f>
        <v>254.65868618915727</v>
      </c>
      <c r="AB614" s="14">
        <f>+AB613*(1+'SImple Return'!N613)</f>
        <v>380.47127841603503</v>
      </c>
    </row>
    <row r="615" spans="1:28">
      <c r="A615" s="8">
        <v>41915</v>
      </c>
      <c r="B615" s="10">
        <v>1675.29</v>
      </c>
      <c r="C615" s="10">
        <v>378.1</v>
      </c>
      <c r="D615" s="10">
        <v>181.57</v>
      </c>
      <c r="E615" s="11">
        <v>2947.17</v>
      </c>
      <c r="F615" s="11">
        <v>3928.28</v>
      </c>
      <c r="G615" s="11">
        <v>2676.55</v>
      </c>
      <c r="H615" s="14">
        <v>2278.04</v>
      </c>
      <c r="I615" s="14">
        <v>4277.82</v>
      </c>
      <c r="J615" s="14">
        <v>2836.18</v>
      </c>
      <c r="K615" s="14">
        <v>2280.69</v>
      </c>
      <c r="L615" s="14">
        <v>23132.76</v>
      </c>
      <c r="M615" s="14">
        <v>2527.56</v>
      </c>
      <c r="N615" s="14">
        <v>3842.61</v>
      </c>
      <c r="P615" s="14">
        <f>+P614*(1+'SImple Return'!B614)</f>
        <v>205.83234018503265</v>
      </c>
      <c r="Q615" s="14">
        <f>+Q614*(1+'SImple Return'!C614)</f>
        <v>176.33616267139286</v>
      </c>
      <c r="R615" s="14">
        <f>+R614*(1+'SImple Return'!D614)</f>
        <v>209.47161975080741</v>
      </c>
      <c r="S615" s="14">
        <f>+S614*(1+'SImple Return'!E614)</f>
        <v>294.08471785660811</v>
      </c>
      <c r="T615" s="14">
        <f>+T614*(1+'SImple Return'!F614)</f>
        <v>385.6548203416458</v>
      </c>
      <c r="U615" s="14">
        <f>+U614*(1+'SImple Return'!G614)</f>
        <v>262.26801497246549</v>
      </c>
      <c r="V615" s="14">
        <f>+V614*(1+'SImple Return'!H614)</f>
        <v>226.98006237358422</v>
      </c>
      <c r="W615" s="14">
        <f>+W614*(1+'SImple Return'!I614)</f>
        <v>426.54076636986326</v>
      </c>
      <c r="X615" s="14">
        <f>+X614*(1+'SImple Return'!J614)</f>
        <v>285.70075852968199</v>
      </c>
      <c r="Y615" s="14">
        <f>+Y614*(1+'SImple Return'!K614)</f>
        <v>221.53375424963573</v>
      </c>
      <c r="Z615" s="14">
        <f>+Z614*(1+'SImple Return'!L614)</f>
        <v>2253.0080350620874</v>
      </c>
      <c r="AA615" s="14">
        <f>+AA614*(1+'SImple Return'!M614)</f>
        <v>250.05540166205</v>
      </c>
      <c r="AB615" s="14">
        <f>+AB614*(1+'SImple Return'!N614)</f>
        <v>375.71351747738925</v>
      </c>
    </row>
    <row r="616" spans="1:28">
      <c r="A616" s="8">
        <v>41922</v>
      </c>
      <c r="B616" s="10">
        <v>1626.68</v>
      </c>
      <c r="C616" s="10">
        <v>381.2</v>
      </c>
      <c r="D616" s="10">
        <v>183.08</v>
      </c>
      <c r="E616" s="11">
        <v>2898.56</v>
      </c>
      <c r="F616" s="11">
        <v>3796.43</v>
      </c>
      <c r="G616" s="11">
        <v>2685.54</v>
      </c>
      <c r="H616" s="14">
        <v>2279.4499999999998</v>
      </c>
      <c r="I616" s="14">
        <v>4146.6899999999996</v>
      </c>
      <c r="J616" s="14">
        <v>2863.36</v>
      </c>
      <c r="K616" s="14">
        <v>2244.88</v>
      </c>
      <c r="L616" s="14">
        <v>22862.04</v>
      </c>
      <c r="M616" s="14">
        <v>2473.44</v>
      </c>
      <c r="N616" s="14">
        <v>3680.33</v>
      </c>
      <c r="P616" s="14">
        <f>+P615*(1+'SImple Return'!B615)</f>
        <v>199.85993537368989</v>
      </c>
      <c r="Q616" s="14">
        <f>+Q615*(1+'SImple Return'!C615)</f>
        <v>177.78192332804801</v>
      </c>
      <c r="R616" s="14">
        <f>+R615*(1+'SImple Return'!D615)</f>
        <v>211.21365943700954</v>
      </c>
      <c r="S616" s="14">
        <f>+S615*(1+'SImple Return'!E615)</f>
        <v>289.23414658484239</v>
      </c>
      <c r="T616" s="14">
        <f>+T615*(1+'SImple Return'!F615)</f>
        <v>372.71058315334807</v>
      </c>
      <c r="U616" s="14">
        <f>+U615*(1+'SImple Return'!G615)</f>
        <v>263.14892115938608</v>
      </c>
      <c r="V616" s="14">
        <f>+V615*(1+'SImple Return'!H615)</f>
        <v>227.12055239480716</v>
      </c>
      <c r="W616" s="14">
        <f>+W615*(1+'SImple Return'!I615)</f>
        <v>413.46581447986313</v>
      </c>
      <c r="X616" s="14">
        <f>+X615*(1+'SImple Return'!J615)</f>
        <v>288.43871825608755</v>
      </c>
      <c r="Y616" s="14">
        <f>+Y615*(1+'SImple Return'!K615)</f>
        <v>218.05536668285575</v>
      </c>
      <c r="Z616" s="14">
        <f>+Z615*(1+'SImple Return'!L615)</f>
        <v>2226.6413440467481</v>
      </c>
      <c r="AA616" s="14">
        <f>+AA615*(1+'SImple Return'!M615)</f>
        <v>244.7012267510884</v>
      </c>
      <c r="AB616" s="14">
        <f>+AB615*(1+'SImple Return'!N615)</f>
        <v>359.84649230017095</v>
      </c>
    </row>
    <row r="617" spans="1:28">
      <c r="A617" s="8">
        <v>41929</v>
      </c>
      <c r="B617" s="10">
        <v>1613.56</v>
      </c>
      <c r="C617" s="10">
        <v>383.4</v>
      </c>
      <c r="D617" s="10">
        <v>183.99</v>
      </c>
      <c r="E617" s="11">
        <v>2916</v>
      </c>
      <c r="F617" s="11">
        <v>3817.85</v>
      </c>
      <c r="G617" s="11">
        <v>2689.71</v>
      </c>
      <c r="H617" s="14">
        <v>2295.2800000000002</v>
      </c>
      <c r="I617" s="14">
        <v>4150.6000000000004</v>
      </c>
      <c r="J617" s="14">
        <v>2894.81</v>
      </c>
      <c r="K617" s="14">
        <v>2250.1999999999998</v>
      </c>
      <c r="L617" s="14">
        <v>22872.81</v>
      </c>
      <c r="M617" s="14">
        <v>2488.12</v>
      </c>
      <c r="N617" s="14">
        <v>3699.7</v>
      </c>
      <c r="P617" s="14">
        <f>+P616*(1+'SImple Return'!B616)</f>
        <v>198.24796353405159</v>
      </c>
      <c r="Q617" s="14">
        <f>+Q616*(1+'SImple Return'!C616)</f>
        <v>178.80794701986781</v>
      </c>
      <c r="R617" s="14">
        <f>+R616*(1+'SImple Return'!D616)</f>
        <v>212.26349792339624</v>
      </c>
      <c r="S617" s="14">
        <f>+S616*(1+'SImple Return'!E616)</f>
        <v>290.97440502918704</v>
      </c>
      <c r="T617" s="14">
        <f>+T616*(1+'SImple Return'!F616)</f>
        <v>374.81346946789739</v>
      </c>
      <c r="U617" s="14">
        <f>+U616*(1+'SImple Return'!G616)</f>
        <v>263.55752836733484</v>
      </c>
      <c r="V617" s="14">
        <f>+V616*(1+'SImple Return'!H616)</f>
        <v>228.69782688839547</v>
      </c>
      <c r="W617" s="14">
        <f>+W616*(1+'SImple Return'!I616)</f>
        <v>413.85567997128317</v>
      </c>
      <c r="X617" s="14">
        <f>+X616*(1+'SImple Return'!J616)</f>
        <v>291.60681367166711</v>
      </c>
      <c r="Y617" s="14">
        <f>+Y616*(1+'SImple Return'!K616)</f>
        <v>218.57212238950945</v>
      </c>
      <c r="Z617" s="14">
        <f>+Z616*(1+'SImple Return'!L616)</f>
        <v>2227.6902848794725</v>
      </c>
      <c r="AA617" s="14">
        <f>+AA616*(1+'SImple Return'!M616)</f>
        <v>246.15354174910973</v>
      </c>
      <c r="AB617" s="14">
        <f>+AB616*(1+'SImple Return'!N616)</f>
        <v>361.74040576876052</v>
      </c>
    </row>
    <row r="618" spans="1:28">
      <c r="A618" s="8">
        <v>41936</v>
      </c>
      <c r="B618" s="10">
        <v>1667.88</v>
      </c>
      <c r="C618" s="10">
        <v>381.7</v>
      </c>
      <c r="D618" s="10">
        <v>189.33</v>
      </c>
      <c r="E618" s="11">
        <v>2991.51</v>
      </c>
      <c r="F618" s="11">
        <v>3962.92</v>
      </c>
      <c r="G618" s="11">
        <v>2759.34</v>
      </c>
      <c r="H618" s="14">
        <v>2361.96</v>
      </c>
      <c r="I618" s="14">
        <v>4243.84</v>
      </c>
      <c r="J618" s="14">
        <v>2983.72</v>
      </c>
      <c r="K618" s="14">
        <v>2286.79</v>
      </c>
      <c r="L618" s="14">
        <v>23700.240000000002</v>
      </c>
      <c r="M618" s="14">
        <v>2558.2600000000002</v>
      </c>
      <c r="N618" s="14">
        <v>3833.25</v>
      </c>
      <c r="P618" s="14">
        <f>+P617*(1+'SImple Return'!B617)</f>
        <v>204.92192011401744</v>
      </c>
      <c r="Q618" s="14">
        <f>+Q617*(1+'SImple Return'!C617)</f>
        <v>178.01511053073435</v>
      </c>
      <c r="R618" s="14">
        <f>+R617*(1+'SImple Return'!D617)</f>
        <v>218.42408860175343</v>
      </c>
      <c r="S618" s="14">
        <f>+S617*(1+'SImple Return'!E617)</f>
        <v>298.50920520880089</v>
      </c>
      <c r="T618" s="14">
        <f>+T617*(1+'SImple Return'!F617)</f>
        <v>389.05556646377414</v>
      </c>
      <c r="U618" s="14">
        <f>+U617*(1+'SImple Return'!G617)</f>
        <v>270.38038685401835</v>
      </c>
      <c r="V618" s="14">
        <f>+V617*(1+'SImple Return'!H617)</f>
        <v>235.34170959417349</v>
      </c>
      <c r="W618" s="14">
        <f>+W617*(1+'SImple Return'!I617)</f>
        <v>423.15262585875064</v>
      </c>
      <c r="X618" s="14">
        <f>+X617*(1+'SImple Return'!J617)</f>
        <v>300.56310503571098</v>
      </c>
      <c r="Y618" s="14">
        <f>+Y617*(1+'SImple Return'!K617)</f>
        <v>222.12627489072366</v>
      </c>
      <c r="Z618" s="14">
        <f>+Z617*(1+'SImple Return'!L617)</f>
        <v>2308.2775748721679</v>
      </c>
      <c r="AA618" s="14">
        <f>+AA617*(1+'SImple Return'!M617)</f>
        <v>253.09259992085492</v>
      </c>
      <c r="AB618" s="14">
        <f>+AB617*(1+'SImple Return'!N617)</f>
        <v>374.79833781471507</v>
      </c>
    </row>
    <row r="619" spans="1:28">
      <c r="A619" s="8">
        <v>41943</v>
      </c>
      <c r="B619" s="10">
        <v>1708.09</v>
      </c>
      <c r="C619" s="10">
        <v>379.4</v>
      </c>
      <c r="D619" s="10">
        <v>194.68</v>
      </c>
      <c r="E619" s="11">
        <v>3056.69</v>
      </c>
      <c r="F619" s="11">
        <v>4004.99</v>
      </c>
      <c r="G619" s="11">
        <v>2789.55</v>
      </c>
      <c r="H619" s="14">
        <v>2436.36</v>
      </c>
      <c r="I619" s="14">
        <v>4317.4399999999996</v>
      </c>
      <c r="J619" s="14">
        <v>3055.6</v>
      </c>
      <c r="K619" s="14">
        <v>2309.0700000000002</v>
      </c>
      <c r="L619" s="14">
        <v>23278.15</v>
      </c>
      <c r="M619" s="14">
        <v>2634.61</v>
      </c>
      <c r="N619" s="14">
        <v>3875.27</v>
      </c>
      <c r="P619" s="14">
        <f>+P618*(1+'SImple Return'!B618)</f>
        <v>209.86226978412836</v>
      </c>
      <c r="Q619" s="14">
        <f>+Q618*(1+'SImple Return'!C618)</f>
        <v>176.94244939837728</v>
      </c>
      <c r="R619" s="14">
        <f>+R618*(1+'SImple Return'!D618)</f>
        <v>224.5962159667742</v>
      </c>
      <c r="S619" s="14">
        <f>+S618*(1+'SImple Return'!E618)</f>
        <v>305.01322157361648</v>
      </c>
      <c r="T619" s="14">
        <f>+T618*(1+'SImple Return'!F618)</f>
        <v>393.18574514038909</v>
      </c>
      <c r="U619" s="14">
        <f>+U618*(1+'SImple Return'!G618)</f>
        <v>273.34058439649584</v>
      </c>
      <c r="V619" s="14">
        <f>+V618*(1+'SImple Return'!H618)</f>
        <v>242.75480007572548</v>
      </c>
      <c r="W619" s="14">
        <f>+W618*(1+'SImple Return'!I618)</f>
        <v>430.49127040312641</v>
      </c>
      <c r="X619" s="14">
        <f>+X618*(1+'SImple Return'!J618)</f>
        <v>307.80389036073041</v>
      </c>
      <c r="Y619" s="14">
        <f>+Y618*(1+'SImple Return'!K618)</f>
        <v>224.29043224866442</v>
      </c>
      <c r="Z619" s="14">
        <f>+Z618*(1+'SImple Return'!L618)</f>
        <v>2267.1682493304102</v>
      </c>
      <c r="AA619" s="14">
        <f>+AA618*(1+'SImple Return'!M618)</f>
        <v>260.64602295211728</v>
      </c>
      <c r="AB619" s="14">
        <f>+AB618*(1+'SImple Return'!N618)</f>
        <v>378.90686873625009</v>
      </c>
    </row>
    <row r="620" spans="1:28">
      <c r="A620" s="8">
        <v>41950</v>
      </c>
      <c r="B620" s="10">
        <v>1707.01</v>
      </c>
      <c r="C620" s="10">
        <v>378.17</v>
      </c>
      <c r="D620" s="10">
        <v>192.38</v>
      </c>
      <c r="E620" s="11">
        <v>2983.76</v>
      </c>
      <c r="F620" s="11">
        <v>4017.07</v>
      </c>
      <c r="G620" s="11">
        <v>2784.87</v>
      </c>
      <c r="H620" s="14">
        <v>2420.9699999999998</v>
      </c>
      <c r="I620" s="14">
        <v>4321.34</v>
      </c>
      <c r="J620" s="14">
        <v>3019.01</v>
      </c>
      <c r="K620" s="14">
        <v>2352.7800000000002</v>
      </c>
      <c r="L620" s="14">
        <v>23583.040000000001</v>
      </c>
      <c r="M620" s="14">
        <v>2592.67</v>
      </c>
      <c r="N620" s="14">
        <v>3847.02</v>
      </c>
      <c r="P620" s="14">
        <f>+P619*(1+'SImple Return'!B619)</f>
        <v>209.7295769802557</v>
      </c>
      <c r="Q620" s="14">
        <f>+Q619*(1+'SImple Return'!C619)</f>
        <v>176.36880887976895</v>
      </c>
      <c r="R620" s="14">
        <f>+R619*(1+'SImple Return'!D619)</f>
        <v>221.94277803414843</v>
      </c>
      <c r="S620" s="14">
        <f>+S619*(1+'SImple Return'!E619)</f>
        <v>297.73586788404907</v>
      </c>
      <c r="T620" s="14">
        <f>+T619*(1+'SImple Return'!F619)</f>
        <v>394.37168662870641</v>
      </c>
      <c r="U620" s="14">
        <f>+U619*(1+'SImple Return'!G619)</f>
        <v>272.88200364512886</v>
      </c>
      <c r="V620" s="14">
        <f>+V619*(1+'SImple Return'!H619)</f>
        <v>241.22136643982378</v>
      </c>
      <c r="W620" s="14">
        <f>+W619*(1+'SImple Return'!I619)</f>
        <v>430.88013879610287</v>
      </c>
      <c r="X620" s="14">
        <f>+X619*(1+'SImple Return'!J619)</f>
        <v>304.11802036848695</v>
      </c>
      <c r="Y620" s="14">
        <f>+Y619*(1+'SImple Return'!K619)</f>
        <v>228.53618261291894</v>
      </c>
      <c r="Z620" s="14">
        <f>+Z619*(1+'SImple Return'!L619)</f>
        <v>2296.8629169710234</v>
      </c>
      <c r="AA620" s="14">
        <f>+AA619*(1+'SImple Return'!M619)</f>
        <v>256.49683419074012</v>
      </c>
      <c r="AB620" s="14">
        <f>+AB619*(1+'SImple Return'!N619)</f>
        <v>376.1447078953799</v>
      </c>
    </row>
    <row r="621" spans="1:28">
      <c r="A621" s="8">
        <v>41957</v>
      </c>
      <c r="B621" s="10">
        <v>1717.2</v>
      </c>
      <c r="C621" s="10">
        <v>377.94</v>
      </c>
      <c r="D621" s="10">
        <v>194.46</v>
      </c>
      <c r="E621" s="11">
        <v>3013.24</v>
      </c>
      <c r="F621" s="11">
        <v>3950.55</v>
      </c>
      <c r="G621" s="11">
        <v>2816.95</v>
      </c>
      <c r="H621" s="14">
        <v>2406.31</v>
      </c>
      <c r="I621" s="14">
        <v>4368.3500000000004</v>
      </c>
      <c r="J621" s="14">
        <v>3002.06</v>
      </c>
      <c r="K621" s="14">
        <v>2368.33</v>
      </c>
      <c r="L621" s="14">
        <v>23711.47</v>
      </c>
      <c r="M621" s="14">
        <v>2619.69</v>
      </c>
      <c r="N621" s="14">
        <v>3794.86</v>
      </c>
      <c r="P621" s="14">
        <f>+P620*(1+'SImple Return'!B620)</f>
        <v>210.98155815753574</v>
      </c>
      <c r="Q621" s="14">
        <f>+Q620*(1+'SImple Return'!C620)</f>
        <v>176.26154276653324</v>
      </c>
      <c r="R621" s="14">
        <f>+R620*(1+'SImple Return'!D620)</f>
        <v>224.3424088601752</v>
      </c>
      <c r="S621" s="14">
        <f>+S620*(1+'SImple Return'!E620)</f>
        <v>300.67754328194354</v>
      </c>
      <c r="T621" s="14">
        <f>+T620*(1+'SImple Return'!F620)</f>
        <v>387.84115452582006</v>
      </c>
      <c r="U621" s="14">
        <f>+U620*(1+'SImple Return'!G620)</f>
        <v>276.02543751347304</v>
      </c>
      <c r="V621" s="14">
        <f>+V620*(1+'SImple Return'!H620)</f>
        <v>239.76066877235669</v>
      </c>
      <c r="W621" s="14">
        <f>+W620*(1+'SImple Return'!I620)</f>
        <v>435.56749857913422</v>
      </c>
      <c r="X621" s="14">
        <f>+X620*(1+'SImple Return'!J620)</f>
        <v>302.41057307773735</v>
      </c>
      <c r="Y621" s="14">
        <f>+Y620*(1+'SImple Return'!K620)</f>
        <v>230.04662457503647</v>
      </c>
      <c r="Z621" s="14">
        <f>+Z620*(1+'SImple Return'!L620)</f>
        <v>2309.3713172632079</v>
      </c>
      <c r="AA621" s="14">
        <f>+AA620*(1+'SImple Return'!M620)</f>
        <v>259.16996438464594</v>
      </c>
      <c r="AB621" s="14">
        <f>+AB620*(1+'SImple Return'!N620)</f>
        <v>371.04473233928115</v>
      </c>
    </row>
    <row r="622" spans="1:28">
      <c r="A622" s="8">
        <v>41964</v>
      </c>
      <c r="B622" s="10">
        <v>1737.24</v>
      </c>
      <c r="C622" s="10">
        <v>377.92</v>
      </c>
      <c r="D622" s="10">
        <v>194.59</v>
      </c>
      <c r="E622" s="11">
        <v>3061.95</v>
      </c>
      <c r="F622" s="11">
        <v>4039.93</v>
      </c>
      <c r="G622" s="11">
        <v>2783.91</v>
      </c>
      <c r="H622" s="14">
        <v>2425.77</v>
      </c>
      <c r="I622" s="14">
        <v>4386.0600000000004</v>
      </c>
      <c r="J622" s="14">
        <v>3072.33</v>
      </c>
      <c r="K622" s="14">
        <v>2405.02</v>
      </c>
      <c r="L622" s="14">
        <v>24222.2</v>
      </c>
      <c r="M622" s="14">
        <v>2654.81</v>
      </c>
      <c r="N622" s="14">
        <v>3874.75</v>
      </c>
      <c r="P622" s="14">
        <f>+P621*(1+'SImple Return'!B621)</f>
        <v>213.44374685161739</v>
      </c>
      <c r="Q622" s="14">
        <f>+Q621*(1+'SImple Return'!C621)</f>
        <v>176.25221527842578</v>
      </c>
      <c r="R622" s="14">
        <f>+R621*(1+'SImple Return'!D621)</f>
        <v>224.49238578680189</v>
      </c>
      <c r="S622" s="14">
        <f>+S621*(1+'SImple Return'!E621)</f>
        <v>305.53809309983507</v>
      </c>
      <c r="T622" s="14">
        <f>+T621*(1+'SImple Return'!F621)</f>
        <v>396.61594345179685</v>
      </c>
      <c r="U622" s="14">
        <f>+U621*(1+'SImple Return'!G621)</f>
        <v>272.7879357986946</v>
      </c>
      <c r="V622" s="14">
        <f>+V621*(1+'SImple Return'!H621)</f>
        <v>241.69963034185943</v>
      </c>
      <c r="W622" s="14">
        <f>+W621*(1+'SImple Return'!I621)</f>
        <v>437.33335992262471</v>
      </c>
      <c r="X622" s="14">
        <f>+X621*(1+'SImple Return'!J621)</f>
        <v>309.48917609372393</v>
      </c>
      <c r="Y622" s="14">
        <f>+Y621*(1+'SImple Return'!K621)</f>
        <v>233.61049052938324</v>
      </c>
      <c r="Z622" s="14">
        <f>+Z621*(1+'SImple Return'!L621)</f>
        <v>2359.1137083028962</v>
      </c>
      <c r="AA622" s="14">
        <f>+AA621*(1+'SImple Return'!M621)</f>
        <v>262.64444004748725</v>
      </c>
      <c r="AB622" s="14">
        <f>+AB621*(1+'SImple Return'!N621)</f>
        <v>378.85602542165702</v>
      </c>
    </row>
    <row r="623" spans="1:28">
      <c r="A623" s="8">
        <v>41971</v>
      </c>
      <c r="B623" s="10">
        <v>1739.5</v>
      </c>
      <c r="C623" s="10">
        <v>379.89</v>
      </c>
      <c r="D623" s="10">
        <v>196.5</v>
      </c>
      <c r="E623" s="11">
        <v>3100.33</v>
      </c>
      <c r="F623" s="11">
        <v>3976.21</v>
      </c>
      <c r="G623" s="11">
        <v>2784.62</v>
      </c>
      <c r="H623" s="14">
        <v>2437.7399999999998</v>
      </c>
      <c r="I623" s="14">
        <v>4367.1400000000003</v>
      </c>
      <c r="J623" s="14">
        <v>3076.35</v>
      </c>
      <c r="K623" s="14">
        <v>2411.15</v>
      </c>
      <c r="L623" s="14">
        <v>24960.68</v>
      </c>
      <c r="M623" s="14">
        <v>2702.46</v>
      </c>
      <c r="N623" s="14">
        <v>3770.02</v>
      </c>
      <c r="P623" s="14">
        <f>+P622*(1+'SImple Return'!B622)</f>
        <v>213.72141883009166</v>
      </c>
      <c r="Q623" s="14">
        <f>+Q622*(1+'SImple Return'!C622)</f>
        <v>177.17097285700984</v>
      </c>
      <c r="R623" s="14">
        <f>+R622*(1+'SImple Return'!D622)</f>
        <v>226.69589293954763</v>
      </c>
      <c r="S623" s="14">
        <f>+S622*(1+'SImple Return'!E622)</f>
        <v>309.36785910292843</v>
      </c>
      <c r="T623" s="14">
        <f>+T622*(1+'SImple Return'!F622)</f>
        <v>390.36029844885161</v>
      </c>
      <c r="U623" s="14">
        <f>+U622*(1+'SImple Return'!G622)</f>
        <v>272.85750681011996</v>
      </c>
      <c r="V623" s="14">
        <f>+V622*(1+'SImple Return'!H622)</f>
        <v>242.89230094756073</v>
      </c>
      <c r="W623" s="14">
        <f>+W622*(1+'SImple Return'!I622)</f>
        <v>435.44684966746718</v>
      </c>
      <c r="X623" s="14">
        <f>+X622*(1+'SImple Return'!J622)</f>
        <v>309.89412819453884</v>
      </c>
      <c r="Y623" s="14">
        <f>+Y622*(1+'SImple Return'!K622)</f>
        <v>234.20592520641091</v>
      </c>
      <c r="Z623" s="14">
        <f>+Z622*(1+'SImple Return'!L622)</f>
        <v>2431.0377404431442</v>
      </c>
      <c r="AA623" s="14">
        <f>+AA622*(1+'SImple Return'!M622)</f>
        <v>267.35852789869421</v>
      </c>
      <c r="AB623" s="14">
        <f>+AB622*(1+'SImple Return'!N622)</f>
        <v>368.61598631141504</v>
      </c>
    </row>
    <row r="624" spans="1:28">
      <c r="A624" s="8">
        <v>41978</v>
      </c>
      <c r="B624" s="10">
        <v>1738.52</v>
      </c>
      <c r="C624" s="10">
        <v>376.82</v>
      </c>
      <c r="D624" s="10">
        <v>194.6</v>
      </c>
      <c r="E624" s="11">
        <v>3077.71</v>
      </c>
      <c r="F624" s="11">
        <v>3975.66</v>
      </c>
      <c r="G624" s="11">
        <v>2787.41</v>
      </c>
      <c r="H624" s="14">
        <v>2439.38</v>
      </c>
      <c r="I624" s="14">
        <v>4384.37</v>
      </c>
      <c r="J624" s="14">
        <v>3010.18</v>
      </c>
      <c r="K624" s="14">
        <v>2425.58</v>
      </c>
      <c r="L624" s="14">
        <v>23994.53</v>
      </c>
      <c r="M624" s="14">
        <v>2688.57</v>
      </c>
      <c r="N624" s="14">
        <v>3798.33</v>
      </c>
      <c r="P624" s="14">
        <f>+P623*(1+'SImple Return'!B623)</f>
        <v>213.60101239694797</v>
      </c>
      <c r="Q624" s="14">
        <f>+Q623*(1+'SImple Return'!C623)</f>
        <v>175.73920343251586</v>
      </c>
      <c r="R624" s="14">
        <f>+R623*(1+'SImple Return'!D623)</f>
        <v>224.50392247346548</v>
      </c>
      <c r="S624" s="14">
        <f>+S623*(1+'SImple Return'!E623)</f>
        <v>307.11071196926582</v>
      </c>
      <c r="T624" s="14">
        <f>+T623*(1+'SImple Return'!F623)</f>
        <v>390.30630276850599</v>
      </c>
      <c r="U624" s="14">
        <f>+U623*(1+'SImple Return'!G623)</f>
        <v>273.13089148881949</v>
      </c>
      <c r="V624" s="14">
        <f>+V623*(1+'SImple Return'!H623)</f>
        <v>243.05570778075622</v>
      </c>
      <c r="W624" s="14">
        <f>+W623*(1+'SImple Return'!I623)</f>
        <v>437.16485028566819</v>
      </c>
      <c r="X624" s="14">
        <f>+X623*(1+'SImple Return'!J623)</f>
        <v>303.22853602764212</v>
      </c>
      <c r="Y624" s="14">
        <f>+Y623*(1+'SImple Return'!K623)</f>
        <v>235.60757649344345</v>
      </c>
      <c r="Z624" s="14">
        <f>+Z623*(1+'SImple Return'!L623)</f>
        <v>2336.939858777695</v>
      </c>
      <c r="AA624" s="14">
        <f>+AA623*(1+'SImple Return'!M623)</f>
        <v>265.9843688167789</v>
      </c>
      <c r="AB624" s="14">
        <f>+AB623*(1+'SImple Return'!N623)</f>
        <v>371.38401368858445</v>
      </c>
    </row>
    <row r="625" spans="1:28">
      <c r="A625" s="8">
        <v>41985</v>
      </c>
      <c r="B625" s="10">
        <v>1675.04</v>
      </c>
      <c r="C625" s="10">
        <v>380.92</v>
      </c>
      <c r="D625" s="10">
        <v>192.88</v>
      </c>
      <c r="E625" s="11">
        <v>2970.54</v>
      </c>
      <c r="F625" s="11">
        <v>3759.09</v>
      </c>
      <c r="G625" s="11">
        <v>2751.45</v>
      </c>
      <c r="H625" s="14">
        <v>2390.7199999999998</v>
      </c>
      <c r="I625" s="14">
        <v>4342.68</v>
      </c>
      <c r="J625" s="14">
        <v>2994.61</v>
      </c>
      <c r="K625" s="14">
        <v>2367.9299999999998</v>
      </c>
      <c r="L625" s="14">
        <v>23311.94</v>
      </c>
      <c r="M625" s="14">
        <v>2620.0300000000002</v>
      </c>
      <c r="N625" s="14">
        <v>3534.88</v>
      </c>
      <c r="P625" s="14">
        <f>+P624*(1+'SImple Return'!B624)</f>
        <v>205.80162425821027</v>
      </c>
      <c r="Q625" s="14">
        <f>+Q624*(1+'SImple Return'!C624)</f>
        <v>177.65133849454367</v>
      </c>
      <c r="R625" s="14">
        <f>+R624*(1+'SImple Return'!D624)</f>
        <v>222.51961236732797</v>
      </c>
      <c r="S625" s="14">
        <f>+S624*(1+'SImple Return'!E624)</f>
        <v>296.41670408621439</v>
      </c>
      <c r="T625" s="14">
        <f>+T624*(1+'SImple Return'!F624)</f>
        <v>369.0447673277049</v>
      </c>
      <c r="U625" s="14">
        <f>+U624*(1+'SImple Return'!G624)</f>
        <v>269.60726674113687</v>
      </c>
      <c r="V625" s="14">
        <f>+V624*(1+'SImple Return'!H624)</f>
        <v>238.20730747387017</v>
      </c>
      <c r="W625" s="14">
        <f>+W624*(1+'SImple Return'!I624)</f>
        <v>433.00794687459444</v>
      </c>
      <c r="X625" s="14">
        <f>+X624*(1+'SImple Return'!J624)</f>
        <v>301.660102144635</v>
      </c>
      <c r="Y625" s="14">
        <f>+Y624*(1+'SImple Return'!K624)</f>
        <v>230.00777076250608</v>
      </c>
      <c r="Z625" s="14">
        <f>+Z624*(1+'SImple Return'!L624)</f>
        <v>2270.4592159727281</v>
      </c>
      <c r="AA625" s="14">
        <f>+AA624*(1+'SImple Return'!M624)</f>
        <v>259.20360110803335</v>
      </c>
      <c r="AB625" s="14">
        <f>+AB624*(1+'SImple Return'!N624)</f>
        <v>345.62503055487633</v>
      </c>
    </row>
    <row r="626" spans="1:28">
      <c r="A626" s="8">
        <v>41992</v>
      </c>
      <c r="B626" s="10">
        <v>1717</v>
      </c>
      <c r="C626" s="10">
        <v>379.35</v>
      </c>
      <c r="D626" s="10">
        <v>194.31</v>
      </c>
      <c r="E626" s="11">
        <v>3024.65</v>
      </c>
      <c r="F626" s="11">
        <v>3925.59</v>
      </c>
      <c r="G626" s="11">
        <v>2732.38</v>
      </c>
      <c r="H626" s="14">
        <v>2441.33</v>
      </c>
      <c r="I626" s="14">
        <v>4390.8100000000004</v>
      </c>
      <c r="J626" s="14">
        <v>3034.5</v>
      </c>
      <c r="K626" s="14">
        <v>2349.65</v>
      </c>
      <c r="L626" s="14">
        <v>23684.01</v>
      </c>
      <c r="M626" s="14">
        <v>2630.22</v>
      </c>
      <c r="N626" s="14">
        <v>3706.95</v>
      </c>
      <c r="P626" s="14">
        <f>+P625*(1+'SImple Return'!B625)</f>
        <v>210.95698541607783</v>
      </c>
      <c r="Q626" s="14">
        <f>+Q625*(1+'SImple Return'!C625)</f>
        <v>176.91913067810862</v>
      </c>
      <c r="R626" s="14">
        <f>+R625*(1+'SImple Return'!D625)</f>
        <v>224.16935856022135</v>
      </c>
      <c r="S626" s="14">
        <f>+S625*(1+'SImple Return'!E625)</f>
        <v>301.81609539490074</v>
      </c>
      <c r="T626" s="14">
        <f>+T625*(1+'SImple Return'!F625)</f>
        <v>385.39073237777365</v>
      </c>
      <c r="U626" s="14">
        <f>+U625*(1+'SImple Return'!G625)</f>
        <v>267.73864816665673</v>
      </c>
      <c r="V626" s="14">
        <f>+V625*(1+'SImple Return'!H625)</f>
        <v>243.25000249095817</v>
      </c>
      <c r="W626" s="14">
        <f>+W625*(1+'SImple Return'!I625)</f>
        <v>437.8069816833011</v>
      </c>
      <c r="X626" s="14">
        <f>+X625*(1+'SImple Return'!J625)</f>
        <v>305.67839550321906</v>
      </c>
      <c r="Y626" s="14">
        <f>+Y625*(1+'SImple Return'!K625)</f>
        <v>228.2321515298689</v>
      </c>
      <c r="Z626" s="14">
        <f>+Z625*(1+'SImple Return'!L625)</f>
        <v>2306.6968590211823</v>
      </c>
      <c r="AA626" s="14">
        <f>+AA625*(1+'SImple Return'!M625)</f>
        <v>260.21171349426209</v>
      </c>
      <c r="AB626" s="14">
        <f>+AB625*(1+'SImple Return'!N625)</f>
        <v>362.449278904913</v>
      </c>
    </row>
    <row r="627" spans="1:28">
      <c r="A627" s="8">
        <v>41999</v>
      </c>
      <c r="B627" s="10">
        <v>1729.42</v>
      </c>
      <c r="C627" s="10">
        <v>378.22</v>
      </c>
      <c r="D627" s="10">
        <v>196.57</v>
      </c>
      <c r="E627" s="11">
        <v>3046.66</v>
      </c>
      <c r="F627" s="11">
        <v>4025.95</v>
      </c>
      <c r="G627" s="11">
        <v>2741.1</v>
      </c>
      <c r="H627" s="14">
        <v>2492.2399999999998</v>
      </c>
      <c r="I627" s="14">
        <v>4461.82</v>
      </c>
      <c r="J627" s="14">
        <v>3089.98</v>
      </c>
      <c r="K627" s="14">
        <v>2361.71</v>
      </c>
      <c r="L627" s="14">
        <v>23903.05</v>
      </c>
      <c r="M627" s="14">
        <v>2649.6</v>
      </c>
      <c r="N627" s="14">
        <v>3787.76</v>
      </c>
      <c r="P627" s="14">
        <f>+P626*(1+'SImple Return'!B626)</f>
        <v>212.48295266061348</v>
      </c>
      <c r="Q627" s="14">
        <f>+Q626*(1+'SImple Return'!C626)</f>
        <v>176.39212760003753</v>
      </c>
      <c r="R627" s="14">
        <f>+R626*(1+'SImple Return'!D626)</f>
        <v>226.77664974619276</v>
      </c>
      <c r="S627" s="14">
        <f>+S626*(1+'SImple Return'!E626)</f>
        <v>304.0123733971958</v>
      </c>
      <c r="T627" s="14">
        <f>+T626*(1+'SImple Return'!F626)</f>
        <v>395.24347143137658</v>
      </c>
      <c r="U627" s="14">
        <f>+U626*(1+'SImple Return'!G626)</f>
        <v>268.59309777176776</v>
      </c>
      <c r="V627" s="14">
        <f>+V626*(1+'SImple Return'!H626)</f>
        <v>248.32258900192338</v>
      </c>
      <c r="W627" s="14">
        <f>+W626*(1+'SImple Return'!I626)</f>
        <v>444.88737773080283</v>
      </c>
      <c r="X627" s="14">
        <f>+X626*(1+'SImple Return'!J626)</f>
        <v>311.26713743187895</v>
      </c>
      <c r="Y627" s="14">
        <f>+Y626*(1+'SImple Return'!K626)</f>
        <v>229.40359397765911</v>
      </c>
      <c r="Z627" s="14">
        <f>+Z626*(1+'SImple Return'!L626)</f>
        <v>2328.0301923545157</v>
      </c>
      <c r="AA627" s="14">
        <f>+AA626*(1+'SImple Return'!M626)</f>
        <v>262.1290067273448</v>
      </c>
      <c r="AB627" s="14">
        <f>+AB626*(1+'SImple Return'!N626)</f>
        <v>370.35052554387664</v>
      </c>
    </row>
    <row r="628" spans="1:28">
      <c r="A628" s="8">
        <v>42006</v>
      </c>
      <c r="B628" s="10">
        <v>1704.71</v>
      </c>
      <c r="C628" s="10">
        <v>380.04</v>
      </c>
      <c r="D628" s="10">
        <v>195.89</v>
      </c>
      <c r="E628" s="11">
        <v>2986.64</v>
      </c>
      <c r="F628" s="11">
        <v>4013.79</v>
      </c>
      <c r="G628" s="11">
        <v>2745.73</v>
      </c>
      <c r="H628" s="14">
        <v>2438.96</v>
      </c>
      <c r="I628" s="14">
        <v>4354.41</v>
      </c>
      <c r="J628" s="14">
        <v>3047.33</v>
      </c>
      <c r="K628" s="14">
        <v>2390</v>
      </c>
      <c r="L628" s="14">
        <v>23755.919999999998</v>
      </c>
      <c r="M628" s="14">
        <v>2629.56</v>
      </c>
      <c r="N628" s="14">
        <v>3794.57</v>
      </c>
      <c r="P628" s="14">
        <f>+P627*(1+'SImple Return'!B627)</f>
        <v>209.44699045348983</v>
      </c>
      <c r="Q628" s="14">
        <f>+Q627*(1+'SImple Return'!C627)</f>
        <v>177.24092901781572</v>
      </c>
      <c r="R628" s="14">
        <f>+R627*(1+'SImple Return'!D627)</f>
        <v>225.99215505306861</v>
      </c>
      <c r="S628" s="14">
        <f>+S627*(1+'SImple Return'!E627)</f>
        <v>298.02325001247294</v>
      </c>
      <c r="T628" s="14">
        <f>+T627*(1+'SImple Return'!F627)</f>
        <v>394.04967602591813</v>
      </c>
      <c r="U628" s="14">
        <f>+U627*(1+'SImple Return'!G627)</f>
        <v>269.04677915613291</v>
      </c>
      <c r="V628" s="14">
        <f>+V627*(1+'SImple Return'!H627)</f>
        <v>243.01385968932811</v>
      </c>
      <c r="W628" s="14">
        <f>+W627*(1+'SImple Return'!I627)</f>
        <v>434.17754334885433</v>
      </c>
      <c r="X628" s="14">
        <f>+X627*(1+'SImple Return'!J627)</f>
        <v>306.97081725780998</v>
      </c>
      <c r="Y628" s="14">
        <f>+Y627*(1+'SImple Return'!K627)</f>
        <v>232.15152986886844</v>
      </c>
      <c r="Z628" s="14">
        <f>+Z627*(1+'SImple Return'!L627)</f>
        <v>2313.7005113221321</v>
      </c>
      <c r="AA628" s="14">
        <f>+AA627*(1+'SImple Return'!M627)</f>
        <v>260.14641867827476</v>
      </c>
      <c r="AB628" s="14">
        <f>+AB627*(1+'SImple Return'!N627)</f>
        <v>371.01637741383507</v>
      </c>
    </row>
    <row r="629" spans="1:28">
      <c r="A629" s="8">
        <v>42013</v>
      </c>
      <c r="B629" s="10">
        <v>1683.8</v>
      </c>
      <c r="C629" s="10">
        <v>381.76</v>
      </c>
      <c r="D629" s="10">
        <v>199.42</v>
      </c>
      <c r="E629" s="11">
        <v>2974.35</v>
      </c>
      <c r="F629" s="11">
        <v>3895.08</v>
      </c>
      <c r="G629" s="11">
        <v>2791.81</v>
      </c>
      <c r="H629" s="14">
        <v>2450.9899999999998</v>
      </c>
      <c r="I629" s="14">
        <v>4463.75</v>
      </c>
      <c r="J629" s="14">
        <v>3055.24</v>
      </c>
      <c r="K629" s="14">
        <v>2375.44</v>
      </c>
      <c r="L629" s="14">
        <v>24048.33</v>
      </c>
      <c r="M629" s="14">
        <v>2637.42</v>
      </c>
      <c r="N629" s="14">
        <v>3632.78</v>
      </c>
      <c r="P629" s="14">
        <f>+P628*(1+'SImple Return'!B628)</f>
        <v>206.87791033406631</v>
      </c>
      <c r="Q629" s="14">
        <f>+Q628*(1+'SImple Return'!C628)</f>
        <v>178.04309299505664</v>
      </c>
      <c r="R629" s="14">
        <f>+R628*(1+'SImple Return'!D628)</f>
        <v>230.06460544531595</v>
      </c>
      <c r="S629" s="14">
        <f>+S628*(1+'SImple Return'!E628)</f>
        <v>296.79688669360849</v>
      </c>
      <c r="T629" s="14">
        <f>+T628*(1+'SImple Return'!F628)</f>
        <v>382.39544472805835</v>
      </c>
      <c r="U629" s="14">
        <f>+U628*(1+'SImple Return'!G628)</f>
        <v>273.56203578497644</v>
      </c>
      <c r="V629" s="14">
        <f>+V628*(1+'SImple Return'!H628)</f>
        <v>244.21250859380481</v>
      </c>
      <c r="W629" s="14">
        <f>+W628*(1+'SImple Return'!I628)</f>
        <v>445.07981773040405</v>
      </c>
      <c r="X629" s="14">
        <f>+X628*(1+'SImple Return'!J628)</f>
        <v>307.76762599349308</v>
      </c>
      <c r="Y629" s="14">
        <f>+Y628*(1+'SImple Return'!K628)</f>
        <v>230.73725109276353</v>
      </c>
      <c r="Z629" s="14">
        <f>+Z628*(1+'SImple Return'!L628)</f>
        <v>2342.1796932067195</v>
      </c>
      <c r="AA629" s="14">
        <f>+AA628*(1+'SImple Return'!M628)</f>
        <v>260.92402057776036</v>
      </c>
      <c r="AB629" s="14">
        <f>+AB628*(1+'SImple Return'!N628)</f>
        <v>355.19726228306024</v>
      </c>
    </row>
    <row r="630" spans="1:28">
      <c r="A630" s="8">
        <v>42020</v>
      </c>
      <c r="B630" s="10">
        <v>1675.15</v>
      </c>
      <c r="C630" s="10">
        <v>382.89</v>
      </c>
      <c r="D630" s="10">
        <v>203.21</v>
      </c>
      <c r="E630" s="11">
        <v>2984.78</v>
      </c>
      <c r="F630" s="11">
        <v>3907.97</v>
      </c>
      <c r="G630" s="11">
        <v>2815.6</v>
      </c>
      <c r="H630" s="14">
        <v>2484.44</v>
      </c>
      <c r="I630" s="14">
        <v>4604.47</v>
      </c>
      <c r="J630" s="14">
        <v>3105.98</v>
      </c>
      <c r="K630" s="14">
        <v>2373.13</v>
      </c>
      <c r="L630" s="14">
        <v>23737.95</v>
      </c>
      <c r="M630" s="14">
        <v>2693.1</v>
      </c>
      <c r="N630" s="14">
        <v>3626.76</v>
      </c>
      <c r="P630" s="14">
        <f>+P629*(1+'SImple Return'!B629)</f>
        <v>205.81513926601212</v>
      </c>
      <c r="Q630" s="14">
        <f>+Q629*(1+'SImple Return'!C629)</f>
        <v>178.5700960731277</v>
      </c>
      <c r="R630" s="14">
        <f>+R629*(1+'SImple Return'!D629)</f>
        <v>234.43700969081667</v>
      </c>
      <c r="S630" s="14">
        <f>+S629*(1+'SImple Return'!E629)</f>
        <v>297.83764905453256</v>
      </c>
      <c r="T630" s="14">
        <f>+T629*(1+'SImple Return'!F629)</f>
        <v>383.66090712743005</v>
      </c>
      <c r="U630" s="14">
        <f>+U629*(1+'SImple Return'!G629)</f>
        <v>275.89315460442498</v>
      </c>
      <c r="V630" s="14">
        <f>+V629*(1+'SImple Return'!H629)</f>
        <v>247.54541016111554</v>
      </c>
      <c r="W630" s="14">
        <f>+W629*(1+'SImple Return'!I629)</f>
        <v>459.11098702774876</v>
      </c>
      <c r="X630" s="14">
        <f>+X629*(1+'SImple Return'!J629)</f>
        <v>312.87888708686381</v>
      </c>
      <c r="Y630" s="14">
        <f>+Y629*(1+'SImple Return'!K629)</f>
        <v>230.51287032540074</v>
      </c>
      <c r="Z630" s="14">
        <f>+Z629*(1+'SImple Return'!L629)</f>
        <v>2311.9503287070847</v>
      </c>
      <c r="AA630" s="14">
        <f>+AA629*(1+'SImple Return'!M629)</f>
        <v>266.43252869014657</v>
      </c>
      <c r="AB630" s="14">
        <f>+AB629*(1+'SImple Return'!N629)</f>
        <v>354.6086531410412</v>
      </c>
    </row>
    <row r="631" spans="1:28">
      <c r="A631" s="8">
        <v>42027</v>
      </c>
      <c r="B631" s="10">
        <v>1707.74</v>
      </c>
      <c r="C631" s="10">
        <v>382.48</v>
      </c>
      <c r="D631" s="10">
        <v>206.07</v>
      </c>
      <c r="E631" s="11">
        <v>3020.33</v>
      </c>
      <c r="F631" s="11">
        <v>3992.73</v>
      </c>
      <c r="G631" s="11">
        <v>2846.96</v>
      </c>
      <c r="H631" s="14">
        <v>2516.58</v>
      </c>
      <c r="I631" s="14">
        <v>4594.71</v>
      </c>
      <c r="J631" s="14">
        <v>3120.73</v>
      </c>
      <c r="K631" s="14">
        <v>2462.44</v>
      </c>
      <c r="L631" s="14">
        <v>24565.66</v>
      </c>
      <c r="M631" s="14">
        <v>2701.96</v>
      </c>
      <c r="N631" s="14">
        <v>3703.35</v>
      </c>
      <c r="P631" s="14">
        <f>+P630*(1+'SImple Return'!B630)</f>
        <v>209.81926748657705</v>
      </c>
      <c r="Q631" s="14">
        <f>+Q630*(1+'SImple Return'!C630)</f>
        <v>178.37888256692494</v>
      </c>
      <c r="R631" s="14">
        <f>+R630*(1+'SImple Return'!D630)</f>
        <v>237.73650207660344</v>
      </c>
      <c r="S631" s="14">
        <f>+S630*(1+'SImple Return'!E630)</f>
        <v>301.38502220226491</v>
      </c>
      <c r="T631" s="14">
        <f>+T630*(1+'SImple Return'!F630)</f>
        <v>391.98213233850407</v>
      </c>
      <c r="U631" s="14">
        <f>+U630*(1+'SImple Return'!G630)</f>
        <v>278.9660375879435</v>
      </c>
      <c r="V631" s="14">
        <f>+V630*(1+'SImple Return'!H630)</f>
        <v>250.74778553849566</v>
      </c>
      <c r="W631" s="14">
        <f>+W630*(1+'SImple Return'!I630)</f>
        <v>458.13781894686412</v>
      </c>
      <c r="X631" s="14">
        <f>+X630*(1+'SImple Return'!J630)</f>
        <v>314.36471880005297</v>
      </c>
      <c r="Y631" s="14">
        <f>+Y630*(1+'SImple Return'!K630)</f>
        <v>239.18795531811568</v>
      </c>
      <c r="Z631" s="14">
        <f>+Z630*(1+'SImple Return'!L630)</f>
        <v>2392.5648892135368</v>
      </c>
      <c r="AA631" s="14">
        <f>+AA630*(1+'SImple Return'!M630)</f>
        <v>267.30906212900692</v>
      </c>
      <c r="AB631" s="14">
        <f>+AB630*(1+'SImple Return'!N630)</f>
        <v>362.0972867269615</v>
      </c>
    </row>
    <row r="632" spans="1:28">
      <c r="A632" s="8">
        <v>42034</v>
      </c>
      <c r="B632" s="10">
        <v>1677.54</v>
      </c>
      <c r="C632" s="10">
        <v>384.62</v>
      </c>
      <c r="D632" s="10">
        <v>203.21</v>
      </c>
      <c r="E632" s="11">
        <v>3023.17</v>
      </c>
      <c r="F632" s="11">
        <v>3925.04</v>
      </c>
      <c r="G632" s="11">
        <v>2829.85</v>
      </c>
      <c r="H632" s="14">
        <v>2500.64</v>
      </c>
      <c r="I632" s="14">
        <v>4514.84</v>
      </c>
      <c r="J632" s="14">
        <v>3108.22</v>
      </c>
      <c r="K632" s="14">
        <v>2434.9</v>
      </c>
      <c r="L632" s="14">
        <v>24285.1</v>
      </c>
      <c r="M632" s="14">
        <v>2699.88</v>
      </c>
      <c r="N632" s="14">
        <v>3643.34</v>
      </c>
      <c r="P632" s="14">
        <f>+P631*(1+'SImple Return'!B631)</f>
        <v>206.10878352643402</v>
      </c>
      <c r="Q632" s="14">
        <f>+Q631*(1+'SImple Return'!C631)</f>
        <v>179.37692379442237</v>
      </c>
      <c r="R632" s="14">
        <f>+R631*(1+'SImple Return'!D631)</f>
        <v>234.43700969081667</v>
      </c>
      <c r="S632" s="14">
        <f>+S631*(1+'SImple Return'!E631)</f>
        <v>301.66841291223852</v>
      </c>
      <c r="T632" s="14">
        <f>+T631*(1+'SImple Return'!F631)</f>
        <v>385.33673669742808</v>
      </c>
      <c r="U632" s="14">
        <f>+U631*(1+'SImple Return'!G631)</f>
        <v>277.28947419993318</v>
      </c>
      <c r="V632" s="14">
        <f>+V631*(1+'SImple Return'!H631)</f>
        <v>249.15955083048573</v>
      </c>
      <c r="W632" s="14">
        <f>+W631*(1+'SImple Return'!I631)</f>
        <v>450.17399367839539</v>
      </c>
      <c r="X632" s="14">
        <f>+X631*(1+'SImple Return'!J631)</f>
        <v>313.10453203856167</v>
      </c>
      <c r="Y632" s="14">
        <f>+Y631*(1+'SImple Return'!K631)</f>
        <v>236.51287032540077</v>
      </c>
      <c r="Z632" s="14">
        <f>+Z631*(1+'SImple Return'!L631)</f>
        <v>2365.2398344290223</v>
      </c>
      <c r="AA632" s="14">
        <f>+AA631*(1+'SImple Return'!M631)</f>
        <v>267.10328452710746</v>
      </c>
      <c r="AB632" s="14">
        <f>+AB631*(1+'SImple Return'!N631)</f>
        <v>356.22977267171831</v>
      </c>
    </row>
    <row r="633" spans="1:28">
      <c r="A633" s="8">
        <v>42041</v>
      </c>
      <c r="B633" s="10">
        <v>1720.55</v>
      </c>
      <c r="C633" s="10">
        <v>381.14</v>
      </c>
      <c r="D633" s="10">
        <v>203.77</v>
      </c>
      <c r="E633" s="11">
        <v>3027.16</v>
      </c>
      <c r="F633" s="11">
        <v>3933.11</v>
      </c>
      <c r="G633" s="11">
        <v>2827.97</v>
      </c>
      <c r="H633" s="14">
        <v>2438.9699999999998</v>
      </c>
      <c r="I633" s="14">
        <v>4546.62</v>
      </c>
      <c r="J633" s="14">
        <v>3034.47</v>
      </c>
      <c r="K633" s="14">
        <v>2453.25</v>
      </c>
      <c r="L633" s="14">
        <v>24397.75</v>
      </c>
      <c r="M633" s="14">
        <v>2734.91</v>
      </c>
      <c r="N633" s="14">
        <v>3689.34</v>
      </c>
      <c r="P633" s="14">
        <f>+P632*(1+'SImple Return'!B632)</f>
        <v>211.3931515769556</v>
      </c>
      <c r="Q633" s="14">
        <f>+Q632*(1+'SImple Return'!C632)</f>
        <v>177.7539408637256</v>
      </c>
      <c r="R633" s="14">
        <f>+R632*(1+'SImple Return'!D632)</f>
        <v>235.08306414397771</v>
      </c>
      <c r="S633" s="14">
        <f>+S632*(1+'SImple Return'!E632)</f>
        <v>302.0665569026591</v>
      </c>
      <c r="T633" s="14">
        <f>+T632*(1+'SImple Return'!F632)</f>
        <v>386.12900058904404</v>
      </c>
      <c r="U633" s="14">
        <f>+U632*(1+'SImple Return'!G632)</f>
        <v>277.10525800066608</v>
      </c>
      <c r="V633" s="14">
        <f>+V632*(1+'SImple Return'!H632)</f>
        <v>243.01485607245735</v>
      </c>
      <c r="W633" s="14">
        <f>+W632*(1+'SImple Return'!I632)</f>
        <v>453.34277253193153</v>
      </c>
      <c r="X633" s="14">
        <f>+X632*(1+'SImple Return'!J632)</f>
        <v>305.67537347261595</v>
      </c>
      <c r="Y633" s="14">
        <f>+Y632*(1+'SImple Return'!K632)</f>
        <v>238.29528897523076</v>
      </c>
      <c r="Z633" s="14">
        <f>+Z632*(1+'SImple Return'!L632)</f>
        <v>2376.2113464816157</v>
      </c>
      <c r="AA633" s="14">
        <f>+AA632*(1+'SImple Return'!M632)</f>
        <v>270.56885635140503</v>
      </c>
      <c r="AB633" s="14">
        <f>+AB632*(1+'SImple Return'!N632)</f>
        <v>360.7274505010999</v>
      </c>
    </row>
    <row r="634" spans="1:28">
      <c r="A634" s="8">
        <v>42048</v>
      </c>
      <c r="B634" s="10">
        <v>1752.18</v>
      </c>
      <c r="C634" s="10">
        <v>380.53</v>
      </c>
      <c r="D634" s="10">
        <v>204.63</v>
      </c>
      <c r="E634" s="11">
        <v>3009.05</v>
      </c>
      <c r="F634" s="11">
        <v>3938.37</v>
      </c>
      <c r="G634" s="11">
        <v>2840.38</v>
      </c>
      <c r="H634" s="14">
        <v>2382.9699999999998</v>
      </c>
      <c r="I634" s="14">
        <v>4572.43</v>
      </c>
      <c r="J634" s="14">
        <v>2967.98</v>
      </c>
      <c r="K634" s="14">
        <v>2509.84</v>
      </c>
      <c r="L634" s="14">
        <v>24567.53</v>
      </c>
      <c r="M634" s="14">
        <v>2742.77</v>
      </c>
      <c r="N634" s="14">
        <v>3722.59</v>
      </c>
      <c r="P634" s="14">
        <f>+P633*(1+'SImple Return'!B633)</f>
        <v>215.27933063852262</v>
      </c>
      <c r="Q634" s="14">
        <f>+Q633*(1+'SImple Return'!C633)</f>
        <v>177.46945247644831</v>
      </c>
      <c r="R634" s="14">
        <f>+R633*(1+'SImple Return'!D633)</f>
        <v>236.07521919704647</v>
      </c>
      <c r="S634" s="14">
        <f>+S633*(1+'SImple Return'!E633)</f>
        <v>300.2594421992714</v>
      </c>
      <c r="T634" s="14">
        <f>+T633*(1+'SImple Return'!F633)</f>
        <v>386.64539564107622</v>
      </c>
      <c r="U634" s="14">
        <f>+U633*(1+'SImple Return'!G633)</f>
        <v>278.32128089050877</v>
      </c>
      <c r="V634" s="14">
        <f>+V633*(1+'SImple Return'!H633)</f>
        <v>237.43511054870854</v>
      </c>
      <c r="W634" s="14">
        <f>+W633*(1+'SImple Return'!I633)</f>
        <v>455.91628361468082</v>
      </c>
      <c r="X634" s="14">
        <f>+X633*(1+'SImple Return'!J633)</f>
        <v>298.97754631261955</v>
      </c>
      <c r="Y634" s="14">
        <f>+Y633*(1+'SImple Return'!K633)</f>
        <v>243.79213210296268</v>
      </c>
      <c r="Z634" s="14">
        <f>+Z633*(1+'SImple Return'!L633)</f>
        <v>2392.7470172875569</v>
      </c>
      <c r="AA634" s="14">
        <f>+AA633*(1+'SImple Return'!M633)</f>
        <v>271.34645825089063</v>
      </c>
      <c r="AB634" s="14">
        <f>+AB633*(1+'SImple Return'!N633)</f>
        <v>363.97848936690292</v>
      </c>
    </row>
    <row r="635" spans="1:28">
      <c r="A635" s="8">
        <v>42055</v>
      </c>
      <c r="B635" s="10">
        <v>1768.09</v>
      </c>
      <c r="C635" s="10">
        <v>379.3</v>
      </c>
      <c r="D635" s="10">
        <v>204.26</v>
      </c>
      <c r="E635" s="11">
        <v>3005.69</v>
      </c>
      <c r="F635" s="11">
        <v>3942.7</v>
      </c>
      <c r="G635" s="11">
        <v>2846.49</v>
      </c>
      <c r="H635" s="14">
        <v>2405.0100000000002</v>
      </c>
      <c r="I635" s="14">
        <v>4582.59</v>
      </c>
      <c r="J635" s="14">
        <v>2995.94</v>
      </c>
      <c r="K635" s="14">
        <v>2472.81</v>
      </c>
      <c r="L635" s="14">
        <v>24442.98</v>
      </c>
      <c r="M635" s="14">
        <v>2733.68</v>
      </c>
      <c r="N635" s="14">
        <v>3719.96</v>
      </c>
      <c r="P635" s="14">
        <f>+P634*(1+'SImple Return'!B634)</f>
        <v>217.23409222149863</v>
      </c>
      <c r="Q635" s="14">
        <f>+Q634*(1+'SImple Return'!C634)</f>
        <v>176.89581195783998</v>
      </c>
      <c r="R635" s="14">
        <f>+R634*(1+'SImple Return'!D634)</f>
        <v>235.64836179049362</v>
      </c>
      <c r="S635" s="14">
        <f>+S634*(1+'SImple Return'!E634)</f>
        <v>299.92416304944351</v>
      </c>
      <c r="T635" s="14">
        <f>+T634*(1+'SImple Return'!F634)</f>
        <v>387.07048890634223</v>
      </c>
      <c r="U635" s="14">
        <f>+U634*(1+'SImple Return'!G634)</f>
        <v>278.9199835381267</v>
      </c>
      <c r="V635" s="14">
        <f>+V634*(1+'SImple Return'!H634)</f>
        <v>239.63113896555541</v>
      </c>
      <c r="W635" s="14">
        <f>+W634*(1+'SImple Return'!I634)</f>
        <v>456.92933563330666</v>
      </c>
      <c r="X635" s="14">
        <f>+X634*(1+'SImple Return'!J634)</f>
        <v>301.79407883470554</v>
      </c>
      <c r="Y635" s="14">
        <f>+Y634*(1+'SImple Return'!K634)</f>
        <v>240.19524040796512</v>
      </c>
      <c r="Z635" s="14">
        <f>+Z634*(1+'SImple Return'!L634)</f>
        <v>2380.6165084002914</v>
      </c>
      <c r="AA635" s="14">
        <f>+AA634*(1+'SImple Return'!M634)</f>
        <v>270.44717055797412</v>
      </c>
      <c r="AB635" s="14">
        <f>+AB634*(1+'SImple Return'!N634)</f>
        <v>363.72133952578827</v>
      </c>
    </row>
    <row r="636" spans="1:28">
      <c r="A636" s="8">
        <v>42062</v>
      </c>
      <c r="B636" s="10">
        <v>1772.86</v>
      </c>
      <c r="C636" s="10">
        <v>381</v>
      </c>
      <c r="D636" s="10">
        <v>202.83</v>
      </c>
      <c r="E636" s="11">
        <v>3000.83</v>
      </c>
      <c r="F636" s="11">
        <v>3907.43</v>
      </c>
      <c r="G636" s="11">
        <v>2858.31</v>
      </c>
      <c r="H636" s="14">
        <v>2391.62</v>
      </c>
      <c r="I636" s="14">
        <v>4661.6899999999996</v>
      </c>
      <c r="J636" s="14">
        <v>3033.9</v>
      </c>
      <c r="K636" s="14">
        <v>2508.58</v>
      </c>
      <c r="L636" s="14">
        <v>24510.09</v>
      </c>
      <c r="M636" s="14">
        <v>2729.26</v>
      </c>
      <c r="N636" s="14">
        <v>3679.06</v>
      </c>
      <c r="P636" s="14">
        <f>+P635*(1+'SImple Return'!B635)</f>
        <v>217.82015210526956</v>
      </c>
      <c r="Q636" s="14">
        <f>+Q635*(1+'SImple Return'!C635)</f>
        <v>177.68864844697345</v>
      </c>
      <c r="R636" s="14">
        <f>+R635*(1+'SImple Return'!D635)</f>
        <v>233.99861559760026</v>
      </c>
      <c r="S636" s="14">
        <f>+S635*(1+'SImple Return'!E635)</f>
        <v>299.43920570772815</v>
      </c>
      <c r="T636" s="14">
        <f>+T635*(1+'SImple Return'!F635)</f>
        <v>383.60789318672704</v>
      </c>
      <c r="U636" s="14">
        <f>+U635*(1+'SImple Return'!G635)</f>
        <v>280.07819389734829</v>
      </c>
      <c r="V636" s="14">
        <f>+V635*(1+'SImple Return'!H635)</f>
        <v>238.29698195550185</v>
      </c>
      <c r="W636" s="14">
        <f>+W635*(1+'SImple Return'!I635)</f>
        <v>464.81638432162356</v>
      </c>
      <c r="X636" s="14">
        <f>+X635*(1+'SImple Return'!J635)</f>
        <v>305.61795489115707</v>
      </c>
      <c r="Y636" s="14">
        <f>+Y635*(1+'SImple Return'!K635)</f>
        <v>243.66974259349206</v>
      </c>
      <c r="Z636" s="14">
        <f>+Z635*(1+'SImple Return'!L635)</f>
        <v>2387.1526661796925</v>
      </c>
      <c r="AA636" s="14">
        <f>+AA635*(1+'SImple Return'!M635)</f>
        <v>270.00989315393775</v>
      </c>
      <c r="AB636" s="14">
        <f>+AB635*(1+'SImple Return'!N635)</f>
        <v>359.72231728183812</v>
      </c>
    </row>
    <row r="637" spans="1:28">
      <c r="A637" s="8">
        <v>42069</v>
      </c>
      <c r="B637" s="10">
        <v>1741.99</v>
      </c>
      <c r="C637" s="10">
        <v>375.66</v>
      </c>
      <c r="D637" s="10">
        <v>197.52</v>
      </c>
      <c r="E637" s="11">
        <v>2877.98</v>
      </c>
      <c r="F637" s="11">
        <v>3830.17</v>
      </c>
      <c r="G637" s="11">
        <v>2888.14</v>
      </c>
      <c r="H637" s="14">
        <v>2285.2800000000002</v>
      </c>
      <c r="I637" s="14">
        <v>4546.1099999999997</v>
      </c>
      <c r="J637" s="14">
        <v>2919.31</v>
      </c>
      <c r="K637" s="14">
        <v>2428.79</v>
      </c>
      <c r="L637" s="14">
        <v>24032.86</v>
      </c>
      <c r="M637" s="14">
        <v>2658.15</v>
      </c>
      <c r="N637" s="14">
        <v>3646.83</v>
      </c>
      <c r="P637" s="14">
        <f>+P636*(1+'SImple Return'!B636)</f>
        <v>214.02734946124258</v>
      </c>
      <c r="Q637" s="14">
        <f>+Q636*(1+'SImple Return'!C636)</f>
        <v>175.1982091222836</v>
      </c>
      <c r="R637" s="14">
        <f>+R636*(1+'SImple Return'!D636)</f>
        <v>227.87263497923388</v>
      </c>
      <c r="S637" s="14">
        <f>+S636*(1+'SImple Return'!E636)</f>
        <v>287.18056179214665</v>
      </c>
      <c r="T637" s="14">
        <f>+T636*(1+'SImple Return'!F636)</f>
        <v>376.02297270763813</v>
      </c>
      <c r="U637" s="14">
        <f>+U636*(1+'SImple Return'!G636)</f>
        <v>283.00115625061227</v>
      </c>
      <c r="V637" s="14">
        <f>+V636*(1+'SImple Return'!H636)</f>
        <v>227.70144375915459</v>
      </c>
      <c r="W637" s="14">
        <f>+W636*(1+'SImple Return'!I636)</f>
        <v>453.29192051131156</v>
      </c>
      <c r="X637" s="14">
        <f>+X636*(1+'SImple Return'!J636)</f>
        <v>294.07480533086249</v>
      </c>
      <c r="Y637" s="14">
        <f>+Y636*(1+'SImple Return'!K636)</f>
        <v>235.91937833899959</v>
      </c>
      <c r="Z637" s="14">
        <f>+Z636*(1+'SImple Return'!L636)</f>
        <v>2340.6729973216452</v>
      </c>
      <c r="AA637" s="14">
        <f>+AA636*(1+'SImple Return'!M636)</f>
        <v>262.97487138899908</v>
      </c>
      <c r="AB637" s="14">
        <f>+AB636*(1+'SImple Return'!N636)</f>
        <v>356.57100953312141</v>
      </c>
    </row>
    <row r="638" spans="1:28">
      <c r="A638" s="8">
        <v>42076</v>
      </c>
      <c r="B638" s="10">
        <v>1719.82</v>
      </c>
      <c r="C638" s="10">
        <v>376.4</v>
      </c>
      <c r="D638" s="10">
        <v>197.63</v>
      </c>
      <c r="E638" s="11">
        <v>2792.96</v>
      </c>
      <c r="F638" s="11">
        <v>3766.64</v>
      </c>
      <c r="G638" s="11">
        <v>2826.11</v>
      </c>
      <c r="H638" s="14">
        <v>2250.08</v>
      </c>
      <c r="I638" s="14">
        <v>4573.3599999999997</v>
      </c>
      <c r="J638" s="14">
        <v>2833.33</v>
      </c>
      <c r="K638" s="14">
        <v>2398.9</v>
      </c>
      <c r="L638" s="14">
        <v>23723.29</v>
      </c>
      <c r="M638" s="14">
        <v>2588.85</v>
      </c>
      <c r="N638" s="14">
        <v>3558.62</v>
      </c>
      <c r="P638" s="14">
        <f>+P637*(1+'SImple Return'!B637)</f>
        <v>211.30346107063426</v>
      </c>
      <c r="Q638" s="14">
        <f>+Q637*(1+'SImple Return'!C637)</f>
        <v>175.54332618225934</v>
      </c>
      <c r="R638" s="14">
        <f>+R637*(1+'SImple Return'!D637)</f>
        <v>227.99953853253336</v>
      </c>
      <c r="S638" s="14">
        <f>+S637*(1+'SImple Return'!E637)</f>
        <v>278.6968018759664</v>
      </c>
      <c r="T638" s="14">
        <f>+T637*(1+'SImple Return'!F637)</f>
        <v>369.78598075790319</v>
      </c>
      <c r="U638" s="14">
        <f>+U637*(1+'SImple Return'!G637)</f>
        <v>276.92300154819986</v>
      </c>
      <c r="V638" s="14">
        <f>+V637*(1+'SImple Return'!H637)</f>
        <v>224.19417514422673</v>
      </c>
      <c r="W638" s="14">
        <f>+W637*(1+'SImple Return'!I637)</f>
        <v>456.00901376992897</v>
      </c>
      <c r="X638" s="14">
        <f>+X637*(1+'SImple Return'!J637)</f>
        <v>285.41366562238767</v>
      </c>
      <c r="Y638" s="14">
        <f>+Y637*(1+'SImple Return'!K637)</f>
        <v>233.01602719766885</v>
      </c>
      <c r="Z638" s="14">
        <f>+Z637*(1+'SImple Return'!L637)</f>
        <v>2310.5225225225217</v>
      </c>
      <c r="AA638" s="14">
        <f>+AA637*(1+'SImple Return'!M637)</f>
        <v>256.11891571032868</v>
      </c>
      <c r="AB638" s="14">
        <f>+AB637*(1+'SImple Return'!N637)</f>
        <v>347.94622341725733</v>
      </c>
    </row>
    <row r="639" spans="1:28">
      <c r="A639" s="8">
        <v>42083</v>
      </c>
      <c r="B639" s="10">
        <v>1774.57</v>
      </c>
      <c r="C639" s="10">
        <v>380.73</v>
      </c>
      <c r="D639" s="10">
        <v>205.16</v>
      </c>
      <c r="E639" s="11">
        <v>2945.26</v>
      </c>
      <c r="F639" s="11">
        <v>3932.12</v>
      </c>
      <c r="G639" s="11">
        <v>2919.69</v>
      </c>
      <c r="H639" s="14">
        <v>2335.9299999999998</v>
      </c>
      <c r="I639" s="14">
        <v>4808.92</v>
      </c>
      <c r="J639" s="14">
        <v>3006.48</v>
      </c>
      <c r="K639" s="14">
        <v>2438.19</v>
      </c>
      <c r="L639" s="14">
        <v>24525.040000000001</v>
      </c>
      <c r="M639" s="14">
        <v>2715</v>
      </c>
      <c r="N639" s="14">
        <v>3731.78</v>
      </c>
      <c r="P639" s="14">
        <f>+P638*(1+'SImple Return'!B638)</f>
        <v>218.0302490447346</v>
      </c>
      <c r="Q639" s="14">
        <f>+Q638*(1+'SImple Return'!C638)</f>
        <v>177.56272735752287</v>
      </c>
      <c r="R639" s="14">
        <f>+R638*(1+'SImple Return'!D638)</f>
        <v>236.6866635902168</v>
      </c>
      <c r="S639" s="14">
        <f>+S638*(1+'SImple Return'!E638)</f>
        <v>293.89412762560471</v>
      </c>
      <c r="T639" s="14">
        <f>+T638*(1+'SImple Return'!F638)</f>
        <v>386.03180836442192</v>
      </c>
      <c r="U639" s="14">
        <f>+U638*(1+'SImple Return'!G638)</f>
        <v>286.09265682873763</v>
      </c>
      <c r="V639" s="14">
        <f>+V638*(1+'SImple Return'!H638)</f>
        <v>232.74812430875946</v>
      </c>
      <c r="W639" s="14">
        <f>+W638*(1+'SImple Return'!I638)</f>
        <v>479.49666470570583</v>
      </c>
      <c r="X639" s="14">
        <f>+X638*(1+'SImple Return'!J638)</f>
        <v>302.85581891992678</v>
      </c>
      <c r="Y639" s="14">
        <f>+Y638*(1+'SImple Return'!K638)</f>
        <v>236.83244293346291</v>
      </c>
      <c r="Z639" s="14">
        <f>+Z638*(1+'SImple Return'!L638)</f>
        <v>2388.6087168249323</v>
      </c>
      <c r="AA639" s="14">
        <f>+AA638*(1+'SImple Return'!M638)</f>
        <v>268.59912940245374</v>
      </c>
      <c r="AB639" s="14">
        <f>+AB638*(1+'SImple Return'!N638)</f>
        <v>364.87704717672938</v>
      </c>
    </row>
    <row r="640" spans="1:28">
      <c r="A640" s="8">
        <v>42090</v>
      </c>
      <c r="B640" s="10">
        <v>1744.82</v>
      </c>
      <c r="C640" s="10">
        <v>381.05</v>
      </c>
      <c r="D640" s="10">
        <v>202.64</v>
      </c>
      <c r="E640" s="11">
        <v>2952.78</v>
      </c>
      <c r="F640" s="11">
        <v>3881.25</v>
      </c>
      <c r="G640" s="11">
        <v>2950.25</v>
      </c>
      <c r="H640" s="14">
        <v>2302.9</v>
      </c>
      <c r="I640" s="14">
        <v>4882.46</v>
      </c>
      <c r="J640" s="14">
        <v>2967.68</v>
      </c>
      <c r="K640" s="14">
        <v>2429.63</v>
      </c>
      <c r="L640" s="14">
        <v>24236.720000000001</v>
      </c>
      <c r="M640" s="14">
        <v>2762.31</v>
      </c>
      <c r="N640" s="14">
        <v>3711.3</v>
      </c>
      <c r="P640" s="14">
        <f>+P639*(1+'SImple Return'!B639)</f>
        <v>214.37505375287188</v>
      </c>
      <c r="Q640" s="14">
        <f>+Q639*(1+'SImple Return'!C639)</f>
        <v>177.71196716724211</v>
      </c>
      <c r="R640" s="14">
        <f>+R639*(1+'SImple Return'!D639)</f>
        <v>233.77941855099203</v>
      </c>
      <c r="S640" s="14">
        <f>+S639*(1+'SImple Return'!E639)</f>
        <v>294.64451429426708</v>
      </c>
      <c r="T640" s="14">
        <f>+T639*(1+'SImple Return'!F639)</f>
        <v>381.03769880227782</v>
      </c>
      <c r="U640" s="14">
        <f>+U639*(1+'SImple Return'!G639)</f>
        <v>289.08714994022762</v>
      </c>
      <c r="V640" s="14">
        <f>+V639*(1+'SImple Return'!H639)</f>
        <v>229.45707083287692</v>
      </c>
      <c r="W640" s="14">
        <f>+W639*(1+'SImple Return'!I639)</f>
        <v>486.82932665942053</v>
      </c>
      <c r="X640" s="14">
        <f>+X639*(1+'SImple Return'!J639)</f>
        <v>298.94732600658853</v>
      </c>
      <c r="Y640" s="14">
        <f>+Y639*(1+'SImple Return'!K639)</f>
        <v>236.00097134531333</v>
      </c>
      <c r="Z640" s="14">
        <f>+Z639*(1+'SImple Return'!L639)</f>
        <v>2360.5278792305812</v>
      </c>
      <c r="AA640" s="14">
        <f>+AA639*(1+'SImple Return'!M639)</f>
        <v>273.27958053027328</v>
      </c>
      <c r="AB640" s="14">
        <f>+AB639*(1+'SImple Return'!N639)</f>
        <v>362.87460278660473</v>
      </c>
    </row>
    <row r="641" spans="1:28">
      <c r="A641" s="8">
        <v>42097</v>
      </c>
      <c r="B641" s="10">
        <v>1750.26</v>
      </c>
      <c r="C641" s="10">
        <v>382.5</v>
      </c>
      <c r="D641" s="10">
        <v>203.52</v>
      </c>
      <c r="E641" s="11">
        <v>2950.25</v>
      </c>
      <c r="F641" s="11">
        <v>3919.6</v>
      </c>
      <c r="G641" s="11">
        <v>2991.96</v>
      </c>
      <c r="H641" s="14">
        <v>2316.16</v>
      </c>
      <c r="I641" s="14">
        <v>4952.4399999999996</v>
      </c>
      <c r="J641" s="14">
        <v>3002.95</v>
      </c>
      <c r="K641" s="14">
        <v>2502.4299999999998</v>
      </c>
      <c r="L641" s="14">
        <v>24150.38</v>
      </c>
      <c r="M641" s="14">
        <v>2768.17</v>
      </c>
      <c r="N641" s="14">
        <v>3756.12</v>
      </c>
      <c r="P641" s="14">
        <f>+P640*(1+'SImple Return'!B640)</f>
        <v>215.04343232052682</v>
      </c>
      <c r="Q641" s="14">
        <f>+Q640*(1+'SImple Return'!C640)</f>
        <v>178.38821005503243</v>
      </c>
      <c r="R641" s="14">
        <f>+R640*(1+'SImple Return'!D640)</f>
        <v>234.79464697738803</v>
      </c>
      <c r="S641" s="14">
        <f>+S640*(1+'SImple Return'!E640)</f>
        <v>294.3920570772836</v>
      </c>
      <c r="T641" s="14">
        <f>+T640*(1+'SImple Return'!F640)</f>
        <v>384.80267033182815</v>
      </c>
      <c r="U641" s="14">
        <f>+U640*(1+'SImple Return'!G640)</f>
        <v>293.17420189311531</v>
      </c>
      <c r="V641" s="14">
        <f>+V640*(1+'SImple Return'!H640)</f>
        <v>230.7782748622503</v>
      </c>
      <c r="W641" s="14">
        <f>+W640*(1+'SImple Return'!I640)</f>
        <v>493.80702156723873</v>
      </c>
      <c r="X641" s="14">
        <f>+X640*(1+'SImple Return'!J640)</f>
        <v>302.50022665229574</v>
      </c>
      <c r="Y641" s="14">
        <f>+Y640*(1+'SImple Return'!K640)</f>
        <v>243.07236522583781</v>
      </c>
      <c r="Z641" s="14">
        <f>+Z640*(1+'SImple Return'!L640)</f>
        <v>2352.118821524226</v>
      </c>
      <c r="AA641" s="14">
        <f>+AA640*(1+'SImple Return'!M640)</f>
        <v>273.85931935100933</v>
      </c>
      <c r="AB641" s="14">
        <f>+AB640*(1+'SImple Return'!N640)</f>
        <v>367.25690540210212</v>
      </c>
    </row>
    <row r="642" spans="1:28">
      <c r="A642" s="8">
        <v>42104</v>
      </c>
      <c r="B642" s="10">
        <v>1779.47</v>
      </c>
      <c r="C642" s="10">
        <v>380.21</v>
      </c>
      <c r="D642" s="10">
        <v>204.03</v>
      </c>
      <c r="E642" s="11">
        <v>2987.62</v>
      </c>
      <c r="F642" s="11">
        <v>3950.01</v>
      </c>
      <c r="G642" s="11">
        <v>3123.43</v>
      </c>
      <c r="H642" s="14">
        <v>2329.34</v>
      </c>
      <c r="I642" s="14">
        <v>5022.0600000000004</v>
      </c>
      <c r="J642" s="14">
        <v>3068.75</v>
      </c>
      <c r="K642" s="14">
        <v>2618.5100000000002</v>
      </c>
      <c r="L642" s="14">
        <v>24042.36</v>
      </c>
      <c r="M642" s="14">
        <v>2818.01</v>
      </c>
      <c r="N642" s="14">
        <v>3827.6</v>
      </c>
      <c r="P642" s="14">
        <f>+P641*(1+'SImple Return'!B641)</f>
        <v>218.63228121045321</v>
      </c>
      <c r="Q642" s="14">
        <f>+Q641*(1+'SImple Return'!C641)</f>
        <v>177.32021266672908</v>
      </c>
      <c r="R642" s="14">
        <f>+R641*(1+'SImple Return'!D641)</f>
        <v>235.38301799723112</v>
      </c>
      <c r="S642" s="14">
        <f>+S641*(1+'SImple Return'!E641)</f>
        <v>298.12103976450607</v>
      </c>
      <c r="T642" s="14">
        <f>+T641*(1+'SImple Return'!F641)</f>
        <v>387.78814058511699</v>
      </c>
      <c r="U642" s="14">
        <f>+U641*(1+'SImple Return'!G641)</f>
        <v>306.05659748760451</v>
      </c>
      <c r="V642" s="14">
        <f>+V641*(1+'SImple Return'!H641)</f>
        <v>232.09150782658978</v>
      </c>
      <c r="W642" s="14">
        <f>+W641*(1+'SImple Return'!I641)</f>
        <v>500.74882093108999</v>
      </c>
      <c r="X642" s="14">
        <f>+X641*(1+'SImple Return'!J641)</f>
        <v>309.12854710842089</v>
      </c>
      <c r="Y642" s="14">
        <f>+Y641*(1+'SImple Return'!K641)</f>
        <v>254.34774162214671</v>
      </c>
      <c r="Z642" s="14">
        <f>+Z641*(1+'SImple Return'!L641)</f>
        <v>2341.5982468955431</v>
      </c>
      <c r="AA642" s="14">
        <f>+AA641*(1+'SImple Return'!M641)</f>
        <v>278.79006727344705</v>
      </c>
      <c r="AB642" s="14">
        <f>+AB641*(1+'SImple Return'!N641)</f>
        <v>374.24590564654113</v>
      </c>
    </row>
    <row r="643" spans="1:28">
      <c r="A643" s="8">
        <v>42111</v>
      </c>
      <c r="B643" s="10">
        <v>1769.01</v>
      </c>
      <c r="C643" s="10">
        <v>382.87</v>
      </c>
      <c r="D643" s="10">
        <v>202.75</v>
      </c>
      <c r="E643" s="11">
        <v>2984.99</v>
      </c>
      <c r="F643" s="11">
        <v>4006.57</v>
      </c>
      <c r="G643" s="11">
        <v>3122.86</v>
      </c>
      <c r="H643" s="14">
        <v>2327.6</v>
      </c>
      <c r="I643" s="14">
        <v>4938.5600000000004</v>
      </c>
      <c r="J643" s="14">
        <v>3101.37</v>
      </c>
      <c r="K643" s="14">
        <v>2598.92</v>
      </c>
      <c r="L643" s="14">
        <v>24255.13</v>
      </c>
      <c r="M643" s="14">
        <v>2814.61</v>
      </c>
      <c r="N643" s="14">
        <v>3889.67</v>
      </c>
      <c r="P643" s="14">
        <f>+P642*(1+'SImple Return'!B642)</f>
        <v>217.34712683220499</v>
      </c>
      <c r="Q643" s="14">
        <f>+Q642*(1+'SImple Return'!C642)</f>
        <v>178.5607685850203</v>
      </c>
      <c r="R643" s="14">
        <f>+R642*(1+'SImple Return'!D642)</f>
        <v>233.90632210429155</v>
      </c>
      <c r="S643" s="14">
        <f>+S642*(1+'SImple Return'!E642)</f>
        <v>297.85860400139671</v>
      </c>
      <c r="T643" s="14">
        <f>+T642*(1+'SImple Return'!F642)</f>
        <v>393.34086000392716</v>
      </c>
      <c r="U643" s="14">
        <f>+U642*(1+'SImple Return'!G642)</f>
        <v>306.00074470378422</v>
      </c>
      <c r="V643" s="14">
        <f>+V642*(1+'SImple Return'!H642)</f>
        <v>231.91813716210183</v>
      </c>
      <c r="W643" s="14">
        <f>+W642*(1+'SImple Return'!I642)</f>
        <v>492.42304892762007</v>
      </c>
      <c r="X643" s="14">
        <f>+X642*(1+'SImple Return'!J642)</f>
        <v>312.41450171752126</v>
      </c>
      <c r="Y643" s="14">
        <f>+Y642*(1+'SImple Return'!K642)</f>
        <v>252.44487615347259</v>
      </c>
      <c r="Z643" s="14">
        <f>+Z642*(1+'SImple Return'!L642)</f>
        <v>2362.320915510104</v>
      </c>
      <c r="AA643" s="14">
        <f>+AA642*(1+'SImple Return'!M642)</f>
        <v>278.45370003957288</v>
      </c>
      <c r="AB643" s="14">
        <f>+AB642*(1+'SImple Return'!N642)</f>
        <v>380.31483744805661</v>
      </c>
    </row>
    <row r="644" spans="1:28">
      <c r="A644" s="8">
        <v>42118</v>
      </c>
      <c r="B644" s="10">
        <v>1799.86</v>
      </c>
      <c r="C644" s="10">
        <v>382.51</v>
      </c>
      <c r="D644" s="10">
        <v>203.63</v>
      </c>
      <c r="E644" s="11">
        <v>3047.37</v>
      </c>
      <c r="F644" s="11">
        <v>4055.59</v>
      </c>
      <c r="G644" s="11">
        <v>3191.95</v>
      </c>
      <c r="H644" s="14">
        <v>2373.2800000000002</v>
      </c>
      <c r="I644" s="14">
        <v>5081.7</v>
      </c>
      <c r="J644" s="14">
        <v>3214.3</v>
      </c>
      <c r="K644" s="14">
        <v>2742.86</v>
      </c>
      <c r="L644" s="14">
        <v>24026.51</v>
      </c>
      <c r="M644" s="14">
        <v>2891.66</v>
      </c>
      <c r="N644" s="14">
        <v>3948.95</v>
      </c>
      <c r="P644" s="14">
        <f>+P643*(1+'SImple Return'!B643)</f>
        <v>221.13747220208614</v>
      </c>
      <c r="Q644" s="14">
        <f>+Q643*(1+'SImple Return'!C643)</f>
        <v>178.39287379908615</v>
      </c>
      <c r="R644" s="14">
        <f>+R643*(1+'SImple Return'!D643)</f>
        <v>234.92155053068751</v>
      </c>
      <c r="S644" s="14">
        <f>+S643*(1+'SImple Return'!E643)</f>
        <v>304.08322107468916</v>
      </c>
      <c r="T644" s="14">
        <f>+T643*(1+'SImple Return'!F643)</f>
        <v>398.15334773218166</v>
      </c>
      <c r="U644" s="14">
        <f>+U643*(1+'SImple Return'!G643)</f>
        <v>312.77069002684846</v>
      </c>
      <c r="V644" s="14">
        <f>+V643*(1+'SImple Return'!H643)</f>
        <v>236.46961529647407</v>
      </c>
      <c r="W644" s="14">
        <f>+W643*(1+'SImple Return'!I643)</f>
        <v>506.69551604829883</v>
      </c>
      <c r="X644" s="14">
        <f>+X643*(1+'SImple Return'!J643)</f>
        <v>323.79043225111116</v>
      </c>
      <c r="Y644" s="14">
        <f>+Y643*(1+'SImple Return'!K643)</f>
        <v>266.42642059252069</v>
      </c>
      <c r="Z644" s="14">
        <f>+Z643*(1+'SImple Return'!L643)</f>
        <v>2340.0545410275131</v>
      </c>
      <c r="AA644" s="14">
        <f>+AA643*(1+'SImple Return'!M643)</f>
        <v>286.07637514839757</v>
      </c>
      <c r="AB644" s="14">
        <f>+AB643*(1+'SImple Return'!N643)</f>
        <v>386.11097531165962</v>
      </c>
    </row>
    <row r="645" spans="1:28">
      <c r="A645" s="8">
        <v>42125</v>
      </c>
      <c r="B645" s="10">
        <v>1787.4</v>
      </c>
      <c r="C645" s="10">
        <v>379.81</v>
      </c>
      <c r="D645" s="10">
        <v>199.98</v>
      </c>
      <c r="E645" s="11">
        <v>3037.14</v>
      </c>
      <c r="F645" s="11">
        <v>3975.8</v>
      </c>
      <c r="G645" s="11">
        <v>3117.83</v>
      </c>
      <c r="H645" s="14">
        <v>2345.2800000000002</v>
      </c>
      <c r="I645" s="14">
        <v>4947.49</v>
      </c>
      <c r="J645" s="14">
        <v>3100.12</v>
      </c>
      <c r="K645" s="14">
        <v>2709.64</v>
      </c>
      <c r="L645" s="14">
        <v>23562.799999999999</v>
      </c>
      <c r="M645" s="14">
        <v>2946.15</v>
      </c>
      <c r="N645" s="14">
        <v>3866.16</v>
      </c>
      <c r="P645" s="14">
        <f>+P644*(1+'SImple Return'!B644)</f>
        <v>219.60659040925896</v>
      </c>
      <c r="Q645" s="14">
        <f>+Q644*(1+'SImple Return'!C644)</f>
        <v>177.13366290458004</v>
      </c>
      <c r="R645" s="14">
        <f>+R644*(1+'SImple Return'!D644)</f>
        <v>230.71065989847708</v>
      </c>
      <c r="S645" s="14">
        <f>+S644*(1+'SImple Return'!E644)</f>
        <v>303.06241580601682</v>
      </c>
      <c r="T645" s="14">
        <f>+T644*(1+'SImple Return'!F644)</f>
        <v>390.32004712350306</v>
      </c>
      <c r="U645" s="14">
        <f>+U644*(1+'SImple Return'!G644)</f>
        <v>305.5078683834048</v>
      </c>
      <c r="V645" s="14">
        <f>+V644*(1+'SImple Return'!H644)</f>
        <v>233.67974253459965</v>
      </c>
      <c r="W645" s="14">
        <f>+W644*(1+'SImple Return'!I644)</f>
        <v>493.31345783769166</v>
      </c>
      <c r="X645" s="14">
        <f>+X644*(1+'SImple Return'!J644)</f>
        <v>312.28858377572556</v>
      </c>
      <c r="Y645" s="14">
        <f>+Y644*(1+'SImple Return'!K644)</f>
        <v>263.19961146187472</v>
      </c>
      <c r="Z645" s="14">
        <f>+Z644*(1+'SImple Return'!L644)</f>
        <v>2294.891648405161</v>
      </c>
      <c r="AA645" s="14">
        <f>+AA644*(1+'SImple Return'!M644)</f>
        <v>291.46715472892788</v>
      </c>
      <c r="AB645" s="14">
        <f>+AB644*(1+'SImple Return'!N644)</f>
        <v>378.01613297482265</v>
      </c>
    </row>
    <row r="646" spans="1:28">
      <c r="A646" s="8">
        <v>42132</v>
      </c>
      <c r="B646" s="10">
        <v>1794.7</v>
      </c>
      <c r="C646" s="10">
        <v>379.16</v>
      </c>
      <c r="D646" s="10">
        <v>200.24</v>
      </c>
      <c r="E646" s="11">
        <v>3065.57</v>
      </c>
      <c r="F646" s="11">
        <v>3935.89</v>
      </c>
      <c r="G646" s="11">
        <v>3066.99</v>
      </c>
      <c r="H646" s="14">
        <v>2358.86</v>
      </c>
      <c r="I646" s="14">
        <v>4976.74</v>
      </c>
      <c r="J646" s="14">
        <v>3176.65</v>
      </c>
      <c r="K646" s="14">
        <v>2640.2</v>
      </c>
      <c r="L646" s="14">
        <v>23686.720000000001</v>
      </c>
      <c r="M646" s="14">
        <v>2839.48</v>
      </c>
      <c r="N646" s="14">
        <v>3817.52</v>
      </c>
      <c r="P646" s="14">
        <f>+P645*(1+'SImple Return'!B645)</f>
        <v>220.50349547247231</v>
      </c>
      <c r="Q646" s="14">
        <f>+Q645*(1+'SImple Return'!C645)</f>
        <v>176.83051954108785</v>
      </c>
      <c r="R646" s="14">
        <f>+R645*(1+'SImple Return'!D645)</f>
        <v>231.01061375173043</v>
      </c>
      <c r="S646" s="14">
        <f>+S645*(1+'SImple Return'!E645)</f>
        <v>305.89931646959019</v>
      </c>
      <c r="T646" s="14">
        <f>+T645*(1+'SImple Return'!F645)</f>
        <v>386.40192420969976</v>
      </c>
      <c r="U646" s="14">
        <f>+U645*(1+'SImple Return'!G645)</f>
        <v>300.52619201599146</v>
      </c>
      <c r="V646" s="14">
        <f>+V645*(1+'SImple Return'!H645)</f>
        <v>235.03283082410871</v>
      </c>
      <c r="W646" s="14">
        <f>+W645*(1+'SImple Return'!I645)</f>
        <v>496.22997078501498</v>
      </c>
      <c r="X646" s="14">
        <f>+X645*(1+'SImple Return'!J645)</f>
        <v>319.99778384422495</v>
      </c>
      <c r="Y646" s="14">
        <f>+Y645*(1+'SImple Return'!K645)</f>
        <v>256.45458960660517</v>
      </c>
      <c r="Z646" s="14">
        <f>+Z645*(1+'SImple Return'!L645)</f>
        <v>2306.960798636474</v>
      </c>
      <c r="AA646" s="14">
        <f>+AA645*(1+'SImple Return'!M645)</f>
        <v>280.914127423823</v>
      </c>
      <c r="AB646" s="14">
        <f>+AB645*(1+'SImple Return'!N645)</f>
        <v>373.26032754827656</v>
      </c>
    </row>
    <row r="647" spans="1:28">
      <c r="A647" s="8">
        <v>42139</v>
      </c>
      <c r="B647" s="10">
        <v>1807.06</v>
      </c>
      <c r="C647" s="10">
        <v>380.26</v>
      </c>
      <c r="D647" s="10">
        <v>202.44</v>
      </c>
      <c r="E647" s="11">
        <v>3137.32</v>
      </c>
      <c r="F647" s="11">
        <v>3968.22</v>
      </c>
      <c r="G647" s="11">
        <v>3127.86</v>
      </c>
      <c r="H647" s="14">
        <v>2390.6999999999998</v>
      </c>
      <c r="I647" s="14">
        <v>5082.91</v>
      </c>
      <c r="J647" s="14">
        <v>3217.13</v>
      </c>
      <c r="K647" s="14">
        <v>2681.88</v>
      </c>
      <c r="L647" s="14">
        <v>23941.18</v>
      </c>
      <c r="M647" s="14">
        <v>2942.3</v>
      </c>
      <c r="N647" s="14">
        <v>3857.26</v>
      </c>
      <c r="P647" s="14">
        <f>+P646*(1+'SImple Return'!B646)</f>
        <v>222.02209089457057</v>
      </c>
      <c r="Q647" s="14">
        <f>+Q646*(1+'SImple Return'!C646)</f>
        <v>177.34353138699774</v>
      </c>
      <c r="R647" s="14">
        <f>+R646*(1+'SImple Return'!D646)</f>
        <v>233.54868481772024</v>
      </c>
      <c r="S647" s="14">
        <f>+S646*(1+'SImple Return'!E646)</f>
        <v>313.0589233148728</v>
      </c>
      <c r="T647" s="14">
        <f>+T646*(1+'SImple Return'!F646)</f>
        <v>389.57588847437682</v>
      </c>
      <c r="U647" s="14">
        <f>+U646*(1+'SImple Return'!G646)</f>
        <v>306.49068140396253</v>
      </c>
      <c r="V647" s="14">
        <f>+V646*(1+'SImple Return'!H646)</f>
        <v>238.20531470761156</v>
      </c>
      <c r="W647" s="14">
        <f>+W646*(1+'SImple Return'!I646)</f>
        <v>506.81616495996582</v>
      </c>
      <c r="X647" s="14">
        <f>+X646*(1+'SImple Return'!J646)</f>
        <v>324.0755104713366</v>
      </c>
      <c r="Y647" s="14">
        <f>+Y646*(1+'SImple Return'!K646)</f>
        <v>260.50315687226816</v>
      </c>
      <c r="Z647" s="14">
        <f>+Z646*(1+'SImple Return'!L646)</f>
        <v>2331.7438519600678</v>
      </c>
      <c r="AA647" s="14">
        <f>+AA646*(1+'SImple Return'!M646)</f>
        <v>291.0862683023351</v>
      </c>
      <c r="AB647" s="14">
        <f>+AB646*(1+'SImple Return'!N646)</f>
        <v>377.14593009044233</v>
      </c>
    </row>
    <row r="648" spans="1:28">
      <c r="A648" s="8">
        <v>42146</v>
      </c>
      <c r="B648" s="10">
        <v>1803.5</v>
      </c>
      <c r="C648" s="10">
        <v>376.24</v>
      </c>
      <c r="D648" s="10">
        <v>200.54</v>
      </c>
      <c r="E648" s="11">
        <v>3088.17</v>
      </c>
      <c r="F648" s="11">
        <v>3928.69</v>
      </c>
      <c r="G648" s="11">
        <v>3102.87</v>
      </c>
      <c r="H648" s="14">
        <v>2390.75</v>
      </c>
      <c r="I648" s="14">
        <v>5119.6899999999996</v>
      </c>
      <c r="J648" s="14">
        <v>3169.51</v>
      </c>
      <c r="K648" s="14">
        <v>2675.45</v>
      </c>
      <c r="L648" s="14">
        <v>23531.41</v>
      </c>
      <c r="M648" s="14">
        <v>2859.1</v>
      </c>
      <c r="N648" s="14">
        <v>3796</v>
      </c>
      <c r="P648" s="14">
        <f>+P647*(1+'SImple Return'!B647)</f>
        <v>221.58469609661992</v>
      </c>
      <c r="Q648" s="14">
        <f>+Q647*(1+'SImple Return'!C647)</f>
        <v>175.46870627739975</v>
      </c>
      <c r="R648" s="14">
        <f>+R647*(1+'SImple Return'!D647)</f>
        <v>231.35671435163809</v>
      </c>
      <c r="S648" s="14">
        <f>+S647*(1+'SImple Return'!E647)</f>
        <v>308.15446789402762</v>
      </c>
      <c r="T648" s="14">
        <f>+T647*(1+'SImple Return'!F647)</f>
        <v>385.69507166699418</v>
      </c>
      <c r="U648" s="14">
        <f>+U647*(1+'SImple Return'!G647)</f>
        <v>304.04197777647119</v>
      </c>
      <c r="V648" s="14">
        <f>+V647*(1+'SImple Return'!H647)</f>
        <v>238.21029662325782</v>
      </c>
      <c r="W648" s="14">
        <f>+W647*(1+'SImple Return'!I647)</f>
        <v>510.48349303526669</v>
      </c>
      <c r="X648" s="14">
        <f>+X647*(1+'SImple Return'!J647)</f>
        <v>319.27854056068799</v>
      </c>
      <c r="Y648" s="14">
        <f>+Y647*(1+'SImple Return'!K647)</f>
        <v>259.87858183584268</v>
      </c>
      <c r="Z648" s="14">
        <f>+Z647*(1+'SImple Return'!L647)</f>
        <v>2291.8344290236178</v>
      </c>
      <c r="AA648" s="14">
        <f>+AA647*(1+'SImple Return'!M647)</f>
        <v>282.85516422635567</v>
      </c>
      <c r="AB648" s="14">
        <f>+AB647*(1+'SImple Return'!N647)</f>
        <v>371.15619652896589</v>
      </c>
    </row>
    <row r="649" spans="1:28">
      <c r="A649" s="8">
        <v>42153</v>
      </c>
      <c r="B649" s="10">
        <v>1779.31</v>
      </c>
      <c r="C649" s="10">
        <v>377.12</v>
      </c>
      <c r="D649" s="10">
        <v>196.95</v>
      </c>
      <c r="E649" s="11">
        <v>3049.12</v>
      </c>
      <c r="F649" s="11">
        <v>3859.39</v>
      </c>
      <c r="G649" s="11">
        <v>3090.31</v>
      </c>
      <c r="H649" s="14">
        <v>2390.7600000000002</v>
      </c>
      <c r="I649" s="14">
        <v>5067.3100000000004</v>
      </c>
      <c r="J649" s="14">
        <v>3139.49</v>
      </c>
      <c r="K649" s="14">
        <v>2645.46</v>
      </c>
      <c r="L649" s="14">
        <v>23244.32</v>
      </c>
      <c r="M649" s="14">
        <v>2807.35</v>
      </c>
      <c r="N649" s="14">
        <v>3715.46</v>
      </c>
      <c r="P649" s="14">
        <f>+P648*(1+'SImple Return'!B648)</f>
        <v>218.61262301728681</v>
      </c>
      <c r="Q649" s="14">
        <f>+Q648*(1+'SImple Return'!C648)</f>
        <v>175.87911575412764</v>
      </c>
      <c r="R649" s="14">
        <f>+R648*(1+'SImple Return'!D648)</f>
        <v>227.21504383940919</v>
      </c>
      <c r="S649" s="14">
        <f>+S648*(1+'SImple Return'!E648)</f>
        <v>304.2578456318912</v>
      </c>
      <c r="T649" s="14">
        <f>+T648*(1+'SImple Return'!F648)</f>
        <v>378.89161594345205</v>
      </c>
      <c r="U649" s="14">
        <f>+U648*(1+'SImple Return'!G648)</f>
        <v>302.81125678562324</v>
      </c>
      <c r="V649" s="14">
        <f>+V648*(1+'SImple Return'!H648)</f>
        <v>238.21129300638705</v>
      </c>
      <c r="W649" s="14">
        <f>+W648*(1+'SImple Return'!I648)</f>
        <v>505.26069138806014</v>
      </c>
      <c r="X649" s="14">
        <f>+X648*(1+'SImple Return'!J648)</f>
        <v>316.25449527052263</v>
      </c>
      <c r="Y649" s="14">
        <f>+Y648*(1+'SImple Return'!K648)</f>
        <v>256.96551724137936</v>
      </c>
      <c r="Z649" s="14">
        <f>+Z648*(1+'SImple Return'!L648)</f>
        <v>2263.8733869004136</v>
      </c>
      <c r="AA649" s="14">
        <f>+AA648*(1+'SImple Return'!M648)</f>
        <v>277.7354570637122</v>
      </c>
      <c r="AB649" s="14">
        <f>+AB648*(1+'SImple Return'!N648)</f>
        <v>363.28134930334869</v>
      </c>
    </row>
    <row r="650" spans="1:28">
      <c r="A650" s="8">
        <v>42160</v>
      </c>
      <c r="B650" s="10">
        <v>1760.43</v>
      </c>
      <c r="C650" s="10">
        <v>371.81</v>
      </c>
      <c r="D650" s="10">
        <v>191.22</v>
      </c>
      <c r="E650" s="11">
        <v>2930.02</v>
      </c>
      <c r="F650" s="11">
        <v>3747.73</v>
      </c>
      <c r="G650" s="11">
        <v>3004.89</v>
      </c>
      <c r="H650" s="14">
        <v>2257.09</v>
      </c>
      <c r="I650" s="14">
        <v>4939.1400000000003</v>
      </c>
      <c r="J650" s="14">
        <v>3044.36</v>
      </c>
      <c r="K650" s="14">
        <v>2536.7800000000002</v>
      </c>
      <c r="L650" s="14">
        <v>23415.87</v>
      </c>
      <c r="M650" s="14">
        <v>2750.41</v>
      </c>
      <c r="N650" s="14">
        <v>3595.47</v>
      </c>
      <c r="P650" s="14">
        <f>+P649*(1+'SImple Return'!B649)</f>
        <v>216.29295622366098</v>
      </c>
      <c r="Q650" s="14">
        <f>+Q649*(1+'SImple Return'!C649)</f>
        <v>173.40266766159894</v>
      </c>
      <c r="R650" s="14">
        <f>+R649*(1+'SImple Return'!D649)</f>
        <v>220.60452238117202</v>
      </c>
      <c r="S650" s="14">
        <f>+S649*(1+'SImple Return'!E649)</f>
        <v>292.37339719602835</v>
      </c>
      <c r="T650" s="14">
        <f>+T649*(1+'SImple Return'!F649)</f>
        <v>367.92951109365822</v>
      </c>
      <c r="U650" s="14">
        <f>+U649*(1+'SImple Return'!G649)</f>
        <v>294.44117819977652</v>
      </c>
      <c r="V650" s="14">
        <f>+V649*(1+'SImple Return'!H649)</f>
        <v>224.89263971782452</v>
      </c>
      <c r="W650" s="14">
        <f>+W649*(1+'SImple Return'!I649)</f>
        <v>492.48088063734468</v>
      </c>
      <c r="X650" s="14">
        <f>+X649*(1+'SImple Return'!J649)</f>
        <v>306.67163622810341</v>
      </c>
      <c r="Y650" s="14">
        <f>+Y649*(1+'SImple Return'!K649)</f>
        <v>246.40893637688205</v>
      </c>
      <c r="Z650" s="14">
        <f>+Z649*(1+'SImple Return'!L649)</f>
        <v>2280.581446311176</v>
      </c>
      <c r="AA650" s="14">
        <f>+AA649*(1+'SImple Return'!M649)</f>
        <v>272.10229521171379</v>
      </c>
      <c r="AB650" s="14">
        <f>+AB649*(1+'SImple Return'!N649)</f>
        <v>351.54925446101186</v>
      </c>
    </row>
    <row r="651" spans="1:28">
      <c r="A651" s="8">
        <v>42167</v>
      </c>
      <c r="B651" s="10">
        <v>1770.17</v>
      </c>
      <c r="C651" s="10">
        <v>373.51</v>
      </c>
      <c r="D651" s="10">
        <v>192.52</v>
      </c>
      <c r="E651" s="11">
        <v>2973.62</v>
      </c>
      <c r="F651" s="11">
        <v>3701.19</v>
      </c>
      <c r="G651" s="11">
        <v>2994.11</v>
      </c>
      <c r="H651" s="14">
        <v>2257.38</v>
      </c>
      <c r="I651" s="14">
        <v>4976.5</v>
      </c>
      <c r="J651" s="14">
        <v>3074.72</v>
      </c>
      <c r="K651" s="14">
        <v>2597.88</v>
      </c>
      <c r="L651" s="14">
        <v>23495.75</v>
      </c>
      <c r="M651" s="14">
        <v>2746.79</v>
      </c>
      <c r="N651" s="14">
        <v>3544.56</v>
      </c>
      <c r="P651" s="14">
        <f>+P650*(1+'SImple Return'!B650)</f>
        <v>217.48964873266075</v>
      </c>
      <c r="Q651" s="14">
        <f>+Q650*(1+'SImple Return'!C650)</f>
        <v>174.19550415073243</v>
      </c>
      <c r="R651" s="14">
        <f>+R650*(1+'SImple Return'!D650)</f>
        <v>222.10429164743877</v>
      </c>
      <c r="S651" s="14">
        <f>+S650*(1+'SImple Return'!E650)</f>
        <v>296.72404330689</v>
      </c>
      <c r="T651" s="14">
        <f>+T650*(1+'SImple Return'!F650)</f>
        <v>363.36049479678013</v>
      </c>
      <c r="U651" s="14">
        <f>+U650*(1+'SImple Return'!G650)</f>
        <v>293.38487467419208</v>
      </c>
      <c r="V651" s="14">
        <f>+V650*(1+'SImple Return'!H650)</f>
        <v>224.9215348285725</v>
      </c>
      <c r="W651" s="14">
        <f>+W650*(1+'SImple Return'!I650)</f>
        <v>496.20604042237017</v>
      </c>
      <c r="X651" s="14">
        <f>+X650*(1+'SImple Return'!J650)</f>
        <v>309.7299311984371</v>
      </c>
      <c r="Y651" s="14">
        <f>+Y650*(1+'SImple Return'!K650)</f>
        <v>252.3438562408937</v>
      </c>
      <c r="Z651" s="14">
        <f>+Z650*(1+'SImple Return'!L650)</f>
        <v>2288.3613343072802</v>
      </c>
      <c r="AA651" s="14">
        <f>+AA650*(1+'SImple Return'!M650)</f>
        <v>271.74416303917718</v>
      </c>
      <c r="AB651" s="14">
        <f>+AB650*(1+'SImple Return'!N650)</f>
        <v>346.57149841114631</v>
      </c>
    </row>
    <row r="652" spans="1:28">
      <c r="A652" s="8">
        <v>42174</v>
      </c>
      <c r="B652" s="10">
        <v>1774.88</v>
      </c>
      <c r="C652" s="10">
        <v>375.78</v>
      </c>
      <c r="D652" s="10">
        <v>193.25</v>
      </c>
      <c r="E652" s="11">
        <v>2994.19</v>
      </c>
      <c r="F652" s="11">
        <v>3755.67</v>
      </c>
      <c r="G652" s="11">
        <v>2974.61</v>
      </c>
      <c r="H652" s="14">
        <v>2292.7600000000002</v>
      </c>
      <c r="I652" s="14">
        <v>4896.8599999999997</v>
      </c>
      <c r="J652" s="14">
        <v>3039.01</v>
      </c>
      <c r="K652" s="14">
        <v>2530</v>
      </c>
      <c r="L652" s="14">
        <v>23854.21</v>
      </c>
      <c r="M652" s="14">
        <v>2779.41</v>
      </c>
      <c r="N652" s="14">
        <v>3583.56</v>
      </c>
      <c r="P652" s="14">
        <f>+P651*(1+'SImple Return'!B651)</f>
        <v>218.06833679399429</v>
      </c>
      <c r="Q652" s="14">
        <f>+Q651*(1+'SImple Return'!C651)</f>
        <v>175.2541740509283</v>
      </c>
      <c r="R652" s="14">
        <f>+R651*(1+'SImple Return'!D651)</f>
        <v>222.94646977388084</v>
      </c>
      <c r="S652" s="14">
        <f>+S651*(1+'SImple Return'!E651)</f>
        <v>298.77663024497315</v>
      </c>
      <c r="T652" s="14">
        <f>+T651*(1+'SImple Return'!F651)</f>
        <v>368.70901236991978</v>
      </c>
      <c r="U652" s="14">
        <f>+U651*(1+'SImple Return'!G651)</f>
        <v>291.47412154349655</v>
      </c>
      <c r="V652" s="14">
        <f>+V651*(1+'SImple Return'!H651)</f>
        <v>228.44673833982668</v>
      </c>
      <c r="W652" s="14">
        <f>+W651*(1+'SImple Return'!I651)</f>
        <v>488.26514841810257</v>
      </c>
      <c r="X652" s="14">
        <f>+X651*(1+'SImple Return'!J651)</f>
        <v>306.13270743721785</v>
      </c>
      <c r="Y652" s="14">
        <f>+Y651*(1+'SImple Return'!K651)</f>
        <v>245.75036425449252</v>
      </c>
      <c r="Z652" s="14">
        <f>+Z651*(1+'SImple Return'!L651)</f>
        <v>2323.27343559776</v>
      </c>
      <c r="AA652" s="14">
        <f>+AA651*(1+'SImple Return'!M651)</f>
        <v>274.9713098535816</v>
      </c>
      <c r="AB652" s="14">
        <f>+AB651*(1+'SImple Return'!N651)</f>
        <v>350.38474700562199</v>
      </c>
    </row>
    <row r="653" spans="1:28">
      <c r="A653" s="8">
        <v>42181</v>
      </c>
      <c r="B653" s="10">
        <v>1776.22</v>
      </c>
      <c r="C653" s="10">
        <v>371.4</v>
      </c>
      <c r="D653" s="10">
        <v>190.58</v>
      </c>
      <c r="E653" s="11">
        <v>2995.98</v>
      </c>
      <c r="F653" s="11">
        <v>3765.24</v>
      </c>
      <c r="G653" s="11">
        <v>2915.68</v>
      </c>
      <c r="H653" s="14">
        <v>2254.0100000000002</v>
      </c>
      <c r="I653" s="14">
        <v>4866.7700000000004</v>
      </c>
      <c r="J653" s="14">
        <v>3055.73</v>
      </c>
      <c r="K653" s="14">
        <v>2522.4499999999998</v>
      </c>
      <c r="L653" s="14">
        <v>23559.05</v>
      </c>
      <c r="M653" s="14">
        <v>2739.34</v>
      </c>
      <c r="N653" s="14">
        <v>3619.73</v>
      </c>
      <c r="P653" s="14">
        <f>+P652*(1+'SImple Return'!B652)</f>
        <v>218.2329741617622</v>
      </c>
      <c r="Q653" s="14">
        <f>+Q652*(1+'SImple Return'!C652)</f>
        <v>173.21145415539618</v>
      </c>
      <c r="R653" s="14">
        <f>+R652*(1+'SImple Return'!D652)</f>
        <v>219.86617443470226</v>
      </c>
      <c r="S653" s="14">
        <f>+S652*(1+'SImple Return'!E652)</f>
        <v>298.9552462206255</v>
      </c>
      <c r="T653" s="14">
        <f>+T652*(1+'SImple Return'!F652)</f>
        <v>369.64853720793269</v>
      </c>
      <c r="U653" s="14">
        <f>+U652*(1+'SImple Return'!G652)</f>
        <v>285.69972759519464</v>
      </c>
      <c r="V653" s="14">
        <f>+V652*(1+'SImple Return'!H652)</f>
        <v>224.58575371401835</v>
      </c>
      <c r="W653" s="14">
        <f>+W652*(1+'SImple Return'!I652)</f>
        <v>485.26487920152294</v>
      </c>
      <c r="X653" s="14">
        <f>+X652*(1+'SImple Return'!J652)</f>
        <v>307.81698582667701</v>
      </c>
      <c r="Y653" s="14">
        <f>+Y652*(1+'SImple Return'!K652)</f>
        <v>245.01699854298207</v>
      </c>
      <c r="Z653" s="14">
        <f>+Z652*(1+'SImple Return'!L652)</f>
        <v>2294.5264183102022</v>
      </c>
      <c r="AA653" s="14">
        <f>+AA652*(1+'SImple Return'!M652)</f>
        <v>271.00712307083529</v>
      </c>
      <c r="AB653" s="14">
        <f>+AB652*(1+'SImple Return'!N652)</f>
        <v>353.92129063798575</v>
      </c>
    </row>
    <row r="654" spans="1:28">
      <c r="A654" s="8">
        <v>42188</v>
      </c>
      <c r="B654" s="10">
        <v>1744.49</v>
      </c>
      <c r="C654" s="10">
        <v>372.98</v>
      </c>
      <c r="D654" s="10">
        <v>189.39</v>
      </c>
      <c r="E654" s="11">
        <v>2878.96</v>
      </c>
      <c r="F654" s="11">
        <v>3729.38</v>
      </c>
      <c r="G654" s="11">
        <v>2892.28</v>
      </c>
      <c r="H654" s="14">
        <v>2224.41</v>
      </c>
      <c r="I654" s="14">
        <v>4864.41</v>
      </c>
      <c r="J654" s="14">
        <v>2967.45</v>
      </c>
      <c r="K654" s="14">
        <v>2477.41</v>
      </c>
      <c r="L654" s="14">
        <v>23239.29</v>
      </c>
      <c r="M654" s="14">
        <v>2671.52</v>
      </c>
      <c r="N654" s="14">
        <v>3558.36</v>
      </c>
      <c r="P654" s="14">
        <f>+P653*(1+'SImple Return'!B653)</f>
        <v>214.33450872946625</v>
      </c>
      <c r="Q654" s="14">
        <f>+Q653*(1+'SImple Return'!C653)</f>
        <v>173.94832571588495</v>
      </c>
      <c r="R654" s="14">
        <f>+R653*(1+'SImple Return'!D653)</f>
        <v>218.49330872173499</v>
      </c>
      <c r="S654" s="14">
        <f>+S653*(1+'SImple Return'!E653)</f>
        <v>287.27835154417983</v>
      </c>
      <c r="T654" s="14">
        <f>+T653*(1+'SImple Return'!F653)</f>
        <v>366.12801884940143</v>
      </c>
      <c r="U654" s="14">
        <f>+U653*(1+'SImple Return'!G653)</f>
        <v>283.40682383836008</v>
      </c>
      <c r="V654" s="14">
        <f>+V653*(1+'SImple Return'!H653)</f>
        <v>221.63645965146537</v>
      </c>
      <c r="W654" s="14">
        <f>+W653*(1+'SImple Return'!I653)</f>
        <v>485.02956396884997</v>
      </c>
      <c r="X654" s="14">
        <f>+X653*(1+'SImple Return'!J653)</f>
        <v>298.92415710529815</v>
      </c>
      <c r="Y654" s="14">
        <f>+Y653*(1+'SImple Return'!K653)</f>
        <v>240.64205925206414</v>
      </c>
      <c r="Z654" s="14">
        <f>+Z653*(1+'SImple Return'!L653)</f>
        <v>2263.3834915997081</v>
      </c>
      <c r="AA654" s="14">
        <f>+AA653*(1+'SImple Return'!M653)</f>
        <v>264.29758607043954</v>
      </c>
      <c r="AB654" s="14">
        <f>+AB653*(1+'SImple Return'!N653)</f>
        <v>347.92080175996085</v>
      </c>
    </row>
    <row r="655" spans="1:28">
      <c r="A655" s="8">
        <v>42195</v>
      </c>
      <c r="B655" s="10">
        <v>1743.32</v>
      </c>
      <c r="C655" s="10">
        <v>372.87</v>
      </c>
      <c r="D655" s="10">
        <v>189.85</v>
      </c>
      <c r="E655" s="11">
        <v>2947.92</v>
      </c>
      <c r="F655" s="11">
        <v>3715.41</v>
      </c>
      <c r="G655" s="11">
        <v>2788.19</v>
      </c>
      <c r="H655" s="14">
        <v>2270.13</v>
      </c>
      <c r="I655" s="14">
        <v>4853.3900000000003</v>
      </c>
      <c r="J655" s="14">
        <v>2984.14</v>
      </c>
      <c r="K655" s="14">
        <v>2339.7399999999998</v>
      </c>
      <c r="L655" s="14">
        <v>23361.34</v>
      </c>
      <c r="M655" s="14">
        <v>2673.85</v>
      </c>
      <c r="N655" s="14">
        <v>3519.06</v>
      </c>
      <c r="P655" s="14">
        <f>+P654*(1+'SImple Return'!B654)</f>
        <v>214.19075819193753</v>
      </c>
      <c r="Q655" s="14">
        <f>+Q654*(1+'SImple Return'!C654)</f>
        <v>173.89702453129397</v>
      </c>
      <c r="R655" s="14">
        <f>+R654*(1+'SImple Return'!D654)</f>
        <v>219.02399630826017</v>
      </c>
      <c r="S655" s="14">
        <f>+S654*(1+'SImple Return'!E654)</f>
        <v>294.15955695255184</v>
      </c>
      <c r="T655" s="14">
        <f>+T654*(1+'SImple Return'!F654)</f>
        <v>364.75652856862382</v>
      </c>
      <c r="U655" s="14">
        <f>+U654*(1+'SImple Return'!G654)</f>
        <v>273.20732161404743</v>
      </c>
      <c r="V655" s="14">
        <f>+V654*(1+'SImple Return'!H654)</f>
        <v>226.19192331835461</v>
      </c>
      <c r="W655" s="14">
        <f>+W654*(1+'SImple Return'!I654)</f>
        <v>483.93076148408068</v>
      </c>
      <c r="X655" s="14">
        <f>+X654*(1+'SImple Return'!J654)</f>
        <v>300.6054134641542</v>
      </c>
      <c r="Y655" s="14">
        <f>+Y654*(1+'SImple Return'!K654)</f>
        <v>227.26954832442937</v>
      </c>
      <c r="Z655" s="14">
        <f>+Z654*(1+'SImple Return'!L654)</f>
        <v>2275.2705137570006</v>
      </c>
      <c r="AA655" s="14">
        <f>+AA654*(1+'SImple Return'!M654)</f>
        <v>264.52809655718272</v>
      </c>
      <c r="AB655" s="14">
        <f>+AB654*(1+'SImple Return'!N654)</f>
        <v>344.07822048398918</v>
      </c>
    </row>
    <row r="656" spans="1:28">
      <c r="A656" s="8">
        <v>42202</v>
      </c>
      <c r="B656" s="10">
        <v>1780.83</v>
      </c>
      <c r="C656" s="10">
        <v>373.14</v>
      </c>
      <c r="D656" s="10">
        <v>193.96</v>
      </c>
      <c r="E656" s="11">
        <v>2962.25</v>
      </c>
      <c r="F656" s="11">
        <v>3720.01</v>
      </c>
      <c r="G656" s="11">
        <v>2868.44</v>
      </c>
      <c r="H656" s="14">
        <v>2292.56</v>
      </c>
      <c r="I656" s="14">
        <v>4955.41</v>
      </c>
      <c r="J656" s="14">
        <v>3017.79</v>
      </c>
      <c r="K656" s="14">
        <v>2364.19</v>
      </c>
      <c r="L656" s="14">
        <v>23513.84</v>
      </c>
      <c r="M656" s="14">
        <v>2703.43</v>
      </c>
      <c r="N656" s="14">
        <v>3524.16</v>
      </c>
      <c r="P656" s="14">
        <f>+P655*(1+'SImple Return'!B655)</f>
        <v>218.79937585236681</v>
      </c>
      <c r="Q656" s="14">
        <f>+Q655*(1+'SImple Return'!C655)</f>
        <v>174.02294562074457</v>
      </c>
      <c r="R656" s="14">
        <f>+R655*(1+'SImple Return'!D655)</f>
        <v>223.76557452699575</v>
      </c>
      <c r="S656" s="14">
        <f>+S655*(1+'SImple Return'!E655)</f>
        <v>295.58948261238322</v>
      </c>
      <c r="T656" s="14">
        <f>+T655*(1+'SImple Return'!F655)</f>
        <v>365.20812880424137</v>
      </c>
      <c r="U656" s="14">
        <f>+U655*(1+'SImple Return'!G655)</f>
        <v>281.07080565190972</v>
      </c>
      <c r="V656" s="14">
        <f>+V655*(1+'SImple Return'!H655)</f>
        <v>228.42681067724186</v>
      </c>
      <c r="W656" s="14">
        <f>+W655*(1+'SImple Return'!I655)</f>
        <v>494.10315980496682</v>
      </c>
      <c r="X656" s="14">
        <f>+X655*(1+'SImple Return'!J655)</f>
        <v>303.9951244572942</v>
      </c>
      <c r="Y656" s="14">
        <f>+Y655*(1+'SImple Return'!K655)</f>
        <v>229.64448761534729</v>
      </c>
      <c r="Z656" s="14">
        <f>+Z655*(1+'SImple Return'!L655)</f>
        <v>2290.1232042853667</v>
      </c>
      <c r="AA656" s="14">
        <f>+AA655*(1+'SImple Return'!M655)</f>
        <v>267.45449149188789</v>
      </c>
      <c r="AB656" s="14">
        <f>+AB655*(1+'SImple Return'!N655)</f>
        <v>344.57687606942062</v>
      </c>
    </row>
    <row r="657" spans="1:28">
      <c r="A657" s="8">
        <v>42209</v>
      </c>
      <c r="B657" s="10">
        <v>1745.5</v>
      </c>
      <c r="C657" s="10">
        <v>374.8</v>
      </c>
      <c r="D657" s="10">
        <v>192.13</v>
      </c>
      <c r="E657" s="11">
        <v>2919.67</v>
      </c>
      <c r="F657" s="11">
        <v>3585.24</v>
      </c>
      <c r="G657" s="11">
        <v>2839.47</v>
      </c>
      <c r="H657" s="14">
        <v>2241.7399999999998</v>
      </c>
      <c r="I657" s="14">
        <v>4978.09</v>
      </c>
      <c r="J657" s="14">
        <v>2967.32</v>
      </c>
      <c r="K657" s="14">
        <v>2284.56</v>
      </c>
      <c r="L657" s="14">
        <v>23410.85</v>
      </c>
      <c r="M657" s="14">
        <v>2696.86</v>
      </c>
      <c r="N657" s="14">
        <v>3369.87</v>
      </c>
      <c r="P657" s="14">
        <f>+P656*(1+'SImple Return'!B656)</f>
        <v>214.45860107382865</v>
      </c>
      <c r="Q657" s="14">
        <f>+Q656*(1+'SImple Return'!C656)</f>
        <v>174.79712713366314</v>
      </c>
      <c r="R657" s="14">
        <f>+R656*(1+'SImple Return'!D656)</f>
        <v>221.65436086755872</v>
      </c>
      <c r="S657" s="14">
        <f>+S656*(1+'SImple Return'!E656)</f>
        <v>291.34061767200507</v>
      </c>
      <c r="T657" s="14">
        <f>+T656*(1+'SImple Return'!F656)</f>
        <v>351.97722364029079</v>
      </c>
      <c r="U657" s="14">
        <f>+U656*(1+'SImple Return'!G656)</f>
        <v>278.2321124110764</v>
      </c>
      <c r="V657" s="14">
        <f>+V656*(1+'SImple Return'!H656)</f>
        <v>223.36319161443981</v>
      </c>
      <c r="W657" s="14">
        <f>+W656*(1+'SImple Return'!I656)</f>
        <v>496.36457907489137</v>
      </c>
      <c r="X657" s="14">
        <f>+X656*(1+'SImple Return'!J656)</f>
        <v>298.91106163935143</v>
      </c>
      <c r="Y657" s="14">
        <f>+Y656*(1+'SImple Return'!K656)</f>
        <v>221.90966488586696</v>
      </c>
      <c r="Z657" s="14">
        <f>+Z656*(1+'SImple Return'!L656)</f>
        <v>2280.0925249573897</v>
      </c>
      <c r="AA657" s="14">
        <f>+AA656*(1+'SImple Return'!M656)</f>
        <v>266.80451127819578</v>
      </c>
      <c r="AB657" s="14">
        <f>+AB656*(1+'SImple Return'!N656)</f>
        <v>329.49107797604495</v>
      </c>
    </row>
    <row r="658" spans="1:28">
      <c r="A658" s="8">
        <v>42216</v>
      </c>
      <c r="B658" s="10">
        <v>1765.6</v>
      </c>
      <c r="C658" s="10">
        <v>376.3</v>
      </c>
      <c r="D658" s="10">
        <v>193.76</v>
      </c>
      <c r="E658" s="11">
        <v>2958.87</v>
      </c>
      <c r="F658" s="11">
        <v>3653.18</v>
      </c>
      <c r="G658" s="11">
        <v>2865.14</v>
      </c>
      <c r="H658" s="14">
        <v>2313.64</v>
      </c>
      <c r="I658" s="14">
        <v>5023.26</v>
      </c>
      <c r="J658" s="14">
        <v>3009.37</v>
      </c>
      <c r="K658" s="14">
        <v>2257.04</v>
      </c>
      <c r="L658" s="14">
        <v>23214.48</v>
      </c>
      <c r="M658" s="14">
        <v>2706.23</v>
      </c>
      <c r="N658" s="14">
        <v>3432.26</v>
      </c>
      <c r="P658" s="14">
        <f>+P657*(1+'SImple Return'!B657)</f>
        <v>216.92816159034763</v>
      </c>
      <c r="Q658" s="14">
        <f>+Q657*(1+'SImple Return'!C657)</f>
        <v>175.4966887417221</v>
      </c>
      <c r="R658" s="14">
        <f>+R657*(1+'SImple Return'!D657)</f>
        <v>223.5348407937239</v>
      </c>
      <c r="S658" s="14">
        <f>+S657*(1+'SImple Return'!E657)</f>
        <v>295.2522077533302</v>
      </c>
      <c r="T658" s="14">
        <f>+T657*(1+'SImple Return'!F657)</f>
        <v>358.64716277243298</v>
      </c>
      <c r="U658" s="14">
        <f>+U657*(1+'SImple Return'!G657)</f>
        <v>280.74744742979198</v>
      </c>
      <c r="V658" s="14">
        <f>+V657*(1+'SImple Return'!H657)</f>
        <v>230.5271863136816</v>
      </c>
      <c r="W658" s="14">
        <f>+W657*(1+'SImple Return'!I657)</f>
        <v>500.86847274431335</v>
      </c>
      <c r="X658" s="14">
        <f>+X657*(1+'SImple Return'!J657)</f>
        <v>303.1469412013584</v>
      </c>
      <c r="Y658" s="14">
        <f>+Y657*(1+'SImple Return'!K657)</f>
        <v>219.23652258377857</v>
      </c>
      <c r="Z658" s="14">
        <f>+Z657*(1+'SImple Return'!L657)</f>
        <v>2260.9671292914536</v>
      </c>
      <c r="AA658" s="14">
        <f>+AA657*(1+'SImple Return'!M657)</f>
        <v>267.73149980213719</v>
      </c>
      <c r="AB658" s="14">
        <f>+AB657*(1+'SImple Return'!N657)</f>
        <v>335.59129797115617</v>
      </c>
    </row>
    <row r="659" spans="1:28">
      <c r="A659" s="8">
        <v>42223</v>
      </c>
      <c r="B659" s="10">
        <v>1747.34</v>
      </c>
      <c r="C659" s="10">
        <v>375.76</v>
      </c>
      <c r="D659" s="10">
        <v>194.14</v>
      </c>
      <c r="E659" s="11">
        <v>2938.52</v>
      </c>
      <c r="F659" s="11">
        <v>3569.79</v>
      </c>
      <c r="G659" s="11">
        <v>2869.43</v>
      </c>
      <c r="H659" s="14">
        <v>2323.34</v>
      </c>
      <c r="I659" s="14">
        <v>5049.55</v>
      </c>
      <c r="J659" s="14">
        <v>2975.2</v>
      </c>
      <c r="K659" s="14">
        <v>2225.5500000000002</v>
      </c>
      <c r="L659" s="14">
        <v>23697.61</v>
      </c>
      <c r="M659" s="14">
        <v>2688.46</v>
      </c>
      <c r="N659" s="14">
        <v>3306.1</v>
      </c>
      <c r="P659" s="14">
        <f>+P658*(1+'SImple Return'!B658)</f>
        <v>214.68467029524129</v>
      </c>
      <c r="Q659" s="14">
        <f>+Q658*(1+'SImple Return'!C658)</f>
        <v>175.24484656282087</v>
      </c>
      <c r="R659" s="14">
        <f>+R658*(1+'SImple Return'!D658)</f>
        <v>223.97323488694033</v>
      </c>
      <c r="S659" s="14">
        <f>+S658*(1+'SImple Return'!E658)</f>
        <v>293.2215736167239</v>
      </c>
      <c r="T659" s="14">
        <f>+T658*(1+'SImple Return'!F658)</f>
        <v>350.46043589240156</v>
      </c>
      <c r="U659" s="14">
        <f>+U658*(1+'SImple Return'!G658)</f>
        <v>281.16781311854498</v>
      </c>
      <c r="V659" s="14">
        <f>+V658*(1+'SImple Return'!H658)</f>
        <v>231.49367794904526</v>
      </c>
      <c r="W659" s="14">
        <f>+W658*(1+'SImple Return'!I658)</f>
        <v>503.489844552352</v>
      </c>
      <c r="X659" s="14">
        <f>+X658*(1+'SImple Return'!J658)</f>
        <v>299.70484834443141</v>
      </c>
      <c r="Y659" s="14">
        <f>+Y658*(1+'SImple Return'!K658)</f>
        <v>216.17775619232643</v>
      </c>
      <c r="Z659" s="14">
        <f>+Z658*(1+'SImple Return'!L658)</f>
        <v>2308.0214268322379</v>
      </c>
      <c r="AA659" s="14">
        <f>+AA658*(1+'SImple Return'!M658)</f>
        <v>265.97348634744782</v>
      </c>
      <c r="AB659" s="14">
        <f>+AB658*(1+'SImple Return'!N658)</f>
        <v>323.25592764605227</v>
      </c>
    </row>
    <row r="660" spans="1:28">
      <c r="A660" s="8">
        <v>42230</v>
      </c>
      <c r="B660" s="10">
        <v>1743.89</v>
      </c>
      <c r="C660" s="10">
        <v>376.12</v>
      </c>
      <c r="D660" s="10">
        <v>195.21</v>
      </c>
      <c r="E660" s="11">
        <v>2980.19</v>
      </c>
      <c r="F660" s="11">
        <v>3680.64</v>
      </c>
      <c r="G660" s="11">
        <v>2815.55</v>
      </c>
      <c r="H660" s="14">
        <v>2373.0700000000002</v>
      </c>
      <c r="I660" s="14">
        <v>5061.1499999999996</v>
      </c>
      <c r="J660" s="14">
        <v>3009.96</v>
      </c>
      <c r="K660" s="14">
        <v>2224.73</v>
      </c>
      <c r="L660" s="14">
        <v>24320.83</v>
      </c>
      <c r="M660" s="14">
        <v>2701.78</v>
      </c>
      <c r="N660" s="14">
        <v>3380.56</v>
      </c>
      <c r="P660" s="14">
        <f>+P659*(1+'SImple Return'!B659)</f>
        <v>214.26079050509253</v>
      </c>
      <c r="Q660" s="14">
        <f>+Q659*(1+'SImple Return'!C659)</f>
        <v>175.41274134875505</v>
      </c>
      <c r="R660" s="14">
        <f>+R659*(1+'SImple Return'!D659)</f>
        <v>225.20766035994453</v>
      </c>
      <c r="S660" s="14">
        <f>+S659*(1+'SImple Return'!E659)</f>
        <v>297.37963378735702</v>
      </c>
      <c r="T660" s="14">
        <f>+T659*(1+'SImple Return'!F659)</f>
        <v>361.34301983114102</v>
      </c>
      <c r="U660" s="14">
        <f>+U659*(1+'SImple Return'!G659)</f>
        <v>275.88825523742327</v>
      </c>
      <c r="V660" s="14">
        <f>+V659*(1+'SImple Return'!H659)</f>
        <v>236.44869125076005</v>
      </c>
      <c r="W660" s="14">
        <f>+W659*(1+'SImple Return'!I659)</f>
        <v>504.64647874684596</v>
      </c>
      <c r="X660" s="14">
        <f>+X659*(1+'SImple Return'!J659)</f>
        <v>303.20637446988599</v>
      </c>
      <c r="Y660" s="14">
        <f>+Y659*(1+'SImple Return'!K659)</f>
        <v>216.09810587663918</v>
      </c>
      <c r="Z660" s="14">
        <f>+Z659*(1+'SImple Return'!L659)</f>
        <v>2368.7197467738015</v>
      </c>
      <c r="AA660" s="14">
        <f>+AA659*(1+'SImple Return'!M659)</f>
        <v>267.29125445191954</v>
      </c>
      <c r="AB660" s="14">
        <f>+AB659*(1+'SImple Return'!N659)</f>
        <v>330.53629919335123</v>
      </c>
    </row>
    <row r="661" spans="1:28">
      <c r="A661" s="8">
        <v>42237</v>
      </c>
      <c r="B661" s="10">
        <v>1650.96</v>
      </c>
      <c r="C661" s="10">
        <v>379.48</v>
      </c>
      <c r="D661" s="10">
        <v>189.22</v>
      </c>
      <c r="E661" s="11">
        <v>2902.76</v>
      </c>
      <c r="F661" s="11">
        <v>3496.72</v>
      </c>
      <c r="G661" s="11">
        <v>2691.36</v>
      </c>
      <c r="H661" s="14">
        <v>2332.42</v>
      </c>
      <c r="I661" s="14">
        <v>4872.87</v>
      </c>
      <c r="J661" s="14">
        <v>2947.64</v>
      </c>
      <c r="K661" s="14">
        <v>2054.63</v>
      </c>
      <c r="L661" s="14">
        <v>23307.279999999999</v>
      </c>
      <c r="M661" s="14">
        <v>2632.45</v>
      </c>
      <c r="N661" s="14">
        <v>3172.37</v>
      </c>
      <c r="P661" s="14">
        <f>+P660*(1+'SImple Return'!B660)</f>
        <v>202.84306618667895</v>
      </c>
      <c r="Q661" s="14">
        <f>+Q660*(1+'SImple Return'!C660)</f>
        <v>176.97975935080711</v>
      </c>
      <c r="R661" s="14">
        <f>+R660*(1+'SImple Return'!D660)</f>
        <v>218.29718504845397</v>
      </c>
      <c r="S661" s="14">
        <f>+S660*(1+'SImple Return'!E660)</f>
        <v>289.65324552212729</v>
      </c>
      <c r="T661" s="14">
        <f>+T660*(1+'SImple Return'!F660)</f>
        <v>343.2868643235816</v>
      </c>
      <c r="U661" s="14">
        <f>+U660*(1+'SImple Return'!G660)</f>
        <v>263.71920747839374</v>
      </c>
      <c r="V661" s="14">
        <f>+V660*(1+'SImple Return'!H660)</f>
        <v>232.39839383039595</v>
      </c>
      <c r="W661" s="14">
        <f>+W660*(1+'SImple Return'!I660)</f>
        <v>485.87310925207578</v>
      </c>
      <c r="X661" s="14">
        <f>+X660*(1+'SImple Return'!J660)</f>
        <v>296.92860956372004</v>
      </c>
      <c r="Y661" s="14">
        <f>+Y660*(1+'SImple Return'!K660)</f>
        <v>199.57552209810592</v>
      </c>
      <c r="Z661" s="14">
        <f>+Z660*(1+'SImple Return'!L660)</f>
        <v>2270.0053567080595</v>
      </c>
      <c r="AA661" s="14">
        <f>+AA660*(1+'SImple Return'!M660)</f>
        <v>260.43233082706791</v>
      </c>
      <c r="AB661" s="14">
        <f>+AB660*(1+'SImple Return'!N660)</f>
        <v>310.18039599120016</v>
      </c>
    </row>
    <row r="662" spans="1:28">
      <c r="A662" s="8">
        <v>42244</v>
      </c>
      <c r="B662" s="10">
        <v>1658.07</v>
      </c>
      <c r="C662" s="10">
        <v>377.04</v>
      </c>
      <c r="D662" s="10">
        <v>184.15</v>
      </c>
      <c r="E662" s="11">
        <v>2888.69</v>
      </c>
      <c r="F662" s="11">
        <v>3486.66</v>
      </c>
      <c r="G662" s="11">
        <v>2659.36</v>
      </c>
      <c r="H662" s="14">
        <v>2265.3200000000002</v>
      </c>
      <c r="I662" s="14">
        <v>4883.4799999999996</v>
      </c>
      <c r="J662" s="14">
        <v>2896.42</v>
      </c>
      <c r="K662" s="14">
        <v>2024.03</v>
      </c>
      <c r="L662" s="14">
        <v>22991.56</v>
      </c>
      <c r="M662" s="14">
        <v>2602.75</v>
      </c>
      <c r="N662" s="14">
        <v>3210.77</v>
      </c>
      <c r="P662" s="14">
        <f>+P661*(1+'SImple Return'!B661)</f>
        <v>203.71662714550729</v>
      </c>
      <c r="Q662" s="14">
        <f>+Q661*(1+'SImple Return'!C661)</f>
        <v>175.84180580169789</v>
      </c>
      <c r="R662" s="14">
        <f>+R661*(1+'SImple Return'!D661)</f>
        <v>212.44808491001373</v>
      </c>
      <c r="S662" s="14">
        <f>+S661*(1+'SImple Return'!E661)</f>
        <v>288.24926408222308</v>
      </c>
      <c r="T662" s="14">
        <f>+T661*(1+'SImple Return'!F661)</f>
        <v>342.29923424307896</v>
      </c>
      <c r="U662" s="14">
        <f>+U661*(1+'SImple Return'!G661)</f>
        <v>260.5836125972524</v>
      </c>
      <c r="V662" s="14">
        <f>+V661*(1+'SImple Return'!H661)</f>
        <v>225.71266303318981</v>
      </c>
      <c r="W662" s="14">
        <f>+W661*(1+'SImple Return'!I661)</f>
        <v>486.9310307006603</v>
      </c>
      <c r="X662" s="14">
        <f>+X661*(1+'SImple Return'!J661)</f>
        <v>291.76899598069986</v>
      </c>
      <c r="Y662" s="14">
        <f>+Y661*(1+'SImple Return'!K661)</f>
        <v>196.60320543953378</v>
      </c>
      <c r="Z662" s="14">
        <f>+Z661*(1+'SImple Return'!L661)</f>
        <v>2239.2559045532021</v>
      </c>
      <c r="AA662" s="14">
        <f>+AA661*(1+'SImple Return'!M661)</f>
        <v>257.49406410763777</v>
      </c>
      <c r="AB662" s="14">
        <f>+AB661*(1+'SImple Return'!N661)</f>
        <v>313.93497922268392</v>
      </c>
    </row>
    <row r="663" spans="1:28">
      <c r="A663" s="8">
        <v>42251</v>
      </c>
      <c r="B663" s="10">
        <v>1595.71</v>
      </c>
      <c r="C663" s="10">
        <v>378.35</v>
      </c>
      <c r="D663" s="10">
        <v>176.01</v>
      </c>
      <c r="E663" s="11">
        <v>2813.51</v>
      </c>
      <c r="F663" s="11">
        <v>3335.75</v>
      </c>
      <c r="G663" s="11">
        <v>2553.08</v>
      </c>
      <c r="H663" s="14">
        <v>2171.79</v>
      </c>
      <c r="I663" s="14">
        <v>4685.5200000000004</v>
      </c>
      <c r="J663" s="14">
        <v>2774.12</v>
      </c>
      <c r="K663" s="14">
        <v>2010.49</v>
      </c>
      <c r="L663" s="14">
        <v>22206.07</v>
      </c>
      <c r="M663" s="14">
        <v>2556.73</v>
      </c>
      <c r="N663" s="14">
        <v>3076.36</v>
      </c>
      <c r="P663" s="14">
        <f>+P662*(1+'SImple Return'!B662)</f>
        <v>196.05484635893384</v>
      </c>
      <c r="Q663" s="14">
        <f>+Q662*(1+'SImple Return'!C662)</f>
        <v>176.45275627273602</v>
      </c>
      <c r="R663" s="14">
        <f>+R662*(1+'SImple Return'!D662)</f>
        <v>203.05722196585128</v>
      </c>
      <c r="S663" s="14">
        <f>+S662*(1+'SImple Return'!E662)</f>
        <v>280.74739310482448</v>
      </c>
      <c r="T663" s="14">
        <f>+T662*(1+'SImple Return'!F662)</f>
        <v>327.48380129589657</v>
      </c>
      <c r="U663" s="14">
        <f>+U662*(1+'SImple Return'!G662)</f>
        <v>250.16951809826165</v>
      </c>
      <c r="V663" s="14">
        <f>+V662*(1+'SImple Return'!H662)</f>
        <v>216.39349162540006</v>
      </c>
      <c r="W663" s="14">
        <f>+W662*(1+'SImple Return'!I662)</f>
        <v>467.1924699125538</v>
      </c>
      <c r="X663" s="14">
        <f>+X662*(1+'SImple Return'!J662)</f>
        <v>279.44918455540943</v>
      </c>
      <c r="Y663" s="14">
        <f>+Y662*(1+'SImple Return'!K662)</f>
        <v>195.2880038853813</v>
      </c>
      <c r="Z663" s="14">
        <f>+Z662*(1+'SImple Return'!L662)</f>
        <v>2162.7533479425369</v>
      </c>
      <c r="AA663" s="14">
        <f>+AA662*(1+'SImple Return'!M662)</f>
        <v>252.94123466561166</v>
      </c>
      <c r="AB663" s="14">
        <f>+AB662*(1+'SImple Return'!N662)</f>
        <v>300.79296015644098</v>
      </c>
    </row>
    <row r="664" spans="1:28">
      <c r="A664" s="8">
        <v>42258</v>
      </c>
      <c r="B664" s="10">
        <v>1626.99</v>
      </c>
      <c r="C664" s="10">
        <v>378.36</v>
      </c>
      <c r="D664" s="10">
        <v>179.93</v>
      </c>
      <c r="E664" s="11">
        <v>2884.73</v>
      </c>
      <c r="F664" s="11">
        <v>3279.28</v>
      </c>
      <c r="G664" s="11">
        <v>2608.15</v>
      </c>
      <c r="H664" s="14">
        <v>2219.0700000000002</v>
      </c>
      <c r="I664" s="14">
        <v>4774.8999999999996</v>
      </c>
      <c r="J664" s="14">
        <v>2850.92</v>
      </c>
      <c r="K664" s="14">
        <v>2012.64</v>
      </c>
      <c r="L664" s="14">
        <v>22032.98</v>
      </c>
      <c r="M664" s="14">
        <v>2606.81</v>
      </c>
      <c r="N664" s="14">
        <v>3017.8</v>
      </c>
      <c r="P664" s="14">
        <f>+P663*(1+'SImple Return'!B663)</f>
        <v>199.89802312294952</v>
      </c>
      <c r="Q664" s="14">
        <f>+Q663*(1+'SImple Return'!C663)</f>
        <v>176.45742001678974</v>
      </c>
      <c r="R664" s="14">
        <f>+R663*(1+'SImple Return'!D663)</f>
        <v>207.57960313797867</v>
      </c>
      <c r="S664" s="14">
        <f>+S663*(1+'SImple Return'!E663)</f>
        <v>287.85411365564022</v>
      </c>
      <c r="T664" s="14">
        <f>+T663*(1+'SImple Return'!F663)</f>
        <v>321.93991753387024</v>
      </c>
      <c r="U664" s="14">
        <f>+U663*(1+'SImple Return'!G663)</f>
        <v>255.56568091402588</v>
      </c>
      <c r="V664" s="14">
        <f>+V663*(1+'SImple Return'!H663)</f>
        <v>221.10439106045087</v>
      </c>
      <c r="W664" s="14">
        <f>+W663*(1+'SImple Return'!I663)</f>
        <v>476.10453580081884</v>
      </c>
      <c r="X664" s="14">
        <f>+X663*(1+'SImple Return'!J663)</f>
        <v>287.18558289933674</v>
      </c>
      <c r="Y664" s="14">
        <f>+Y663*(1+'SImple Return'!K663)</f>
        <v>195.49684312773195</v>
      </c>
      <c r="Z664" s="14">
        <f>+Z663*(1+'SImple Return'!L663)</f>
        <v>2145.8953007061114</v>
      </c>
      <c r="AA664" s="14">
        <f>+AA663*(1+'SImple Return'!M663)</f>
        <v>257.89572615749927</v>
      </c>
      <c r="AB664" s="14">
        <f>+AB663*(1+'SImple Return'!N663)</f>
        <v>295.06722072842825</v>
      </c>
    </row>
    <row r="665" spans="1:28">
      <c r="A665" s="8">
        <v>42265</v>
      </c>
      <c r="B665" s="10">
        <v>1630.69</v>
      </c>
      <c r="C665" s="10">
        <v>380.3</v>
      </c>
      <c r="D665" s="10">
        <v>183.61</v>
      </c>
      <c r="E665" s="11">
        <v>2931.28</v>
      </c>
      <c r="F665" s="11">
        <v>3347.87</v>
      </c>
      <c r="G665" s="11">
        <v>2658.42</v>
      </c>
      <c r="H665" s="14">
        <v>2281.3200000000002</v>
      </c>
      <c r="I665" s="14">
        <v>4880.03</v>
      </c>
      <c r="J665" s="14">
        <v>2941.09</v>
      </c>
      <c r="K665" s="14">
        <v>2007.04</v>
      </c>
      <c r="L665" s="14">
        <v>22115.119999999999</v>
      </c>
      <c r="M665" s="14">
        <v>2664.39</v>
      </c>
      <c r="N665" s="14">
        <v>3077.18</v>
      </c>
      <c r="P665" s="14">
        <f>+P664*(1+'SImple Return'!B664)</f>
        <v>200.35261883992069</v>
      </c>
      <c r="Q665" s="14">
        <f>+Q664*(1+'SImple Return'!C664)</f>
        <v>177.36218636321266</v>
      </c>
      <c r="R665" s="14">
        <f>+R664*(1+'SImple Return'!D664)</f>
        <v>211.8251038301799</v>
      </c>
      <c r="S665" s="14">
        <f>+S664*(1+'SImple Return'!E664)</f>
        <v>292.49912687721383</v>
      </c>
      <c r="T665" s="14">
        <f>+T664*(1+'SImple Return'!F664)</f>
        <v>328.67366974278445</v>
      </c>
      <c r="U665" s="14">
        <f>+U664*(1+'SImple Return'!G664)</f>
        <v>260.49150449761885</v>
      </c>
      <c r="V665" s="14">
        <f>+V664*(1+'SImple Return'!H664)</f>
        <v>227.30687603997521</v>
      </c>
      <c r="W665" s="14">
        <f>+W664*(1+'SImple Return'!I664)</f>
        <v>486.58703173764263</v>
      </c>
      <c r="X665" s="14">
        <f>+X664*(1+'SImple Return'!J664)</f>
        <v>296.26879954871072</v>
      </c>
      <c r="Y665" s="14">
        <f>+Y664*(1+'SImple Return'!K664)</f>
        <v>194.95288975230699</v>
      </c>
      <c r="Z665" s="14">
        <f>+Z664*(1+'SImple Return'!L664)</f>
        <v>2153.8953007061114</v>
      </c>
      <c r="AA665" s="14">
        <f>+AA664*(1+'SImple Return'!M664)</f>
        <v>263.59220419469756</v>
      </c>
      <c r="AB665" s="14">
        <f>+AB664*(1+'SImple Return'!N664)</f>
        <v>300.87313615252987</v>
      </c>
    </row>
    <row r="666" spans="1:28">
      <c r="A666" s="8">
        <v>42272</v>
      </c>
      <c r="B666" s="10">
        <v>1594.7</v>
      </c>
      <c r="C666" s="10">
        <v>378.24</v>
      </c>
      <c r="D666" s="10">
        <v>182.8</v>
      </c>
      <c r="E666" s="11">
        <v>2918.92</v>
      </c>
      <c r="F666" s="11">
        <v>3301.42</v>
      </c>
      <c r="G666" s="11">
        <v>2595.69</v>
      </c>
      <c r="H666" s="14">
        <v>2322.0100000000002</v>
      </c>
      <c r="I666" s="14">
        <v>4768.3100000000004</v>
      </c>
      <c r="J666" s="14">
        <v>2954.91</v>
      </c>
      <c r="K666" s="14">
        <v>1928.05</v>
      </c>
      <c r="L666" s="14">
        <v>21967.7</v>
      </c>
      <c r="M666" s="14">
        <v>2626.91</v>
      </c>
      <c r="N666" s="14">
        <v>2989.75</v>
      </c>
      <c r="P666" s="14">
        <f>+P665*(1+'SImple Return'!B665)</f>
        <v>195.93075401457145</v>
      </c>
      <c r="Q666" s="14">
        <f>+Q665*(1+'SImple Return'!C665)</f>
        <v>176.40145508814501</v>
      </c>
      <c r="R666" s="14">
        <f>+R665*(1+'SImple Return'!D665)</f>
        <v>210.89063221042909</v>
      </c>
      <c r="S666" s="14">
        <f>+S665*(1+'SImple Return'!E665)</f>
        <v>291.26577857606128</v>
      </c>
      <c r="T666" s="14">
        <f>+T665*(1+'SImple Return'!F665)</f>
        <v>324.11348910269021</v>
      </c>
      <c r="U666" s="14">
        <f>+U665*(1+'SImple Return'!G665)</f>
        <v>254.34475865718144</v>
      </c>
      <c r="V666" s="14">
        <f>+V665*(1+'SImple Return'!H665)</f>
        <v>231.36115899285625</v>
      </c>
      <c r="W666" s="14">
        <f>+W665*(1+'SImple Return'!I665)</f>
        <v>475.44744792653302</v>
      </c>
      <c r="X666" s="14">
        <f>+X665*(1+'SImple Return'!J665)</f>
        <v>297.66094831320385</v>
      </c>
      <c r="Y666" s="14">
        <f>+Y665*(1+'SImple Return'!K665)</f>
        <v>187.28023312287522</v>
      </c>
      <c r="Z666" s="14">
        <f>+Z665*(1+'SImple Return'!L665)</f>
        <v>2139.5373752130508</v>
      </c>
      <c r="AA666" s="14">
        <f>+AA665*(1+'SImple Return'!M665)</f>
        <v>259.88425009893183</v>
      </c>
      <c r="AB666" s="14">
        <f>+AB665*(1+'SImple Return'!N665)</f>
        <v>292.32461500855527</v>
      </c>
    </row>
    <row r="667" spans="1:28">
      <c r="A667" s="8">
        <v>42279</v>
      </c>
      <c r="B667" s="10">
        <v>1607.13</v>
      </c>
      <c r="C667" s="10">
        <v>381.6</v>
      </c>
      <c r="D667" s="10">
        <v>184.75</v>
      </c>
      <c r="E667" s="11">
        <v>2999.87</v>
      </c>
      <c r="F667" s="11">
        <v>3329.14</v>
      </c>
      <c r="G667" s="11">
        <v>2588.86</v>
      </c>
      <c r="H667" s="14">
        <v>2382.4499999999998</v>
      </c>
      <c r="I667" s="14">
        <v>4856.25</v>
      </c>
      <c r="J667" s="14">
        <v>3039.23</v>
      </c>
      <c r="K667" s="14">
        <v>1951.02</v>
      </c>
      <c r="L667" s="14">
        <v>22076.13</v>
      </c>
      <c r="M667" s="14">
        <v>2662.02</v>
      </c>
      <c r="N667" s="14">
        <v>3005.25</v>
      </c>
      <c r="P667" s="14">
        <f>+P666*(1+'SImple Return'!B666)</f>
        <v>197.45794989618</v>
      </c>
      <c r="Q667" s="14">
        <f>+Q666*(1+'SImple Return'!C666)</f>
        <v>177.96847309019705</v>
      </c>
      <c r="R667" s="14">
        <f>+R666*(1+'SImple Return'!D666)</f>
        <v>213.14028610982916</v>
      </c>
      <c r="S667" s="14">
        <f>+S666*(1+'SImple Return'!E666)</f>
        <v>299.34341166492021</v>
      </c>
      <c r="T667" s="14">
        <f>+T666*(1+'SImple Return'!F666)</f>
        <v>326.83487139210706</v>
      </c>
      <c r="U667" s="14">
        <f>+U666*(1+'SImple Return'!G666)</f>
        <v>253.67550512473784</v>
      </c>
      <c r="V667" s="14">
        <f>+V666*(1+'SImple Return'!H666)</f>
        <v>237.38329862598795</v>
      </c>
      <c r="W667" s="14">
        <f>+W666*(1+'SImple Return'!I666)</f>
        <v>484.21593163892987</v>
      </c>
      <c r="X667" s="14">
        <f>+X666*(1+'SImple Return'!J666)</f>
        <v>306.15486899497398</v>
      </c>
      <c r="Y667" s="14">
        <f>+Y666*(1+'SImple Return'!K666)</f>
        <v>189.51141330743084</v>
      </c>
      <c r="Z667" s="14">
        <f>+Z666*(1+'SImple Return'!L666)</f>
        <v>2150.0978816654492</v>
      </c>
      <c r="AA667" s="14">
        <f>+AA666*(1+'SImple Return'!M666)</f>
        <v>263.35773644637942</v>
      </c>
      <c r="AB667" s="14">
        <f>+AB666*(1+'SImple Return'!N666)</f>
        <v>293.8401368858469</v>
      </c>
    </row>
    <row r="668" spans="1:28">
      <c r="A668" s="8">
        <v>42286</v>
      </c>
      <c r="B668" s="10">
        <v>1673.77</v>
      </c>
      <c r="C668" s="10">
        <v>380.6</v>
      </c>
      <c r="D668" s="10">
        <v>190.41</v>
      </c>
      <c r="E668" s="11">
        <v>3051.17</v>
      </c>
      <c r="F668" s="11">
        <v>3508.04</v>
      </c>
      <c r="G668" s="11">
        <v>2727.72</v>
      </c>
      <c r="H668" s="14">
        <v>2389.9499999999998</v>
      </c>
      <c r="I668" s="14">
        <v>5023.43</v>
      </c>
      <c r="J668" s="14">
        <v>3112.06</v>
      </c>
      <c r="K668" s="14">
        <v>2042.11</v>
      </c>
      <c r="L668" s="14">
        <v>23091.15</v>
      </c>
      <c r="M668" s="14">
        <v>2731.86</v>
      </c>
      <c r="N668" s="14">
        <v>3216.47</v>
      </c>
      <c r="P668" s="14">
        <f>+P667*(1+'SImple Return'!B667)</f>
        <v>205.64558734995248</v>
      </c>
      <c r="Q668" s="14">
        <f>+Q667*(1+'SImple Return'!C667)</f>
        <v>177.5020986848244</v>
      </c>
      <c r="R668" s="14">
        <f>+R667*(1+'SImple Return'!D667)</f>
        <v>219.67005076142121</v>
      </c>
      <c r="S668" s="14">
        <f>+S667*(1+'SImple Return'!E667)</f>
        <v>304.46240582747072</v>
      </c>
      <c r="T668" s="14">
        <f>+T667*(1+'SImple Return'!F667)</f>
        <v>344.39819359905783</v>
      </c>
      <c r="U668" s="14">
        <f>+U667*(1+'SImple Return'!G667)</f>
        <v>267.28202716209057</v>
      </c>
      <c r="V668" s="14">
        <f>+V667*(1+'SImple Return'!H667)</f>
        <v>238.13058597291857</v>
      </c>
      <c r="W668" s="14">
        <f>+W667*(1+'SImple Return'!I667)</f>
        <v>500.88542341785325</v>
      </c>
      <c r="X668" s="14">
        <f>+X667*(1+'SImple Return'!J667)</f>
        <v>313.49135195575815</v>
      </c>
      <c r="Y668" s="14">
        <f>+Y667*(1+'SImple Return'!K667)</f>
        <v>198.35939776590581</v>
      </c>
      <c r="Z668" s="14">
        <f>+Z667*(1+'SImple Return'!L667)</f>
        <v>2248.955441928415</v>
      </c>
      <c r="AA668" s="14">
        <f>+AA667*(1+'SImple Return'!M667)</f>
        <v>270.26711515631217</v>
      </c>
      <c r="AB668" s="14">
        <f>+AB667*(1+'SImple Return'!N667)</f>
        <v>314.49230017110716</v>
      </c>
    </row>
    <row r="669" spans="1:28">
      <c r="A669" s="8">
        <v>42293</v>
      </c>
      <c r="B669" s="10">
        <v>1683.55</v>
      </c>
      <c r="C669" s="10">
        <v>382.45</v>
      </c>
      <c r="D669" s="10">
        <v>192.84</v>
      </c>
      <c r="E669" s="11">
        <v>3101.82</v>
      </c>
      <c r="F669" s="11">
        <v>3518.86</v>
      </c>
      <c r="G669" s="11">
        <v>2801.99</v>
      </c>
      <c r="H669" s="14">
        <v>2440.14</v>
      </c>
      <c r="I669" s="14">
        <v>5177.57</v>
      </c>
      <c r="J669" s="14">
        <v>3210.16</v>
      </c>
      <c r="K669" s="14">
        <v>2102.67</v>
      </c>
      <c r="L669" s="14">
        <v>23281.61</v>
      </c>
      <c r="M669" s="14">
        <v>2756.12</v>
      </c>
      <c r="N669" s="14">
        <v>3212.54</v>
      </c>
      <c r="P669" s="14">
        <f>+P668*(1+'SImple Return'!B668)</f>
        <v>206.84719440724382</v>
      </c>
      <c r="Q669" s="14">
        <f>+Q668*(1+'SImple Return'!C668)</f>
        <v>178.36489133476377</v>
      </c>
      <c r="R669" s="14">
        <f>+R668*(1+'SImple Return'!D668)</f>
        <v>222.47346562067361</v>
      </c>
      <c r="S669" s="14">
        <f>+S668*(1+'SImple Return'!E668)</f>
        <v>309.51653944020336</v>
      </c>
      <c r="T669" s="14">
        <f>+T668*(1+'SImple Return'!F668)</f>
        <v>345.46043589240162</v>
      </c>
      <c r="U669" s="14">
        <f>+U668*(1+'SImple Return'!G668)</f>
        <v>274.55954690653959</v>
      </c>
      <c r="V669" s="14">
        <f>+V668*(1+'SImple Return'!H668)</f>
        <v>243.13143289857842</v>
      </c>
      <c r="W669" s="14">
        <f>+W668*(1+'SImple Return'!I668)</f>
        <v>516.25469882641426</v>
      </c>
      <c r="X669" s="14">
        <f>+X668*(1+'SImple Return'!J668)</f>
        <v>323.37339202788394</v>
      </c>
      <c r="Y669" s="14">
        <f>+Y668*(1+'SImple Return'!K668)</f>
        <v>204.24186498300151</v>
      </c>
      <c r="Z669" s="14">
        <f>+Z668*(1+'SImple Return'!L668)</f>
        <v>2267.5052349646944</v>
      </c>
      <c r="AA669" s="14">
        <f>+AA668*(1+'SImple Return'!M668)</f>
        <v>272.66719430154365</v>
      </c>
      <c r="AB669" s="14">
        <f>+AB668*(1+'SImple Return'!N668)</f>
        <v>314.10804204351001</v>
      </c>
    </row>
    <row r="670" spans="1:28">
      <c r="A670" s="8">
        <v>42300</v>
      </c>
      <c r="B670" s="10">
        <v>1706.61</v>
      </c>
      <c r="C670" s="10">
        <v>380.5</v>
      </c>
      <c r="D670" s="10">
        <v>194.86</v>
      </c>
      <c r="E670" s="11">
        <v>3083.18</v>
      </c>
      <c r="F670" s="11">
        <v>3457.35</v>
      </c>
      <c r="G670" s="11">
        <v>2857.79</v>
      </c>
      <c r="H670" s="14">
        <v>2433.88</v>
      </c>
      <c r="I670" s="14">
        <v>5175.71</v>
      </c>
      <c r="J670" s="14">
        <v>3217.35</v>
      </c>
      <c r="K670" s="14">
        <v>2144.7600000000002</v>
      </c>
      <c r="L670" s="14">
        <v>23894.53</v>
      </c>
      <c r="M670" s="14">
        <v>2753.82</v>
      </c>
      <c r="N670" s="14">
        <v>3119.9</v>
      </c>
      <c r="P670" s="14">
        <f>+P669*(1+'SImple Return'!B669)</f>
        <v>209.68043149733975</v>
      </c>
      <c r="Q670" s="14">
        <f>+Q669*(1+'SImple Return'!C669)</f>
        <v>177.45546124428714</v>
      </c>
      <c r="R670" s="14">
        <f>+R669*(1+'SImple Return'!D669)</f>
        <v>224.80387632671884</v>
      </c>
      <c r="S670" s="14">
        <f>+S669*(1+'SImple Return'!E669)</f>
        <v>307.65653844234868</v>
      </c>
      <c r="T670" s="14">
        <f>+T669*(1+'SImple Return'!F669)</f>
        <v>339.42175535048131</v>
      </c>
      <c r="U670" s="14">
        <f>+U669*(1+'SImple Return'!G669)</f>
        <v>280.02724048052988</v>
      </c>
      <c r="V670" s="14">
        <f>+V669*(1+'SImple Return'!H669)</f>
        <v>242.50769705967366</v>
      </c>
      <c r="W670" s="14">
        <f>+W669*(1+'SImple Return'!I669)</f>
        <v>516.06923851591785</v>
      </c>
      <c r="X670" s="14">
        <f>+X669*(1+'SImple Return'!J669)</f>
        <v>324.09767202909279</v>
      </c>
      <c r="Y670" s="14">
        <f>+Y669*(1+'SImple Return'!K669)</f>
        <v>208.33025740650808</v>
      </c>
      <c r="Z670" s="14">
        <f>+Z669*(1+'SImple Return'!L669)</f>
        <v>2327.200389578768</v>
      </c>
      <c r="AA670" s="14">
        <f>+AA669*(1+'SImple Return'!M669)</f>
        <v>272.43965176098175</v>
      </c>
      <c r="AB670" s="14">
        <f>+AB669*(1+'SImple Return'!N669)</f>
        <v>305.05010999755547</v>
      </c>
    </row>
    <row r="671" spans="1:28">
      <c r="A671" s="8">
        <v>42307</v>
      </c>
      <c r="B671" s="10">
        <v>1705.8</v>
      </c>
      <c r="C671" s="10">
        <v>379.82</v>
      </c>
      <c r="D671" s="10">
        <v>193.65</v>
      </c>
      <c r="E671" s="11">
        <v>3064.47</v>
      </c>
      <c r="F671" s="11">
        <v>3437.84</v>
      </c>
      <c r="G671" s="11">
        <v>2810.49</v>
      </c>
      <c r="H671" s="14">
        <v>2417.88</v>
      </c>
      <c r="I671" s="14">
        <v>5178.2299999999996</v>
      </c>
      <c r="J671" s="14">
        <v>3184.28</v>
      </c>
      <c r="K671" s="14">
        <v>2009.38</v>
      </c>
      <c r="L671" s="14">
        <v>24125.119999999999</v>
      </c>
      <c r="M671" s="14">
        <v>2751.77</v>
      </c>
      <c r="N671" s="14">
        <v>3082.47</v>
      </c>
      <c r="P671" s="14">
        <f>+P670*(1+'SImple Return'!B670)</f>
        <v>209.58091189443527</v>
      </c>
      <c r="Q671" s="14">
        <f>+Q670*(1+'SImple Return'!C670)</f>
        <v>177.13832664863375</v>
      </c>
      <c r="R671" s="14">
        <f>+R670*(1+'SImple Return'!D670)</f>
        <v>223.40793724042442</v>
      </c>
      <c r="S671" s="14">
        <f>+S670*(1+'SImple Return'!E670)</f>
        <v>305.78955246220596</v>
      </c>
      <c r="T671" s="14">
        <f>+T670*(1+'SImple Return'!F670)</f>
        <v>337.50638130767749</v>
      </c>
      <c r="U671" s="14">
        <f>+U670*(1+'SImple Return'!G670)</f>
        <v>275.39243929684278</v>
      </c>
      <c r="V671" s="14">
        <f>+V670*(1+'SImple Return'!H670)</f>
        <v>240.91348405288829</v>
      </c>
      <c r="W671" s="14">
        <f>+W670*(1+'SImple Return'!I670)</f>
        <v>516.32050732368714</v>
      </c>
      <c r="X671" s="14">
        <f>+X670*(1+'SImple Return'!J670)</f>
        <v>320.76638696094602</v>
      </c>
      <c r="Y671" s="14">
        <f>+Y670*(1+'SImple Return'!K670)</f>
        <v>195.18018455560957</v>
      </c>
      <c r="Z671" s="14">
        <f>+Z670*(1+'SImple Return'!L670)</f>
        <v>2349.6586316045773</v>
      </c>
      <c r="AA671" s="14">
        <f>+AA670*(1+'SImple Return'!M670)</f>
        <v>272.23684210526346</v>
      </c>
      <c r="AB671" s="14">
        <f>+AB670*(1+'SImple Return'!N670)</f>
        <v>301.39036910290866</v>
      </c>
    </row>
    <row r="672" spans="1:28">
      <c r="A672" s="8">
        <v>42314</v>
      </c>
      <c r="B672" s="10">
        <v>1704.39</v>
      </c>
      <c r="C672" s="10">
        <v>374.63</v>
      </c>
      <c r="D672" s="10">
        <v>188.25</v>
      </c>
      <c r="E672" s="11">
        <v>2949.13</v>
      </c>
      <c r="F672" s="11">
        <v>3300.31</v>
      </c>
      <c r="G672" s="11">
        <v>2770.55</v>
      </c>
      <c r="H672" s="14">
        <v>2320.42</v>
      </c>
      <c r="I672" s="14">
        <v>5122.74</v>
      </c>
      <c r="J672" s="14">
        <v>3086.26</v>
      </c>
      <c r="K672" s="14">
        <v>2014.56</v>
      </c>
      <c r="L672" s="14">
        <v>23242.25</v>
      </c>
      <c r="M672" s="14">
        <v>2674.88</v>
      </c>
      <c r="N672" s="14">
        <v>2967.18</v>
      </c>
      <c r="P672" s="14">
        <f>+P671*(1+'SImple Return'!B671)</f>
        <v>209.4076740671571</v>
      </c>
      <c r="Q672" s="14">
        <f>+Q671*(1+'SImple Return'!C671)</f>
        <v>174.71784348474978</v>
      </c>
      <c r="R672" s="14">
        <f>+R671*(1+'SImple Return'!D671)</f>
        <v>217.1781264420857</v>
      </c>
      <c r="S672" s="14">
        <f>+S671*(1+'SImple Return'!E671)</f>
        <v>294.2802973606743</v>
      </c>
      <c r="T672" s="14">
        <f>+T671*(1+'SImple Return'!F671)</f>
        <v>324.00451600235641</v>
      </c>
      <c r="U672" s="14">
        <f>+U671*(1+'SImple Return'!G671)</f>
        <v>271.4788249358183</v>
      </c>
      <c r="V672" s="14">
        <f>+V671*(1+'SImple Return'!H671)</f>
        <v>231.20273407530689</v>
      </c>
      <c r="W672" s="14">
        <f>+W671*(1+'SImple Return'!I671)</f>
        <v>510.78760806054294</v>
      </c>
      <c r="X672" s="14">
        <f>+X671*(1+'SImple Return'!J671)</f>
        <v>310.89240563709512</v>
      </c>
      <c r="Y672" s="14">
        <f>+Y671*(1+'SImple Return'!K671)</f>
        <v>195.68334142787765</v>
      </c>
      <c r="Z672" s="14">
        <f>+Z671*(1+'SImple Return'!L671)</f>
        <v>2263.6717798879959</v>
      </c>
      <c r="AA672" s="14">
        <f>+AA671*(1+'SImple Return'!M671)</f>
        <v>264.62999604273875</v>
      </c>
      <c r="AB672" s="14">
        <f>+AB671*(1+'SImple Return'!N671)</f>
        <v>290.11781960400867</v>
      </c>
    </row>
    <row r="673" spans="1:28">
      <c r="A673" s="8">
        <v>42321</v>
      </c>
      <c r="B673" s="10">
        <v>1654.3</v>
      </c>
      <c r="C673" s="10">
        <v>375.76</v>
      </c>
      <c r="D673" s="10">
        <v>184.6</v>
      </c>
      <c r="E673" s="11">
        <v>2922.94</v>
      </c>
      <c r="F673" s="11">
        <v>3181.6</v>
      </c>
      <c r="G673" s="11">
        <v>2725.73</v>
      </c>
      <c r="H673" s="14">
        <v>2339.35</v>
      </c>
      <c r="I673" s="14">
        <v>5044.25</v>
      </c>
      <c r="J673" s="14">
        <v>3068.69</v>
      </c>
      <c r="K673" s="14">
        <v>1983.15</v>
      </c>
      <c r="L673" s="14">
        <v>22841.33</v>
      </c>
      <c r="M673" s="14">
        <v>2605.4499999999998</v>
      </c>
      <c r="N673" s="14">
        <v>2817.95</v>
      </c>
      <c r="P673" s="14">
        <f>+P672*(1+'SImple Return'!B672)</f>
        <v>203.25343096902586</v>
      </c>
      <c r="Q673" s="14">
        <f>+Q672*(1+'SImple Return'!C672)</f>
        <v>175.24484656282084</v>
      </c>
      <c r="R673" s="14">
        <f>+R672*(1+'SImple Return'!D672)</f>
        <v>212.96723580987526</v>
      </c>
      <c r="S673" s="14">
        <f>+S672*(1+'SImple Return'!E672)</f>
        <v>291.66691613031958</v>
      </c>
      <c r="T673" s="14">
        <f>+T672*(1+'SImple Return'!F672)</f>
        <v>312.35028470449657</v>
      </c>
      <c r="U673" s="14">
        <f>+U672*(1+'SImple Return'!G672)</f>
        <v>267.08703235541969</v>
      </c>
      <c r="V673" s="14">
        <f>+V672*(1+'SImple Return'!H672)</f>
        <v>233.08888733895978</v>
      </c>
      <c r="W673" s="14">
        <f>+W672*(1+'SImple Return'!I672)</f>
        <v>502.96138237728127</v>
      </c>
      <c r="X673" s="14">
        <f>+X672*(1+'SImple Return'!J672)</f>
        <v>309.12250304721488</v>
      </c>
      <c r="Y673" s="14">
        <f>+Y672*(1+'SImple Return'!K672)</f>
        <v>192.63234579893157</v>
      </c>
      <c r="Z673" s="14">
        <f>+Z672*(1+'SImple Return'!L672)</f>
        <v>2224.6242999756514</v>
      </c>
      <c r="AA673" s="14">
        <f>+AA672*(1+'SImple Return'!M672)</f>
        <v>257.76117926394966</v>
      </c>
      <c r="AB673" s="14">
        <f>+AB672*(1+'SImple Return'!N672)</f>
        <v>275.52676607186498</v>
      </c>
    </row>
    <row r="674" spans="1:28">
      <c r="A674" s="8">
        <v>42328</v>
      </c>
      <c r="B674" s="10">
        <v>1702.83</v>
      </c>
      <c r="C674" s="10">
        <v>376.38</v>
      </c>
      <c r="D674" s="10">
        <v>191.28</v>
      </c>
      <c r="E674" s="11">
        <v>3000.14</v>
      </c>
      <c r="F674" s="11">
        <v>3257.48</v>
      </c>
      <c r="G674" s="11">
        <v>2812.04</v>
      </c>
      <c r="H674" s="14">
        <v>2412.11</v>
      </c>
      <c r="I674" s="14">
        <v>5168.38</v>
      </c>
      <c r="J674" s="14">
        <v>3196.05</v>
      </c>
      <c r="K674" s="14">
        <v>2000.97</v>
      </c>
      <c r="L674" s="14">
        <v>23447.98</v>
      </c>
      <c r="M674" s="14">
        <v>2646.95</v>
      </c>
      <c r="N674" s="14">
        <v>2885.29</v>
      </c>
      <c r="P674" s="14">
        <f>+P673*(1+'SImple Return'!B673)</f>
        <v>209.21600668378545</v>
      </c>
      <c r="Q674" s="14">
        <f>+Q673*(1+'SImple Return'!C673)</f>
        <v>175.53399869415188</v>
      </c>
      <c r="R674" s="14">
        <f>+R673*(1+'SImple Return'!D673)</f>
        <v>220.67374250115353</v>
      </c>
      <c r="S674" s="14">
        <f>+S673*(1+'SImple Return'!E673)</f>
        <v>299.37035373945992</v>
      </c>
      <c r="T674" s="14">
        <f>+T673*(1+'SImple Return'!F673)</f>
        <v>319.79972511290032</v>
      </c>
      <c r="U674" s="14">
        <f>+U673*(1+'SImple Return'!G673)</f>
        <v>275.54431967389814</v>
      </c>
      <c r="V674" s="14">
        <f>+V673*(1+'SImple Return'!H673)</f>
        <v>240.33857098731627</v>
      </c>
      <c r="W674" s="14">
        <f>+W673*(1+'SImple Return'!I673)</f>
        <v>515.33836535681075</v>
      </c>
      <c r="X674" s="14">
        <f>+X673*(1+'SImple Return'!J673)</f>
        <v>321.95203030089419</v>
      </c>
      <c r="Y674" s="14">
        <f>+Y673*(1+'SImple Return'!K673)</f>
        <v>194.36328314715888</v>
      </c>
      <c r="Z674" s="14">
        <f>+Z673*(1+'SImple Return'!L673)</f>
        <v>2283.7087898709519</v>
      </c>
      <c r="AA674" s="14">
        <f>+AA673*(1+'SImple Return'!M673)</f>
        <v>261.86683814800193</v>
      </c>
      <c r="AB674" s="14">
        <f>+AB673*(1+'SImple Return'!N673)</f>
        <v>282.11097531165967</v>
      </c>
    </row>
    <row r="675" spans="1:28">
      <c r="A675" s="8">
        <v>42335</v>
      </c>
      <c r="B675" s="10">
        <v>1700.29</v>
      </c>
      <c r="C675" s="10">
        <v>376.65</v>
      </c>
      <c r="D675" s="10">
        <v>190.45</v>
      </c>
      <c r="E675" s="11">
        <v>2957.55</v>
      </c>
      <c r="F675" s="11">
        <v>3226.83</v>
      </c>
      <c r="G675" s="11">
        <v>2758.01</v>
      </c>
      <c r="H675" s="14">
        <v>2363.08</v>
      </c>
      <c r="I675" s="14">
        <v>5038.43</v>
      </c>
      <c r="J675" s="14">
        <v>3197.75</v>
      </c>
      <c r="K675" s="14">
        <v>1916.98</v>
      </c>
      <c r="L675" s="14">
        <v>23286.68</v>
      </c>
      <c r="M675" s="14">
        <v>2642.93</v>
      </c>
      <c r="N675" s="14">
        <v>2851.97</v>
      </c>
      <c r="P675" s="14">
        <f>+P674*(1+'SImple Return'!B674)</f>
        <v>208.9039328672701</v>
      </c>
      <c r="Q675" s="14">
        <f>+Q674*(1+'SImple Return'!C674)</f>
        <v>175.65991978360248</v>
      </c>
      <c r="R675" s="14">
        <f>+R674*(1+'SImple Return'!D674)</f>
        <v>219.71619750807554</v>
      </c>
      <c r="S675" s="14">
        <f>+S674*(1+'SImple Return'!E674)</f>
        <v>295.12049094446917</v>
      </c>
      <c r="T675" s="14">
        <f>+T674*(1+'SImple Return'!F674)</f>
        <v>316.79069310818795</v>
      </c>
      <c r="U675" s="14">
        <f>+U674*(1+'SImple Return'!G674)</f>
        <v>270.25006369177106</v>
      </c>
      <c r="V675" s="14">
        <f>+V674*(1+'SImple Return'!H674)</f>
        <v>235.45330450464834</v>
      </c>
      <c r="W675" s="14">
        <f>+W674*(1+'SImple Return'!I674)</f>
        <v>502.38107108314716</v>
      </c>
      <c r="X675" s="14">
        <f>+X674*(1+'SImple Return'!J674)</f>
        <v>322.1232787017363</v>
      </c>
      <c r="Y675" s="14">
        <f>+Y674*(1+'SImple Return'!K674)</f>
        <v>186.20495386109769</v>
      </c>
      <c r="Z675" s="14">
        <f>+Z674*(1+'SImple Return'!L674)</f>
        <v>2267.9990260530799</v>
      </c>
      <c r="AA675" s="14">
        <f>+AA674*(1+'SImple Return'!M674)</f>
        <v>261.46913335971544</v>
      </c>
      <c r="AB675" s="14">
        <f>+AB674*(1+'SImple Return'!N674)</f>
        <v>278.85309215350759</v>
      </c>
    </row>
    <row r="676" spans="1:28">
      <c r="A676" s="8">
        <v>42342</v>
      </c>
      <c r="B676" s="10">
        <v>1694.78</v>
      </c>
      <c r="C676" s="10">
        <v>376.7</v>
      </c>
      <c r="D676" s="10">
        <v>189.27</v>
      </c>
      <c r="E676" s="11">
        <v>2945.23</v>
      </c>
      <c r="F676" s="11">
        <v>3058.58</v>
      </c>
      <c r="G676" s="11">
        <v>2730.85</v>
      </c>
      <c r="H676" s="14">
        <v>2364.37</v>
      </c>
      <c r="I676" s="14">
        <v>5050.53</v>
      </c>
      <c r="J676" s="14">
        <v>3139.38</v>
      </c>
      <c r="K676" s="14">
        <v>1946.47</v>
      </c>
      <c r="L676" s="14">
        <v>23196.560000000001</v>
      </c>
      <c r="M676" s="14">
        <v>2603.64</v>
      </c>
      <c r="N676" s="14">
        <v>2642.28</v>
      </c>
      <c r="P676" s="14">
        <f>+P675*(1+'SImple Return'!B675)</f>
        <v>208.22695384010493</v>
      </c>
      <c r="Q676" s="14">
        <f>+Q675*(1+'SImple Return'!C675)</f>
        <v>175.68323850387111</v>
      </c>
      <c r="R676" s="14">
        <f>+R675*(1+'SImple Return'!D675)</f>
        <v>218.35486848177192</v>
      </c>
      <c r="S676" s="14">
        <f>+S675*(1+'SImple Return'!E675)</f>
        <v>293.89113406176693</v>
      </c>
      <c r="T676" s="14">
        <f>+T675*(1+'SImple Return'!F675)</f>
        <v>300.27292362065606</v>
      </c>
      <c r="U676" s="14">
        <f>+U675*(1+'SImple Return'!G675)</f>
        <v>267.5887275364023</v>
      </c>
      <c r="V676" s="14">
        <f>+V675*(1+'SImple Return'!H675)</f>
        <v>235.58183792832043</v>
      </c>
      <c r="W676" s="14">
        <f>+W675*(1+'SImple Return'!I675)</f>
        <v>503.58756019981763</v>
      </c>
      <c r="X676" s="14">
        <f>+X675*(1+'SImple Return'!J675)</f>
        <v>316.24341449164473</v>
      </c>
      <c r="Y676" s="14">
        <f>+Y675*(1+'SImple Return'!K675)</f>
        <v>189.06945118989807</v>
      </c>
      <c r="Z676" s="14">
        <f>+Z675*(1+'SImple Return'!L675)</f>
        <v>2259.2218164110054</v>
      </c>
      <c r="AA676" s="14">
        <f>+AA675*(1+'SImple Return'!M675)</f>
        <v>257.58211317768138</v>
      </c>
      <c r="AB676" s="14">
        <f>+AB675*(1+'SImple Return'!N675)</f>
        <v>258.35052554387676</v>
      </c>
    </row>
    <row r="677" spans="1:28">
      <c r="A677" s="8">
        <v>42349</v>
      </c>
      <c r="B677" s="10">
        <v>1637.83</v>
      </c>
      <c r="C677" s="10">
        <v>379.73</v>
      </c>
      <c r="D677" s="10">
        <v>185.32</v>
      </c>
      <c r="E677" s="11">
        <v>2914.2</v>
      </c>
      <c r="F677" s="11">
        <v>2926.07</v>
      </c>
      <c r="G677" s="11">
        <v>2667.47</v>
      </c>
      <c r="H677" s="14">
        <v>2331.35</v>
      </c>
      <c r="I677" s="14">
        <v>4976.7299999999996</v>
      </c>
      <c r="J677" s="14">
        <v>3063.85</v>
      </c>
      <c r="K677" s="14">
        <v>1794.51</v>
      </c>
      <c r="L677" s="14">
        <v>22358.18</v>
      </c>
      <c r="M677" s="14">
        <v>2575.58</v>
      </c>
      <c r="N677" s="14">
        <v>2517.08</v>
      </c>
      <c r="P677" s="14">
        <f>+P676*(1+'SImple Return'!B676)</f>
        <v>201.2298657099677</v>
      </c>
      <c r="Q677" s="14">
        <f>+Q676*(1+'SImple Return'!C676)</f>
        <v>177.0963529521502</v>
      </c>
      <c r="R677" s="14">
        <f>+R676*(1+'SImple Return'!D676)</f>
        <v>213.79787724965377</v>
      </c>
      <c r="S677" s="14">
        <f>+S676*(1+'SImple Return'!E676)</f>
        <v>290.79479119892204</v>
      </c>
      <c r="T677" s="14">
        <f>+T676*(1+'SImple Return'!F676)</f>
        <v>287.26389161594375</v>
      </c>
      <c r="U677" s="14">
        <f>+U676*(1+'SImple Return'!G676)</f>
        <v>261.37828992494167</v>
      </c>
      <c r="V677" s="14">
        <f>+V676*(1+'SImple Return'!H676)</f>
        <v>232.29178083556712</v>
      </c>
      <c r="W677" s="14">
        <f>+W676*(1+'SImple Return'!I676)</f>
        <v>496.22897368657118</v>
      </c>
      <c r="X677" s="14">
        <f>+X676*(1+'SImple Return'!J676)</f>
        <v>308.63494877658189</v>
      </c>
      <c r="Y677" s="14">
        <f>+Y676*(1+'SImple Return'!K676)</f>
        <v>174.30888780961638</v>
      </c>
      <c r="Z677" s="14">
        <f>+Z676*(1+'SImple Return'!L676)</f>
        <v>2177.5680545410273</v>
      </c>
      <c r="AA677" s="14">
        <f>+AA676*(1+'SImple Return'!M676)</f>
        <v>254.8060941828258</v>
      </c>
      <c r="AB677" s="14">
        <f>+AB676*(1+'SImple Return'!N676)</f>
        <v>246.10901979955995</v>
      </c>
    </row>
    <row r="678" spans="1:28">
      <c r="A678" s="8">
        <v>42356</v>
      </c>
      <c r="B678" s="10">
        <v>1633.75</v>
      </c>
      <c r="C678" s="10">
        <v>377.72</v>
      </c>
      <c r="D678" s="10">
        <v>187.35</v>
      </c>
      <c r="E678" s="11">
        <v>2901.43</v>
      </c>
      <c r="F678" s="11">
        <v>2923.09</v>
      </c>
      <c r="G678" s="11">
        <v>2649.14</v>
      </c>
      <c r="H678" s="14">
        <v>2351.98</v>
      </c>
      <c r="I678" s="14">
        <v>5058.7</v>
      </c>
      <c r="J678" s="14">
        <v>3083.39</v>
      </c>
      <c r="K678" s="14">
        <v>1785.82</v>
      </c>
      <c r="L678" s="14">
        <v>22464.959999999999</v>
      </c>
      <c r="M678" s="14">
        <v>2587.4699999999998</v>
      </c>
      <c r="N678" s="14">
        <v>2475.98</v>
      </c>
      <c r="P678" s="14">
        <f>+P677*(1+'SImple Return'!B677)</f>
        <v>200.72858178422655</v>
      </c>
      <c r="Q678" s="14">
        <f>+Q677*(1+'SImple Return'!C677)</f>
        <v>176.15894039735119</v>
      </c>
      <c r="R678" s="14">
        <f>+R677*(1+'SImple Return'!D677)</f>
        <v>216.13982464236258</v>
      </c>
      <c r="S678" s="14">
        <f>+S677*(1+'SImple Return'!E677)</f>
        <v>289.52053085865361</v>
      </c>
      <c r="T678" s="14">
        <f>+T677*(1+'SImple Return'!F677)</f>
        <v>286.97133320243501</v>
      </c>
      <c r="U678" s="14">
        <f>+U677*(1+'SImple Return'!G677)</f>
        <v>259.58218198208789</v>
      </c>
      <c r="V678" s="14">
        <f>+V677*(1+'SImple Return'!H677)</f>
        <v>234.34731923119105</v>
      </c>
      <c r="W678" s="14">
        <f>+W677*(1+'SImple Return'!I677)</f>
        <v>504.40218962818108</v>
      </c>
      <c r="X678" s="14">
        <f>+X677*(1+'SImple Return'!J677)</f>
        <v>310.60329804273215</v>
      </c>
      <c r="Y678" s="14">
        <f>+Y677*(1+'SImple Return'!K677)</f>
        <v>173.46478873239442</v>
      </c>
      <c r="Z678" s="14">
        <f>+Z677*(1+'SImple Return'!L677)</f>
        <v>2187.9678597516431</v>
      </c>
      <c r="AA678" s="14">
        <f>+AA677*(1+'SImple Return'!M677)</f>
        <v>255.98239018599159</v>
      </c>
      <c r="AB678" s="14">
        <f>+AB677*(1+'SImple Return'!N677)</f>
        <v>242.09044243461253</v>
      </c>
    </row>
    <row r="679" spans="1:28">
      <c r="A679" s="8">
        <v>42363</v>
      </c>
      <c r="B679" s="10">
        <v>1673.3</v>
      </c>
      <c r="C679" s="10">
        <v>377.59</v>
      </c>
      <c r="D679" s="10">
        <v>190.42</v>
      </c>
      <c r="E679" s="11">
        <v>2946.46</v>
      </c>
      <c r="F679" s="11">
        <v>3039.51</v>
      </c>
      <c r="G679" s="11">
        <v>2701.56</v>
      </c>
      <c r="H679" s="14">
        <v>2396.5700000000002</v>
      </c>
      <c r="I679" s="14">
        <v>5052.96</v>
      </c>
      <c r="J679" s="14">
        <v>3133.81</v>
      </c>
      <c r="K679" s="14">
        <v>1844.74</v>
      </c>
      <c r="L679" s="14">
        <v>23158.98</v>
      </c>
      <c r="M679" s="14">
        <v>2643.02</v>
      </c>
      <c r="N679" s="14">
        <v>2586.15</v>
      </c>
      <c r="P679" s="14">
        <f>+P678*(1+'SImple Return'!B678)</f>
        <v>205.58784140752641</v>
      </c>
      <c r="Q679" s="14">
        <f>+Q678*(1+'SImple Return'!C678)</f>
        <v>176.09831172465272</v>
      </c>
      <c r="R679" s="14">
        <f>+R678*(1+'SImple Return'!D678)</f>
        <v>219.6815874480848</v>
      </c>
      <c r="S679" s="14">
        <f>+S678*(1+'SImple Return'!E678)</f>
        <v>294.01387017911469</v>
      </c>
      <c r="T679" s="14">
        <f>+T678*(1+'SImple Return'!F678)</f>
        <v>298.40074612212874</v>
      </c>
      <c r="U679" s="14">
        <f>+U678*(1+'SImple Return'!G678)</f>
        <v>264.7186783467576</v>
      </c>
      <c r="V679" s="14">
        <f>+V678*(1+'SImple Return'!H678)</f>
        <v>238.79019160447604</v>
      </c>
      <c r="W679" s="14">
        <f>+W678*(1+'SImple Return'!I678)</f>
        <v>503.8298551215953</v>
      </c>
      <c r="X679" s="14">
        <f>+X678*(1+'SImple Return'!J678)</f>
        <v>315.68232414300314</v>
      </c>
      <c r="Y679" s="14">
        <f>+Y678*(1+'SImple Return'!K678)</f>
        <v>179.18795531811566</v>
      </c>
      <c r="Z679" s="14">
        <f>+Z678*(1+'SImple Return'!L678)</f>
        <v>2255.5617238860482</v>
      </c>
      <c r="AA679" s="14">
        <f>+AA678*(1+'SImple Return'!M678)</f>
        <v>261.47803719825913</v>
      </c>
      <c r="AB679" s="14">
        <f>+AB678*(1+'SImple Return'!N678)</f>
        <v>252.86238083598136</v>
      </c>
    </row>
    <row r="680" spans="1:28">
      <c r="A680" s="8">
        <v>42370</v>
      </c>
      <c r="B680" s="10">
        <v>1662.79</v>
      </c>
      <c r="C680" s="10">
        <v>377.1</v>
      </c>
      <c r="D680" s="10">
        <v>189.83</v>
      </c>
      <c r="E680" s="11">
        <v>2924.09</v>
      </c>
      <c r="F680" s="11">
        <v>3001.31</v>
      </c>
      <c r="G680" s="11">
        <v>2737.5</v>
      </c>
      <c r="H680" s="14">
        <v>2374.86</v>
      </c>
      <c r="I680" s="14">
        <v>5059.3100000000004</v>
      </c>
      <c r="J680" s="14">
        <v>3101.75</v>
      </c>
      <c r="K680" s="14">
        <v>1837.67</v>
      </c>
      <c r="L680" s="14">
        <v>23005.74</v>
      </c>
      <c r="M680" s="14">
        <v>2647.59</v>
      </c>
      <c r="N680" s="14">
        <v>2560.63</v>
      </c>
      <c r="P680" s="14">
        <f>+P679*(1+'SImple Return'!B679)</f>
        <v>204.29654384391372</v>
      </c>
      <c r="Q680" s="14">
        <f>+Q679*(1+'SImple Return'!C679)</f>
        <v>175.86978826602015</v>
      </c>
      <c r="R680" s="14">
        <f>+R679*(1+'SImple Return'!D679)</f>
        <v>219.00092293493299</v>
      </c>
      <c r="S680" s="14">
        <f>+S679*(1+'SImple Return'!E679)</f>
        <v>291.78166941076665</v>
      </c>
      <c r="T680" s="14">
        <f>+T679*(1+'SImple Return'!F679)</f>
        <v>294.65050068721803</v>
      </c>
      <c r="U680" s="14">
        <f>+U679*(1+'SImple Return'!G679)</f>
        <v>268.24034334763951</v>
      </c>
      <c r="V680" s="14">
        <f>+V679*(1+'SImple Return'!H679)</f>
        <v>236.62704383089414</v>
      </c>
      <c r="W680" s="14">
        <f>+W679*(1+'SImple Return'!I679)</f>
        <v>504.46301263323647</v>
      </c>
      <c r="X680" s="14">
        <f>+X679*(1+'SImple Return'!J679)</f>
        <v>312.45278077182724</v>
      </c>
      <c r="Y680" s="14">
        <f>+Y679*(1+'SImple Return'!K679)</f>
        <v>178.50121418164164</v>
      </c>
      <c r="Z680" s="14">
        <f>+Z679*(1+'SImple Return'!L679)</f>
        <v>2240.6369612856101</v>
      </c>
      <c r="AA680" s="14">
        <f>+AA679*(1+'SImple Return'!M679)</f>
        <v>261.93015433320181</v>
      </c>
      <c r="AB680" s="14">
        <f>+AB679*(1+'SImple Return'!N679)</f>
        <v>250.36714739672445</v>
      </c>
    </row>
    <row r="681" spans="1:28">
      <c r="A681" s="8">
        <v>42377</v>
      </c>
      <c r="B681" s="10">
        <v>1561.47</v>
      </c>
      <c r="C681" s="10">
        <v>380.21</v>
      </c>
      <c r="D681" s="10">
        <v>182.41</v>
      </c>
      <c r="E681" s="11">
        <v>2856.54</v>
      </c>
      <c r="F681" s="11">
        <v>2898.62</v>
      </c>
      <c r="G681" s="11">
        <v>2551.9</v>
      </c>
      <c r="H681" s="14">
        <v>2353.04</v>
      </c>
      <c r="I681" s="14">
        <v>4784.22</v>
      </c>
      <c r="J681" s="14">
        <v>3016.13</v>
      </c>
      <c r="K681" s="14">
        <v>1689.93</v>
      </c>
      <c r="L681" s="14">
        <v>22278.6</v>
      </c>
      <c r="M681" s="14">
        <v>2464.35</v>
      </c>
      <c r="N681" s="14">
        <v>2441.2600000000002</v>
      </c>
      <c r="P681" s="14">
        <f>+P680*(1+'SImple Return'!B680)</f>
        <v>191.84799302134124</v>
      </c>
      <c r="Q681" s="14">
        <f>+Q680*(1+'SImple Return'!C680)</f>
        <v>177.32021266672902</v>
      </c>
      <c r="R681" s="14">
        <f>+R680*(1+'SImple Return'!D680)</f>
        <v>210.44070143054904</v>
      </c>
      <c r="S681" s="14">
        <f>+S680*(1+'SImple Return'!E680)</f>
        <v>285.04116150276883</v>
      </c>
      <c r="T681" s="14">
        <f>+T680*(1+'SImple Return'!F680)</f>
        <v>284.56901629687832</v>
      </c>
      <c r="U681" s="14">
        <f>+U680*(1+'SImple Return'!G680)</f>
        <v>250.05389303701963</v>
      </c>
      <c r="V681" s="14">
        <f>+V680*(1+'SImple Return'!H680)</f>
        <v>234.45293584289055</v>
      </c>
      <c r="W681" s="14">
        <f>+W680*(1+'SImple Return'!I680)</f>
        <v>477.03383155018815</v>
      </c>
      <c r="X681" s="14">
        <f>+X680*(1+'SImple Return'!J680)</f>
        <v>303.82790543058962</v>
      </c>
      <c r="Y681" s="14">
        <f>+Y680*(1+'SImple Return'!K680)</f>
        <v>164.15055852355519</v>
      </c>
      <c r="Z681" s="14">
        <f>+Z680*(1+'SImple Return'!L680)</f>
        <v>2169.8173849525201</v>
      </c>
      <c r="AA681" s="14">
        <f>+AA680*(1+'SImple Return'!M680)</f>
        <v>243.80193905817208</v>
      </c>
      <c r="AB681" s="14">
        <f>+AB680*(1+'SImple Return'!N680)</f>
        <v>238.69567342947931</v>
      </c>
    </row>
    <row r="682" spans="1:28">
      <c r="A682" s="8">
        <v>42384</v>
      </c>
      <c r="B682" s="10">
        <v>1521</v>
      </c>
      <c r="C682" s="10">
        <v>381.4</v>
      </c>
      <c r="D682" s="10">
        <v>177.62</v>
      </c>
      <c r="E682" s="11">
        <v>2787.42</v>
      </c>
      <c r="F682" s="11">
        <v>2789.88</v>
      </c>
      <c r="G682" s="11">
        <v>2484</v>
      </c>
      <c r="H682" s="14">
        <v>2337.65</v>
      </c>
      <c r="I682" s="14">
        <v>4613.29</v>
      </c>
      <c r="J682" s="14">
        <v>2960.76</v>
      </c>
      <c r="K682" s="14">
        <v>1633.83</v>
      </c>
      <c r="L682" s="14">
        <v>21066.2</v>
      </c>
      <c r="M682" s="14">
        <v>2387.23</v>
      </c>
      <c r="N682" s="14">
        <v>2340.7199999999998</v>
      </c>
      <c r="P682" s="14">
        <f>+P681*(1+'SImple Return'!B681)</f>
        <v>186.87569878733501</v>
      </c>
      <c r="Q682" s="14">
        <f>+Q681*(1+'SImple Return'!C681)</f>
        <v>177.87519820912243</v>
      </c>
      <c r="R682" s="14">
        <f>+R681*(1+'SImple Return'!D681)</f>
        <v>204.91462851868934</v>
      </c>
      <c r="S682" s="14">
        <f>+S681*(1+'SImple Return'!E681)</f>
        <v>278.14399042059551</v>
      </c>
      <c r="T682" s="14">
        <f>+T681*(1+'SImple Return'!F681)</f>
        <v>273.89357942273733</v>
      </c>
      <c r="U682" s="14">
        <f>+U681*(1+'SImple Return'!G681)</f>
        <v>243.40055264859782</v>
      </c>
      <c r="V682" s="14">
        <f>+V681*(1+'SImple Return'!H681)</f>
        <v>232.91950220698888</v>
      </c>
      <c r="W682" s="14">
        <f>+W681*(1+'SImple Return'!I681)</f>
        <v>459.99042785494134</v>
      </c>
      <c r="X682" s="14">
        <f>+X681*(1+'SImple Return'!J681)</f>
        <v>298.25024428080769</v>
      </c>
      <c r="Y682" s="14">
        <f>+Y681*(1+'SImple Return'!K681)</f>
        <v>158.70131131617296</v>
      </c>
      <c r="Z682" s="14">
        <f>+Z681*(1+'SImple Return'!L681)</f>
        <v>2051.7360603847092</v>
      </c>
      <c r="AA682" s="14">
        <f>+AA681*(1+'SImple Return'!M681)</f>
        <v>236.17233874159118</v>
      </c>
      <c r="AB682" s="14">
        <f>+AB681*(1+'SImple Return'!N681)</f>
        <v>228.86531410413096</v>
      </c>
    </row>
    <row r="683" spans="1:28">
      <c r="A683" s="8">
        <v>42391</v>
      </c>
      <c r="B683" s="10">
        <v>1536.79</v>
      </c>
      <c r="C683" s="10">
        <v>380.08</v>
      </c>
      <c r="D683" s="10">
        <v>177.5</v>
      </c>
      <c r="E683" s="11">
        <v>2818.41</v>
      </c>
      <c r="F683" s="11">
        <v>2950.92</v>
      </c>
      <c r="G683" s="11">
        <v>2471.35</v>
      </c>
      <c r="H683" s="14">
        <v>2361.1799999999998</v>
      </c>
      <c r="I683" s="14">
        <v>4705.59</v>
      </c>
      <c r="J683" s="14">
        <v>3028.14</v>
      </c>
      <c r="K683" s="14">
        <v>1607.48</v>
      </c>
      <c r="L683" s="14">
        <v>21761.81</v>
      </c>
      <c r="M683" s="14">
        <v>2478.73</v>
      </c>
      <c r="N683" s="14">
        <v>2481.12</v>
      </c>
      <c r="P683" s="14">
        <f>+P682*(1+'SImple Return'!B682)</f>
        <v>188.81571672543629</v>
      </c>
      <c r="Q683" s="14">
        <f>+Q682*(1+'SImple Return'!C682)</f>
        <v>177.25958399403055</v>
      </c>
      <c r="R683" s="14">
        <f>+R682*(1+'SImple Return'!D682)</f>
        <v>204.77618827872627</v>
      </c>
      <c r="S683" s="14">
        <f>+S682*(1+'SImple Return'!E682)</f>
        <v>281.23634186499004</v>
      </c>
      <c r="T683" s="14">
        <f>+T682*(1+'SImple Return'!F682)</f>
        <v>289.70351462792098</v>
      </c>
      <c r="U683" s="14">
        <f>+U682*(1+'SImple Return'!G682)</f>
        <v>242.16101279714661</v>
      </c>
      <c r="V683" s="14">
        <f>+V682*(1+'SImple Return'!H682)</f>
        <v>235.26399171009257</v>
      </c>
      <c r="W683" s="14">
        <f>+W682*(1+'SImple Return'!I682)</f>
        <v>469.19364648871704</v>
      </c>
      <c r="X683" s="14">
        <f>+X682*(1+'SImple Return'!J682)</f>
        <v>305.03772501536258</v>
      </c>
      <c r="Y683" s="14">
        <f>+Y682*(1+'SImple Return'!K682)</f>
        <v>156.14181641573586</v>
      </c>
      <c r="Z683" s="14">
        <f>+Z682*(1+'SImple Return'!L682)</f>
        <v>2119.4847820793766</v>
      </c>
      <c r="AA683" s="14">
        <f>+AA682*(1+'SImple Return'!M682)</f>
        <v>245.22457459438104</v>
      </c>
      <c r="AB683" s="14">
        <f>+AB682*(1+'SImple Return'!N682)</f>
        <v>242.59300904424339</v>
      </c>
    </row>
    <row r="684" spans="1:28">
      <c r="A684" s="8">
        <v>42398</v>
      </c>
      <c r="B684" s="10">
        <v>1562.18</v>
      </c>
      <c r="C684" s="10">
        <v>381.47</v>
      </c>
      <c r="D684" s="10">
        <v>180.91</v>
      </c>
      <c r="E684" s="11">
        <v>2897.19</v>
      </c>
      <c r="F684" s="11">
        <v>3046.51</v>
      </c>
      <c r="G684" s="11">
        <v>2512.9499999999998</v>
      </c>
      <c r="H684" s="14">
        <v>2443.67</v>
      </c>
      <c r="I684" s="14">
        <v>4812.96</v>
      </c>
      <c r="J684" s="14">
        <v>3116.34</v>
      </c>
      <c r="K684" s="14">
        <v>1625.28</v>
      </c>
      <c r="L684" s="14">
        <v>22480.07</v>
      </c>
      <c r="M684" s="14">
        <v>2535.61</v>
      </c>
      <c r="N684" s="14">
        <v>2554.41</v>
      </c>
      <c r="P684" s="14">
        <f>+P683*(1+'SImple Return'!B683)</f>
        <v>191.93522625351679</v>
      </c>
      <c r="Q684" s="14">
        <f>+Q683*(1+'SImple Return'!C683)</f>
        <v>177.90784441749852</v>
      </c>
      <c r="R684" s="14">
        <f>+R683*(1+'SImple Return'!D683)</f>
        <v>208.71019843101053</v>
      </c>
      <c r="S684" s="14">
        <f>+S683*(1+'SImple Return'!E683)</f>
        <v>289.09744050291852</v>
      </c>
      <c r="T684" s="14">
        <f>+T683*(1+'SImple Return'!F683)</f>
        <v>299.08796387198146</v>
      </c>
      <c r="U684" s="14">
        <f>+U683*(1+'SImple Return'!G683)</f>
        <v>246.23728614263035</v>
      </c>
      <c r="V684" s="14">
        <f>+V683*(1+'SImple Return'!H683)</f>
        <v>243.4831561432004</v>
      </c>
      <c r="W684" s="14">
        <f>+W683*(1+'SImple Return'!I683)</f>
        <v>479.8994924768914</v>
      </c>
      <c r="X684" s="14">
        <f>+X683*(1+'SImple Return'!J683)</f>
        <v>313.92249498846655</v>
      </c>
      <c r="Y684" s="14">
        <f>+Y683*(1+'SImple Return'!K683)</f>
        <v>157.87081107333665</v>
      </c>
      <c r="Z684" s="14">
        <f>+Z683*(1+'SImple Return'!L683)</f>
        <v>2189.4394935476016</v>
      </c>
      <c r="AA684" s="14">
        <f>+AA683*(1+'SImple Return'!M683)</f>
        <v>250.85180055401699</v>
      </c>
      <c r="AB684" s="14">
        <f>+AB683*(1+'SImple Return'!N683)</f>
        <v>249.75898313370803</v>
      </c>
    </row>
    <row r="685" spans="1:28">
      <c r="A685" s="8">
        <v>42405</v>
      </c>
      <c r="B685" s="10">
        <v>1523.87</v>
      </c>
      <c r="C685" s="10">
        <v>385.08</v>
      </c>
      <c r="D685" s="10">
        <v>177.6</v>
      </c>
      <c r="E685" s="11">
        <v>2896.86</v>
      </c>
      <c r="F685" s="11">
        <v>3015.97</v>
      </c>
      <c r="G685" s="11">
        <v>2522</v>
      </c>
      <c r="H685" s="14">
        <v>2469.31</v>
      </c>
      <c r="I685" s="14">
        <v>4779.05</v>
      </c>
      <c r="J685" s="14">
        <v>3089.01</v>
      </c>
      <c r="K685" s="14">
        <v>1579.11</v>
      </c>
      <c r="L685" s="14">
        <v>21596.1</v>
      </c>
      <c r="M685" s="14">
        <v>2567.0100000000002</v>
      </c>
      <c r="N685" s="14">
        <v>2537.8200000000002</v>
      </c>
      <c r="P685" s="14">
        <f>+P684*(1+'SImple Return'!B684)</f>
        <v>187.22831762725588</v>
      </c>
      <c r="Q685" s="14">
        <f>+Q684*(1+'SImple Return'!C684)</f>
        <v>179.5914560208937</v>
      </c>
      <c r="R685" s="14">
        <f>+R684*(1+'SImple Return'!D684)</f>
        <v>204.89155514536216</v>
      </c>
      <c r="S685" s="14">
        <f>+S684*(1+'SImple Return'!E684)</f>
        <v>289.06451130070326</v>
      </c>
      <c r="T685" s="14">
        <f>+T684*(1+'SImple Return'!F684)</f>
        <v>296.08973100333816</v>
      </c>
      <c r="U685" s="14">
        <f>+U684*(1+'SImple Return'!G684)</f>
        <v>247.12407156995317</v>
      </c>
      <c r="V685" s="14">
        <f>+V684*(1+'SImple Return'!H684)</f>
        <v>246.03788248657395</v>
      </c>
      <c r="W685" s="14">
        <f>+W684*(1+'SImple Return'!I684)</f>
        <v>476.51833165488347</v>
      </c>
      <c r="X685" s="14">
        <f>+X684*(1+'SImple Return'!J684)</f>
        <v>311.16942510904556</v>
      </c>
      <c r="Y685" s="14">
        <f>+Y684*(1+'SImple Return'!K684)</f>
        <v>153.38610976202045</v>
      </c>
      <c r="Z685" s="14">
        <f>+Z684*(1+'SImple Return'!L684)</f>
        <v>2103.3455076698319</v>
      </c>
      <c r="AA685" s="14">
        <f>+AA684*(1+'SImple Return'!M684)</f>
        <v>253.95825089038422</v>
      </c>
      <c r="AB685" s="14">
        <f>+AB684*(1+'SImple Return'!N684)</f>
        <v>248.1368858469811</v>
      </c>
    </row>
    <row r="686" spans="1:28">
      <c r="A686" s="8">
        <v>42412</v>
      </c>
      <c r="B686" s="10">
        <v>1486.45</v>
      </c>
      <c r="C686" s="10">
        <v>387.22</v>
      </c>
      <c r="D686" s="10">
        <v>170.12</v>
      </c>
      <c r="E686" s="11">
        <v>2790.75</v>
      </c>
      <c r="F686" s="11">
        <v>2905.52</v>
      </c>
      <c r="G686" s="11">
        <v>2454.38</v>
      </c>
      <c r="H686" s="14">
        <v>2403.7399999999998</v>
      </c>
      <c r="I686" s="14">
        <v>4637.62</v>
      </c>
      <c r="J686" s="14">
        <v>3046.77</v>
      </c>
      <c r="K686" s="14">
        <v>1512.66</v>
      </c>
      <c r="L686" s="14">
        <v>20909.080000000002</v>
      </c>
      <c r="M686" s="14">
        <v>2461.58</v>
      </c>
      <c r="N686" s="14">
        <v>2426.33</v>
      </c>
      <c r="P686" s="14">
        <f>+P685*(1+'SImple Return'!B685)</f>
        <v>182.63075770048266</v>
      </c>
      <c r="Q686" s="14">
        <f>+Q685*(1+'SImple Return'!C685)</f>
        <v>180.58949724839115</v>
      </c>
      <c r="R686" s="14">
        <f>+R685*(1+'SImple Return'!D685)</f>
        <v>196.26211352099668</v>
      </c>
      <c r="S686" s="14">
        <f>+S685*(1+'SImple Return'!E685)</f>
        <v>278.47627600658564</v>
      </c>
      <c r="T686" s="14">
        <f>+T685*(1+'SImple Return'!F685)</f>
        <v>285.24641665030458</v>
      </c>
      <c r="U686" s="14">
        <f>+U685*(1+'SImple Return'!G685)</f>
        <v>240.49816763674136</v>
      </c>
      <c r="V686" s="14">
        <f>+V685*(1+'SImple Return'!H685)</f>
        <v>239.50459830814165</v>
      </c>
      <c r="W686" s="14">
        <f>+W685*(1+'SImple Return'!I685)</f>
        <v>462.41636836804815</v>
      </c>
      <c r="X686" s="14">
        <f>+X685*(1+'SImple Return'!J685)</f>
        <v>306.91440601988558</v>
      </c>
      <c r="Y686" s="14">
        <f>+Y685*(1+'SImple Return'!K685)</f>
        <v>146.93152015541531</v>
      </c>
      <c r="Z686" s="14">
        <f>+Z685*(1+'SImple Return'!L685)</f>
        <v>2036.4334063793526</v>
      </c>
      <c r="AA686" s="14">
        <f>+AA685*(1+'SImple Return'!M685)</f>
        <v>243.52789869410398</v>
      </c>
      <c r="AB686" s="14">
        <f>+AB685*(1+'SImple Return'!N685)</f>
        <v>237.23588364702997</v>
      </c>
    </row>
    <row r="687" spans="1:28">
      <c r="A687" s="8">
        <v>42419</v>
      </c>
      <c r="B687" s="10">
        <v>1538.17</v>
      </c>
      <c r="C687" s="10">
        <v>387.59</v>
      </c>
      <c r="D687" s="10">
        <v>178.61</v>
      </c>
      <c r="E687" s="11">
        <v>2841.88</v>
      </c>
      <c r="F687" s="11">
        <v>3009.33</v>
      </c>
      <c r="G687" s="11">
        <v>2577.06</v>
      </c>
      <c r="H687" s="14">
        <v>2440.7600000000002</v>
      </c>
      <c r="I687" s="14">
        <v>4906.93</v>
      </c>
      <c r="J687" s="14">
        <v>3105.56</v>
      </c>
      <c r="K687" s="14">
        <v>1664.78</v>
      </c>
      <c r="L687" s="14">
        <v>21302.32</v>
      </c>
      <c r="M687" s="14">
        <v>2508.21</v>
      </c>
      <c r="N687" s="14">
        <v>2543.7800000000002</v>
      </c>
      <c r="P687" s="14">
        <f>+P686*(1+'SImple Return'!B686)</f>
        <v>188.98526864149579</v>
      </c>
      <c r="Q687" s="14">
        <f>+Q686*(1+'SImple Return'!C686)</f>
        <v>180.76205577837902</v>
      </c>
      <c r="R687" s="14">
        <f>+R686*(1+'SImple Return'!D686)</f>
        <v>206.05676049838479</v>
      </c>
      <c r="S687" s="14">
        <f>+S686*(1+'SImple Return'!E686)</f>
        <v>283.57830664072225</v>
      </c>
      <c r="T687" s="14">
        <f>+T686*(1+'SImple Return'!F686)</f>
        <v>295.4378558806207</v>
      </c>
      <c r="U687" s="14">
        <f>+U686*(1+'SImple Return'!G686)</f>
        <v>252.51925451231702</v>
      </c>
      <c r="V687" s="14">
        <f>+V686*(1+'SImple Return'!H686)</f>
        <v>243.19320865259135</v>
      </c>
      <c r="W687" s="14">
        <f>+W686*(1+'SImple Return'!I686)</f>
        <v>489.26922655073651</v>
      </c>
      <c r="X687" s="14">
        <f>+X686*(1+'SImple Return'!J686)</f>
        <v>312.83657865842048</v>
      </c>
      <c r="Y687" s="14">
        <f>+Y686*(1+'SImple Return'!K686)</f>
        <v>161.70762506070912</v>
      </c>
      <c r="Z687" s="14">
        <f>+Z686*(1+'SImple Return'!L686)</f>
        <v>2074.7328950572191</v>
      </c>
      <c r="AA687" s="14">
        <f>+AA686*(1+'SImple Return'!M686)</f>
        <v>248.14107637514874</v>
      </c>
      <c r="AB687" s="14">
        <f>+AB686*(1+'SImple Return'!N686)</f>
        <v>248.71962845270099</v>
      </c>
    </row>
    <row r="688" spans="1:28">
      <c r="A688" s="8">
        <v>42426</v>
      </c>
      <c r="B688" s="10">
        <v>1554.47</v>
      </c>
      <c r="C688" s="10">
        <v>386.97</v>
      </c>
      <c r="D688" s="10">
        <v>180.93</v>
      </c>
      <c r="E688" s="11">
        <v>2805.2</v>
      </c>
      <c r="F688" s="11">
        <v>3077.96</v>
      </c>
      <c r="G688" s="11">
        <v>2595.5</v>
      </c>
      <c r="H688" s="14">
        <v>2429.34</v>
      </c>
      <c r="I688" s="14">
        <v>4897</v>
      </c>
      <c r="J688" s="14">
        <v>3020.56</v>
      </c>
      <c r="K688" s="14">
        <v>1661.07</v>
      </c>
      <c r="L688" s="14">
        <v>21830.5</v>
      </c>
      <c r="M688" s="14">
        <v>2534.58</v>
      </c>
      <c r="N688" s="14">
        <v>2613.39</v>
      </c>
      <c r="P688" s="14">
        <f>+P687*(1+'SImple Return'!B687)</f>
        <v>190.98794707031468</v>
      </c>
      <c r="Q688" s="14">
        <f>+Q687*(1+'SImple Return'!C687)</f>
        <v>180.47290364704801</v>
      </c>
      <c r="R688" s="14">
        <f>+R687*(1+'SImple Return'!D687)</f>
        <v>208.73327180433773</v>
      </c>
      <c r="S688" s="14">
        <f>+S687*(1+'SImple Return'!E687)</f>
        <v>279.91817592176795</v>
      </c>
      <c r="T688" s="14">
        <f>+T687*(1+'SImple Return'!F687)</f>
        <v>302.17553504810553</v>
      </c>
      <c r="U688" s="14">
        <f>+U687*(1+'SImple Return'!G687)</f>
        <v>254.32614106257472</v>
      </c>
      <c r="V688" s="14">
        <f>+V687*(1+'SImple Return'!H687)</f>
        <v>242.05533911899829</v>
      </c>
      <c r="W688" s="14">
        <f>+W687*(1+'SImple Return'!I687)</f>
        <v>488.27910779631185</v>
      </c>
      <c r="X688" s="14">
        <f>+X687*(1+'SImple Return'!J687)</f>
        <v>304.27415861631351</v>
      </c>
      <c r="Y688" s="14">
        <f>+Y687*(1+'SImple Return'!K687)</f>
        <v>161.34725594949009</v>
      </c>
      <c r="Z688" s="14">
        <f>+Z687*(1+'SImple Return'!L687)</f>
        <v>2126.1748234721204</v>
      </c>
      <c r="AA688" s="14">
        <f>+AA687*(1+'SImple Return'!M687)</f>
        <v>250.74990106846096</v>
      </c>
      <c r="AB688" s="14">
        <f>+AB687*(1+'SImple Return'!N687)</f>
        <v>255.52578831581513</v>
      </c>
    </row>
    <row r="689" spans="1:28">
      <c r="A689" s="8">
        <v>42433</v>
      </c>
      <c r="B689" s="10">
        <v>1608.04</v>
      </c>
      <c r="C689" s="10">
        <v>387.19</v>
      </c>
      <c r="D689" s="10">
        <v>188.25</v>
      </c>
      <c r="E689" s="11">
        <v>2846.07</v>
      </c>
      <c r="F689" s="11">
        <v>3199.33</v>
      </c>
      <c r="G689" s="11">
        <v>2697.64</v>
      </c>
      <c r="H689" s="14">
        <v>2443.2800000000002</v>
      </c>
      <c r="I689" s="14">
        <v>5029.54</v>
      </c>
      <c r="J689" s="14">
        <v>3116.29</v>
      </c>
      <c r="K689" s="14">
        <v>1727.12</v>
      </c>
      <c r="L689" s="14">
        <v>22707.38</v>
      </c>
      <c r="M689" s="14">
        <v>2625.14</v>
      </c>
      <c r="N689" s="14">
        <v>2732.05</v>
      </c>
      <c r="P689" s="14">
        <f>+P688*(1+'SImple Return'!B688)</f>
        <v>197.56975586981341</v>
      </c>
      <c r="Q689" s="14">
        <f>+Q688*(1+'SImple Return'!C688)</f>
        <v>180.57550601622998</v>
      </c>
      <c r="R689" s="14">
        <f>+R688*(1+'SImple Return'!D688)</f>
        <v>217.17812644208576</v>
      </c>
      <c r="S689" s="14">
        <f>+S688*(1+'SImple Return'!E688)</f>
        <v>283.99640772339444</v>
      </c>
      <c r="T689" s="14">
        <f>+T688*(1+'SImple Return'!F688)</f>
        <v>314.09090909090941</v>
      </c>
      <c r="U689" s="14">
        <f>+U688*(1+'SImple Return'!G688)</f>
        <v>264.3345679738178</v>
      </c>
      <c r="V689" s="14">
        <f>+V688*(1+'SImple Return'!H688)</f>
        <v>243.44429720116005</v>
      </c>
      <c r="W689" s="14">
        <f>+W688*(1+'SImple Return'!I688)</f>
        <v>501.4946505668496</v>
      </c>
      <c r="X689" s="14">
        <f>+X688*(1+'SImple Return'!J688)</f>
        <v>313.91745827079467</v>
      </c>
      <c r="Y689" s="14">
        <f>+Y688*(1+'SImple Return'!K688)</f>
        <v>167.7629917435649</v>
      </c>
      <c r="Z689" s="14">
        <f>+Z688*(1+'SImple Return'!L688)</f>
        <v>2211.578280983686</v>
      </c>
      <c r="AA689" s="14">
        <f>+AA688*(1+'SImple Return'!M688)</f>
        <v>259.70914127423856</v>
      </c>
      <c r="AB689" s="14">
        <f>+AB688*(1+'SImple Return'!N688)</f>
        <v>267.12784160351987</v>
      </c>
    </row>
    <row r="690" spans="1:28">
      <c r="A690" s="8">
        <v>42440</v>
      </c>
      <c r="B690" s="10">
        <v>1626.17</v>
      </c>
      <c r="C690" s="10">
        <v>387.81</v>
      </c>
      <c r="D690" s="10">
        <v>191.05</v>
      </c>
      <c r="E690" s="11">
        <v>2930.51</v>
      </c>
      <c r="F690" s="11">
        <v>3223.84</v>
      </c>
      <c r="G690" s="11">
        <v>2695.49</v>
      </c>
      <c r="H690" s="14">
        <v>2497.4499999999998</v>
      </c>
      <c r="I690" s="14">
        <v>5171.12</v>
      </c>
      <c r="J690" s="14">
        <v>3123.25</v>
      </c>
      <c r="K690" s="14">
        <v>1705.01</v>
      </c>
      <c r="L690" s="14">
        <v>22860.51</v>
      </c>
      <c r="M690" s="14">
        <v>2709.62</v>
      </c>
      <c r="N690" s="14">
        <v>2744.52</v>
      </c>
      <c r="P690" s="14">
        <f>+P689*(1+'SImple Return'!B689)</f>
        <v>199.79727488297212</v>
      </c>
      <c r="Q690" s="14">
        <f>+Q689*(1+'SImple Return'!C689)</f>
        <v>180.86465814756102</v>
      </c>
      <c r="R690" s="14">
        <f>+R689*(1+'SImple Return'!D689)</f>
        <v>220.40839870789102</v>
      </c>
      <c r="S690" s="14">
        <f>+S689*(1+'SImple Return'!E689)</f>
        <v>292.42229207204485</v>
      </c>
      <c r="T690" s="14">
        <f>+T689*(1+'SImple Return'!F689)</f>
        <v>316.49715295503665</v>
      </c>
      <c r="U690" s="14">
        <f>+U689*(1+'SImple Return'!G689)</f>
        <v>264.12389519274109</v>
      </c>
      <c r="V690" s="14">
        <f>+V689*(1+'SImple Return'!H689)</f>
        <v>248.84170461225773</v>
      </c>
      <c r="W690" s="14">
        <f>+W689*(1+'SImple Return'!I689)</f>
        <v>515.61157033033783</v>
      </c>
      <c r="X690" s="14">
        <f>+X689*(1+'SImple Return'!J689)</f>
        <v>314.61856937071309</v>
      </c>
      <c r="Y690" s="14">
        <f>+Y689*(1+'SImple Return'!K689)</f>
        <v>165.61534725594956</v>
      </c>
      <c r="Z690" s="14">
        <f>+Z689*(1+'SImple Return'!L689)</f>
        <v>2226.4923301680055</v>
      </c>
      <c r="AA690" s="14">
        <f>+AA689*(1+'SImple Return'!M689)</f>
        <v>268.06687772061764</v>
      </c>
      <c r="AB690" s="14">
        <f>+AB689*(1+'SImple Return'!N689)</f>
        <v>268.3471033977022</v>
      </c>
    </row>
    <row r="691" spans="1:28">
      <c r="A691" s="8">
        <v>42447</v>
      </c>
      <c r="B691" s="10">
        <v>1645.57</v>
      </c>
      <c r="C691" s="10">
        <v>392.6</v>
      </c>
      <c r="D691" s="10">
        <v>195.74</v>
      </c>
      <c r="E691" s="11">
        <v>3005.63</v>
      </c>
      <c r="F691" s="11">
        <v>3287.63</v>
      </c>
      <c r="G691" s="11">
        <v>2710.86</v>
      </c>
      <c r="H691" s="14">
        <v>2537.8200000000002</v>
      </c>
      <c r="I691" s="14">
        <v>5301.57</v>
      </c>
      <c r="J691" s="14">
        <v>3169.24</v>
      </c>
      <c r="K691" s="14">
        <v>1709.1</v>
      </c>
      <c r="L691" s="14">
        <v>23372.240000000002</v>
      </c>
      <c r="M691" s="14">
        <v>2737.7</v>
      </c>
      <c r="N691" s="14">
        <v>2806.94</v>
      </c>
      <c r="P691" s="14">
        <f>+P690*(1+'SImple Return'!B690)</f>
        <v>202.18083080438845</v>
      </c>
      <c r="Q691" s="14">
        <f>+Q690*(1+'SImple Return'!C690)</f>
        <v>183.09859154929595</v>
      </c>
      <c r="R691" s="14">
        <f>+R690*(1+'SImple Return'!D690)</f>
        <v>225.8191047531148</v>
      </c>
      <c r="S691" s="14">
        <f>+S690*(1+'SImple Return'!E690)</f>
        <v>299.9181759217679</v>
      </c>
      <c r="T691" s="14">
        <f>+T690*(1+'SImple Return'!F690)</f>
        <v>322.75967013548035</v>
      </c>
      <c r="U691" s="14">
        <f>+U690*(1+'SImple Return'!G690)</f>
        <v>265.62996060908938</v>
      </c>
      <c r="V691" s="14">
        <f>+V690*(1+'SImple Return'!H690)</f>
        <v>252.86410330500311</v>
      </c>
      <c r="W691" s="14">
        <f>+W690*(1+'SImple Return'!I690)</f>
        <v>528.61871952617798</v>
      </c>
      <c r="X691" s="14">
        <f>+X690*(1+'SImple Return'!J690)</f>
        <v>319.25134228526014</v>
      </c>
      <c r="Y691" s="14">
        <f>+Y690*(1+'SImple Return'!K690)</f>
        <v>166.01262748907243</v>
      </c>
      <c r="Z691" s="14">
        <f>+Z690*(1+'SImple Return'!L690)</f>
        <v>2276.3321158996837</v>
      </c>
      <c r="AA691" s="14">
        <f>+AA690*(1+'SImple Return'!M690)</f>
        <v>270.84487534626066</v>
      </c>
      <c r="AB691" s="14">
        <f>+AB690*(1+'SImple Return'!N690)</f>
        <v>274.45025666096302</v>
      </c>
    </row>
    <row r="692" spans="1:28">
      <c r="A692" s="8">
        <v>42454</v>
      </c>
      <c r="B692" s="10">
        <v>1623.71</v>
      </c>
      <c r="C692" s="10">
        <v>391.19</v>
      </c>
      <c r="D692" s="10">
        <v>192.85</v>
      </c>
      <c r="E692" s="11">
        <v>2959.12</v>
      </c>
      <c r="F692" s="11">
        <v>3253.28</v>
      </c>
      <c r="G692" s="11">
        <v>2712.42</v>
      </c>
      <c r="H692" s="14">
        <v>2546.89</v>
      </c>
      <c r="I692" s="14">
        <v>5252.67</v>
      </c>
      <c r="J692" s="14">
        <v>3115.34</v>
      </c>
      <c r="K692" s="14">
        <v>1684.52</v>
      </c>
      <c r="L692" s="14">
        <v>23117.040000000001</v>
      </c>
      <c r="M692" s="14">
        <v>2712.01</v>
      </c>
      <c r="N692" s="14">
        <v>2757.56</v>
      </c>
      <c r="P692" s="14">
        <f>+P691*(1+'SImple Return'!B691)</f>
        <v>199.4950301630399</v>
      </c>
      <c r="Q692" s="14">
        <f>+Q691*(1+'SImple Return'!C691)</f>
        <v>182.44100363772051</v>
      </c>
      <c r="R692" s="14">
        <f>+R691*(1+'SImple Return'!D691)</f>
        <v>222.4850023073372</v>
      </c>
      <c r="S692" s="14">
        <f>+S691*(1+'SImple Return'!E691)</f>
        <v>295.2771541186446</v>
      </c>
      <c r="T692" s="14">
        <f>+T691*(1+'SImple Return'!F691)</f>
        <v>319.38739446298871</v>
      </c>
      <c r="U692" s="14">
        <f>+U691*(1+'SImple Return'!G691)</f>
        <v>265.78282085954504</v>
      </c>
      <c r="V692" s="14">
        <f>+V691*(1+'SImple Return'!H691)</f>
        <v>253.76782280322453</v>
      </c>
      <c r="W692" s="14">
        <f>+W691*(1+'SImple Return'!I691)</f>
        <v>523.74290813731966</v>
      </c>
      <c r="X692" s="14">
        <f>+X691*(1+'SImple Return'!J691)</f>
        <v>313.82176063502999</v>
      </c>
      <c r="Y692" s="14">
        <f>+Y691*(1+'SImple Return'!K691)</f>
        <v>163.62506070908213</v>
      </c>
      <c r="Z692" s="14">
        <f>+Z691*(1+'SImple Return'!L691)</f>
        <v>2251.4769905040175</v>
      </c>
      <c r="AA692" s="14">
        <f>+AA691*(1+'SImple Return'!M691)</f>
        <v>268.30332409972334</v>
      </c>
      <c r="AB692" s="14">
        <f>+AB691*(1+'SImple Return'!N691)</f>
        <v>269.6220972867269</v>
      </c>
    </row>
    <row r="693" spans="1:28">
      <c r="A693" s="8">
        <v>42461</v>
      </c>
      <c r="B693" s="10">
        <v>1640.14</v>
      </c>
      <c r="C693" s="10">
        <v>394.03</v>
      </c>
      <c r="D693" s="10">
        <v>196.15</v>
      </c>
      <c r="E693" s="11">
        <v>2982.24</v>
      </c>
      <c r="F693" s="11">
        <v>3298.15</v>
      </c>
      <c r="G693" s="11">
        <v>2724.69</v>
      </c>
      <c r="H693" s="14">
        <v>2574.84</v>
      </c>
      <c r="I693" s="14">
        <v>5305.49</v>
      </c>
      <c r="J693" s="14">
        <v>3161.89</v>
      </c>
      <c r="K693" s="14">
        <v>1763.26</v>
      </c>
      <c r="L693" s="14">
        <v>23827.91</v>
      </c>
      <c r="M693" s="14">
        <v>2749.64</v>
      </c>
      <c r="N693" s="14">
        <v>2767.63</v>
      </c>
      <c r="P693" s="14">
        <f>+P692*(1+'SImple Return'!B692)</f>
        <v>201.51368087380644</v>
      </c>
      <c r="Q693" s="14">
        <f>+Q692*(1+'SImple Return'!C692)</f>
        <v>183.76550694897875</v>
      </c>
      <c r="R693" s="14">
        <f>+R692*(1+'SImple Return'!D692)</f>
        <v>226.29210890632197</v>
      </c>
      <c r="S693" s="14">
        <f>+S692*(1+'SImple Return'!E692)</f>
        <v>297.58419398293637</v>
      </c>
      <c r="T693" s="14">
        <f>+T692*(1+'SImple Return'!F692)</f>
        <v>323.79246023954477</v>
      </c>
      <c r="U693" s="14">
        <f>+U692*(1+'SImple Return'!G692)</f>
        <v>266.98512552178272</v>
      </c>
      <c r="V693" s="14">
        <f>+V692*(1+'SImple Return'!H692)</f>
        <v>256.55271364945276</v>
      </c>
      <c r="W693" s="14">
        <f>+W692*(1+'SImple Return'!I692)</f>
        <v>529.00958211604154</v>
      </c>
      <c r="X693" s="14">
        <f>+X692*(1+'SImple Return'!J692)</f>
        <v>318.5109447875015</v>
      </c>
      <c r="Y693" s="14">
        <f>+Y692*(1+'SImple Return'!K692)</f>
        <v>171.27343370568244</v>
      </c>
      <c r="Z693" s="14">
        <f>+Z692*(1+'SImple Return'!L692)</f>
        <v>2320.7119551984415</v>
      </c>
      <c r="AA693" s="14">
        <f>+AA692*(1+'SImple Return'!M692)</f>
        <v>272.02611792639527</v>
      </c>
      <c r="AB693" s="14">
        <f>+AB692*(1+'SImple Return'!N692)</f>
        <v>270.60669762894156</v>
      </c>
    </row>
    <row r="694" spans="1:28">
      <c r="A694" s="8">
        <v>42468</v>
      </c>
      <c r="B694" s="10">
        <v>1632.2</v>
      </c>
      <c r="C694" s="10">
        <v>397.06</v>
      </c>
      <c r="D694" s="10">
        <v>196.97</v>
      </c>
      <c r="E694" s="11">
        <v>3039.69</v>
      </c>
      <c r="F694" s="11">
        <v>3319.16</v>
      </c>
      <c r="G694" s="11">
        <v>2737.06</v>
      </c>
      <c r="H694" s="14">
        <v>2572.17</v>
      </c>
      <c r="I694" s="14">
        <v>5434.86</v>
      </c>
      <c r="J694" s="14">
        <v>3230.2</v>
      </c>
      <c r="K694" s="14">
        <v>1768.78</v>
      </c>
      <c r="L694" s="14">
        <v>24017.919999999998</v>
      </c>
      <c r="M694" s="14">
        <v>2753.14</v>
      </c>
      <c r="N694" s="14">
        <v>2808.31</v>
      </c>
      <c r="P694" s="14">
        <f>+P693*(1+'SImple Return'!B693)</f>
        <v>200.53814303792777</v>
      </c>
      <c r="Q694" s="14">
        <f>+Q693*(1+'SImple Return'!C693)</f>
        <v>185.17862139725784</v>
      </c>
      <c r="R694" s="14">
        <f>+R693*(1+'SImple Return'!D693)</f>
        <v>227.23811721273634</v>
      </c>
      <c r="S694" s="14">
        <f>+S693*(1+'SImple Return'!E693)</f>
        <v>303.31686873222543</v>
      </c>
      <c r="T694" s="14">
        <f>+T693*(1+'SImple Return'!F693)</f>
        <v>325.8550952287456</v>
      </c>
      <c r="U694" s="14">
        <f>+U693*(1+'SImple Return'!G693)</f>
        <v>268.19722891802388</v>
      </c>
      <c r="V694" s="14">
        <f>+V693*(1+'SImple Return'!H693)</f>
        <v>256.28667935394543</v>
      </c>
      <c r="W694" s="14">
        <f>+W693*(1+'SImple Return'!I693)</f>
        <v>541.90904467998041</v>
      </c>
      <c r="X694" s="14">
        <f>+X693*(1+'SImple Return'!J693)</f>
        <v>325.39210847075236</v>
      </c>
      <c r="Y694" s="14">
        <f>+Y693*(1+'SImple Return'!K693)</f>
        <v>171.80961631860134</v>
      </c>
      <c r="Z694" s="14">
        <f>+Z693*(1+'SImple Return'!L693)</f>
        <v>2339.2179206233254</v>
      </c>
      <c r="AA694" s="14">
        <f>+AA693*(1+'SImple Return'!M693)</f>
        <v>272.37237831420691</v>
      </c>
      <c r="AB694" s="14">
        <f>+AB693*(1+'SImple Return'!N693)</f>
        <v>274.58420923979463</v>
      </c>
    </row>
    <row r="695" spans="1:28">
      <c r="A695" s="8">
        <v>42475</v>
      </c>
      <c r="B695" s="10">
        <v>1670.47</v>
      </c>
      <c r="C695" s="10">
        <v>396.91</v>
      </c>
      <c r="D695" s="10">
        <v>198.55</v>
      </c>
      <c r="E695" s="11">
        <v>3044.12</v>
      </c>
      <c r="F695" s="11">
        <v>3353.88</v>
      </c>
      <c r="G695" s="11">
        <v>2841.5</v>
      </c>
      <c r="H695" s="14">
        <v>2578.73</v>
      </c>
      <c r="I695" s="14">
        <v>5481.23</v>
      </c>
      <c r="J695" s="14">
        <v>3287.49</v>
      </c>
      <c r="K695" s="14">
        <v>1832.92</v>
      </c>
      <c r="L695" s="14">
        <v>23970.34</v>
      </c>
      <c r="M695" s="14">
        <v>2776.86</v>
      </c>
      <c r="N695" s="14">
        <v>2864.63</v>
      </c>
      <c r="P695" s="14">
        <f>+P694*(1+'SImple Return'!B694)</f>
        <v>205.24013711589708</v>
      </c>
      <c r="Q695" s="14">
        <f>+Q694*(1+'SImple Return'!C694)</f>
        <v>185.10866523645194</v>
      </c>
      <c r="R695" s="14">
        <f>+R694*(1+'SImple Return'!D694)</f>
        <v>229.0609137055836</v>
      </c>
      <c r="S695" s="14">
        <f>+S694*(1+'SImple Return'!E694)</f>
        <v>303.75891832559967</v>
      </c>
      <c r="T695" s="14">
        <f>+T694*(1+'SImple Return'!F694)</f>
        <v>329.26369526801523</v>
      </c>
      <c r="U695" s="14">
        <f>+U694*(1+'SImple Return'!G694)</f>
        <v>278.43102671134903</v>
      </c>
      <c r="V695" s="14">
        <f>+V694*(1+'SImple Return'!H694)</f>
        <v>256.94030668672741</v>
      </c>
      <c r="W695" s="14">
        <f>+W694*(1+'SImple Return'!I694)</f>
        <v>546.53259016262587</v>
      </c>
      <c r="X695" s="14">
        <f>+X694*(1+'SImple Return'!J694)</f>
        <v>331.16317957913247</v>
      </c>
      <c r="Y695" s="14">
        <f>+Y694*(1+'SImple Return'!K694)</f>
        <v>178.03982515784369</v>
      </c>
      <c r="Z695" s="14">
        <f>+Z694*(1+'SImple Return'!L694)</f>
        <v>2334.5838811784752</v>
      </c>
      <c r="AA695" s="14">
        <f>+AA694*(1+'SImple Return'!M694)</f>
        <v>274.71903442817609</v>
      </c>
      <c r="AB695" s="14">
        <f>+AB694*(1+'SImple Return'!N694)</f>
        <v>280.09093131263751</v>
      </c>
    </row>
    <row r="696" spans="1:28">
      <c r="A696" s="8">
        <v>42482</v>
      </c>
      <c r="B696" s="10">
        <v>1686.17</v>
      </c>
      <c r="C696" s="10">
        <v>394.31</v>
      </c>
      <c r="D696" s="10">
        <v>197.09</v>
      </c>
      <c r="E696" s="11">
        <v>2975.33</v>
      </c>
      <c r="F696" s="11">
        <v>3379.7</v>
      </c>
      <c r="G696" s="11">
        <v>2789.43</v>
      </c>
      <c r="H696" s="14">
        <v>2495.4899999999998</v>
      </c>
      <c r="I696" s="14">
        <v>5395.63</v>
      </c>
      <c r="J696" s="14">
        <v>3207.57</v>
      </c>
      <c r="K696" s="14">
        <v>1770.48</v>
      </c>
      <c r="L696" s="14">
        <v>23778.66</v>
      </c>
      <c r="M696" s="14">
        <v>2795.23</v>
      </c>
      <c r="N696" s="14">
        <v>2910.48</v>
      </c>
      <c r="P696" s="14">
        <f>+P695*(1+'SImple Return'!B695)</f>
        <v>207.16909732034227</v>
      </c>
      <c r="Q696" s="14">
        <f>+Q695*(1+'SImple Return'!C695)</f>
        <v>183.8960917824831</v>
      </c>
      <c r="R696" s="14">
        <f>+R695*(1+'SImple Return'!D695)</f>
        <v>227.37655745269942</v>
      </c>
      <c r="S696" s="14">
        <f>+S695*(1+'SImple Return'!E695)</f>
        <v>296.89467644564161</v>
      </c>
      <c r="T696" s="14">
        <f>+T695*(1+'SImple Return'!F695)</f>
        <v>331.79854702532919</v>
      </c>
      <c r="U696" s="14">
        <f>+U695*(1+'SImple Return'!G695)</f>
        <v>273.32882591569182</v>
      </c>
      <c r="V696" s="14">
        <f>+V695*(1+'SImple Return'!H695)</f>
        <v>248.64641351892649</v>
      </c>
      <c r="W696" s="14">
        <f>+W695*(1+'SImple Return'!I695)</f>
        <v>537.99742748601489</v>
      </c>
      <c r="X696" s="14">
        <f>+X695*(1+'SImple Return'!J695)</f>
        <v>323.11249005248322</v>
      </c>
      <c r="Y696" s="14">
        <f>+Y695*(1+'SImple Return'!K695)</f>
        <v>171.97474502185534</v>
      </c>
      <c r="Z696" s="14">
        <f>+Z695*(1+'SImple Return'!L695)</f>
        <v>2315.9152666179684</v>
      </c>
      <c r="AA696" s="14">
        <f>+AA695*(1+'SImple Return'!M695)</f>
        <v>276.53640680649028</v>
      </c>
      <c r="AB696" s="14">
        <f>+AB695*(1+'SImple Return'!N695)</f>
        <v>284.57394280127107</v>
      </c>
    </row>
    <row r="697" spans="1:28">
      <c r="A697" s="8">
        <v>42489</v>
      </c>
      <c r="B697" s="10">
        <v>1670.8</v>
      </c>
      <c r="C697" s="10">
        <v>398.16</v>
      </c>
      <c r="D697" s="10">
        <v>197.11</v>
      </c>
      <c r="E697" s="11">
        <v>3080.74</v>
      </c>
      <c r="F697" s="11">
        <v>3413.25</v>
      </c>
      <c r="G697" s="11">
        <v>2757.76</v>
      </c>
      <c r="H697" s="14">
        <v>2572.5500000000002</v>
      </c>
      <c r="I697" s="14">
        <v>5578.15</v>
      </c>
      <c r="J697" s="14">
        <v>3318.1</v>
      </c>
      <c r="K697" s="14">
        <v>1746.06</v>
      </c>
      <c r="L697" s="14">
        <v>23738.82</v>
      </c>
      <c r="M697" s="14">
        <v>2866.39</v>
      </c>
      <c r="N697" s="14">
        <v>2922.99</v>
      </c>
      <c r="P697" s="14">
        <f>+P696*(1+'SImple Return'!B696)</f>
        <v>205.2806821393026</v>
      </c>
      <c r="Q697" s="14">
        <f>+Q696*(1+'SImple Return'!C696)</f>
        <v>185.69163324316776</v>
      </c>
      <c r="R697" s="14">
        <f>+R696*(1+'SImple Return'!D696)</f>
        <v>227.39963082602659</v>
      </c>
      <c r="S697" s="14">
        <f>+S696*(1+'SImple Return'!E696)</f>
        <v>307.41306191687841</v>
      </c>
      <c r="T697" s="14">
        <f>+T696*(1+'SImple Return'!F696)</f>
        <v>335.09228352640912</v>
      </c>
      <c r="U697" s="14">
        <f>+U696*(1+'SImple Return'!G696)</f>
        <v>270.22556685676227</v>
      </c>
      <c r="V697" s="14">
        <f>+V696*(1+'SImple Return'!H696)</f>
        <v>256.32454191285655</v>
      </c>
      <c r="W697" s="14">
        <f>+W696*(1+'SImple Return'!I696)</f>
        <v>556.19646827731219</v>
      </c>
      <c r="X697" s="14">
        <f>+X696*(1+'SImple Return'!J696)</f>
        <v>334.24665813782536</v>
      </c>
      <c r="Y697" s="14">
        <f>+Y696*(1+'SImple Return'!K696)</f>
        <v>169.60271976687719</v>
      </c>
      <c r="Z697" s="14">
        <f>+Z696*(1+'SImple Return'!L696)</f>
        <v>2312.0350620891154</v>
      </c>
      <c r="AA697" s="14">
        <f>+AA696*(1+'SImple Return'!M696)</f>
        <v>283.57637514839769</v>
      </c>
      <c r="AB697" s="14">
        <f>+AB696*(1+'SImple Return'!N696)</f>
        <v>285.79711561965286</v>
      </c>
    </row>
    <row r="698" spans="1:28">
      <c r="A698" s="8">
        <v>42496</v>
      </c>
      <c r="B698" s="10">
        <v>1643.19</v>
      </c>
      <c r="C698" s="10">
        <v>399</v>
      </c>
      <c r="D698" s="10">
        <v>199</v>
      </c>
      <c r="E698" s="11">
        <v>3051.69</v>
      </c>
      <c r="F698" s="11">
        <v>3379.93</v>
      </c>
      <c r="G698" s="11">
        <v>2730.04</v>
      </c>
      <c r="H698" s="14">
        <v>2580.94</v>
      </c>
      <c r="I698" s="14">
        <v>5502.04</v>
      </c>
      <c r="J698" s="14">
        <v>3323.95</v>
      </c>
      <c r="K698" s="14">
        <v>1669.65</v>
      </c>
      <c r="L698" s="14">
        <v>23948.76</v>
      </c>
      <c r="M698" s="14">
        <v>2872.68</v>
      </c>
      <c r="N698" s="14">
        <v>2854.75</v>
      </c>
      <c r="P698" s="14">
        <f>+P697*(1+'SImple Return'!B697)</f>
        <v>201.88841518103942</v>
      </c>
      <c r="Q698" s="14">
        <f>+Q697*(1+'SImple Return'!C697)</f>
        <v>186.08338774368073</v>
      </c>
      <c r="R698" s="14">
        <f>+R697*(1+'SImple Return'!D697)</f>
        <v>229.58006460544513</v>
      </c>
      <c r="S698" s="14">
        <f>+S697*(1+'SImple Return'!E697)</f>
        <v>304.514294267325</v>
      </c>
      <c r="T698" s="14">
        <f>+T697*(1+'SImple Return'!F697)</f>
        <v>331.82112703711005</v>
      </c>
      <c r="U698" s="14">
        <f>+U697*(1+'SImple Return'!G697)</f>
        <v>267.50935779097352</v>
      </c>
      <c r="V698" s="14">
        <f>+V697*(1+'SImple Return'!H697)</f>
        <v>257.16050735828958</v>
      </c>
      <c r="W698" s="14">
        <f>+W697*(1+'SImple Return'!I697)</f>
        <v>548.60755202361054</v>
      </c>
      <c r="X698" s="14">
        <f>+X697*(1+'SImple Return'!J697)</f>
        <v>334.83595410542921</v>
      </c>
      <c r="Y698" s="14">
        <f>+Y697*(1+'SImple Return'!K697)</f>
        <v>162.18067022826622</v>
      </c>
      <c r="Z698" s="14">
        <f>+Z697*(1+'SImple Return'!L697)</f>
        <v>2332.482103725346</v>
      </c>
      <c r="AA698" s="14">
        <f>+AA697*(1+'SImple Return'!M697)</f>
        <v>284.19865453106485</v>
      </c>
      <c r="AB698" s="14">
        <f>+AB697*(1+'SImple Return'!N697)</f>
        <v>279.12490833537032</v>
      </c>
    </row>
    <row r="699" spans="1:28">
      <c r="A699" s="8">
        <v>42503</v>
      </c>
      <c r="B699" s="10">
        <v>1635.92</v>
      </c>
      <c r="C699" s="10">
        <v>398.22</v>
      </c>
      <c r="D699" s="10">
        <v>196.4</v>
      </c>
      <c r="E699" s="11">
        <v>3005.62</v>
      </c>
      <c r="F699" s="11">
        <v>3398.74</v>
      </c>
      <c r="G699" s="11">
        <v>2687.58</v>
      </c>
      <c r="H699" s="14">
        <v>2593.66</v>
      </c>
      <c r="I699" s="14">
        <v>5474.89</v>
      </c>
      <c r="J699" s="14">
        <v>3330.77</v>
      </c>
      <c r="K699" s="14">
        <v>1651.15</v>
      </c>
      <c r="L699" s="14">
        <v>23407.27</v>
      </c>
      <c r="M699" s="14">
        <v>2821.19</v>
      </c>
      <c r="N699" s="14">
        <v>2863.49</v>
      </c>
      <c r="P699" s="14">
        <f>+P698*(1+'SImple Return'!B698)</f>
        <v>200.99519602904473</v>
      </c>
      <c r="Q699" s="14">
        <f>+Q698*(1+'SImple Return'!C698)</f>
        <v>185.71961570749008</v>
      </c>
      <c r="R699" s="14">
        <f>+R698*(1+'SImple Return'!D698)</f>
        <v>226.58052607291168</v>
      </c>
      <c r="S699" s="14">
        <f>+S698*(1+'SImple Return'!E698)</f>
        <v>299.91717806715536</v>
      </c>
      <c r="T699" s="14">
        <f>+T698*(1+'SImple Return'!F698)</f>
        <v>333.66777930492862</v>
      </c>
      <c r="U699" s="14">
        <f>+U698*(1+'SImple Return'!G698)</f>
        <v>263.34881533305906</v>
      </c>
      <c r="V699" s="14">
        <f>+V698*(1+'SImple Return'!H698)</f>
        <v>258.42790669868396</v>
      </c>
      <c r="W699" s="14">
        <f>+W698*(1+'SImple Return'!I698)</f>
        <v>545.90042974942844</v>
      </c>
      <c r="X699" s="14">
        <f>+X698*(1+'SImple Return'!J698)</f>
        <v>335.52296239586656</v>
      </c>
      <c r="Y699" s="14">
        <f>+Y698*(1+'SImple Return'!K698)</f>
        <v>160.38368139873731</v>
      </c>
      <c r="Z699" s="14">
        <f>+Z698*(1+'SImple Return'!L698)</f>
        <v>2279.7438519600673</v>
      </c>
      <c r="AA699" s="14">
        <f>+AA698*(1+'SImple Return'!M698)</f>
        <v>279.10466956865884</v>
      </c>
      <c r="AB699" s="14">
        <f>+AB698*(1+'SImple Return'!N698)</f>
        <v>279.97946712295283</v>
      </c>
    </row>
    <row r="700" spans="1:28">
      <c r="A700" s="8">
        <v>42510</v>
      </c>
      <c r="B700" s="10">
        <v>1639.85</v>
      </c>
      <c r="C700" s="10">
        <v>395.47</v>
      </c>
      <c r="D700" s="10">
        <v>193.99</v>
      </c>
      <c r="E700" s="11">
        <v>2990.62</v>
      </c>
      <c r="F700" s="11">
        <v>3398.02</v>
      </c>
      <c r="G700" s="11">
        <v>2664.38</v>
      </c>
      <c r="H700" s="14">
        <v>2537.52</v>
      </c>
      <c r="I700" s="14">
        <v>5450.48</v>
      </c>
      <c r="J700" s="14">
        <v>3302.11</v>
      </c>
      <c r="K700" s="14">
        <v>1607.96</v>
      </c>
      <c r="L700" s="14">
        <v>23093.83</v>
      </c>
      <c r="M700" s="14">
        <v>2808.81</v>
      </c>
      <c r="N700" s="14">
        <v>2896.39</v>
      </c>
      <c r="P700" s="14">
        <f>+P699*(1+'SImple Return'!B699)</f>
        <v>201.47805039869249</v>
      </c>
      <c r="Q700" s="14">
        <f>+Q699*(1+'SImple Return'!C699)</f>
        <v>184.43708609271533</v>
      </c>
      <c r="R700" s="14">
        <f>+R699*(1+'SImple Return'!D699)</f>
        <v>223.80018458698646</v>
      </c>
      <c r="S700" s="14">
        <f>+S699*(1+'SImple Return'!E699)</f>
        <v>298.42039614828099</v>
      </c>
      <c r="T700" s="14">
        <f>+T699*(1+'SImple Return'!F699)</f>
        <v>333.59709405065809</v>
      </c>
      <c r="U700" s="14">
        <f>+U699*(1+'SImple Return'!G699)</f>
        <v>261.07550904423158</v>
      </c>
      <c r="V700" s="14">
        <f>+V699*(1+'SImple Return'!H699)</f>
        <v>252.83421181112578</v>
      </c>
      <c r="W700" s="14">
        <f>+W699*(1+'SImple Return'!I699)</f>
        <v>543.4665124487733</v>
      </c>
      <c r="X700" s="14">
        <f>+X699*(1+'SImple Return'!J699)</f>
        <v>332.63591582637497</v>
      </c>
      <c r="Y700" s="14">
        <f>+Y699*(1+'SImple Return'!K699)</f>
        <v>156.18844099077228</v>
      </c>
      <c r="Z700" s="14">
        <f>+Z699*(1+'SImple Return'!L699)</f>
        <v>2249.2164597029455</v>
      </c>
      <c r="AA700" s="14">
        <f>+AA699*(1+'SImple Return'!M699)</f>
        <v>277.8798971111994</v>
      </c>
      <c r="AB700" s="14">
        <f>+AB699*(1+'SImple Return'!N699)</f>
        <v>283.19628452701056</v>
      </c>
    </row>
    <row r="701" spans="1:28">
      <c r="A701" s="8">
        <v>42517</v>
      </c>
      <c r="B701" s="10">
        <v>1676.07</v>
      </c>
      <c r="C701" s="10">
        <v>396.34</v>
      </c>
      <c r="D701" s="10">
        <v>196.88</v>
      </c>
      <c r="E701" s="11">
        <v>3013.38</v>
      </c>
      <c r="F701" s="11">
        <v>3438.05</v>
      </c>
      <c r="G701" s="11">
        <v>2691.21</v>
      </c>
      <c r="H701" s="14">
        <v>2593.37</v>
      </c>
      <c r="I701" s="14">
        <v>5460.45</v>
      </c>
      <c r="J701" s="14">
        <v>3396.7</v>
      </c>
      <c r="K701" s="14">
        <v>1678.1</v>
      </c>
      <c r="L701" s="14">
        <v>23166.05</v>
      </c>
      <c r="M701" s="14">
        <v>2788.7</v>
      </c>
      <c r="N701" s="14">
        <v>2915.3</v>
      </c>
      <c r="P701" s="14">
        <f>+P700*(1+'SImple Return'!B700)</f>
        <v>205.92817387671829</v>
      </c>
      <c r="Q701" s="14">
        <f>+Q700*(1+'SImple Return'!C700)</f>
        <v>184.84283182538948</v>
      </c>
      <c r="R701" s="14">
        <f>+R700*(1+'SImple Return'!D700)</f>
        <v>227.13428703276398</v>
      </c>
      <c r="S701" s="14">
        <f>+S700*(1+'SImple Return'!E700)</f>
        <v>300.69151324651983</v>
      </c>
      <c r="T701" s="14">
        <f>+T700*(1+'SImple Return'!F700)</f>
        <v>337.52699784017312</v>
      </c>
      <c r="U701" s="14">
        <f>+U700*(1+'SImple Return'!G700)</f>
        <v>263.70450937738855</v>
      </c>
      <c r="V701" s="14">
        <f>+V700*(1+'SImple Return'!H700)</f>
        <v>258.39901158793595</v>
      </c>
      <c r="W701" s="14">
        <f>+W700*(1+'SImple Return'!I700)</f>
        <v>544.46061959697204</v>
      </c>
      <c r="X701" s="14">
        <f>+X700*(1+'SImple Return'!J700)</f>
        <v>342.16437831793843</v>
      </c>
      <c r="Y701" s="14">
        <f>+Y700*(1+'SImple Return'!K700)</f>
        <v>163.00145701796993</v>
      </c>
      <c r="Z701" s="14">
        <f>+Z700*(1+'SImple Return'!L700)</f>
        <v>2256.2503043584115</v>
      </c>
      <c r="AA701" s="14">
        <f>+AA700*(1+'SImple Return'!M700)</f>
        <v>275.89038385437311</v>
      </c>
      <c r="AB701" s="14">
        <f>+AB700*(1+'SImple Return'!N700)</f>
        <v>285.04522121730639</v>
      </c>
    </row>
    <row r="702" spans="1:28">
      <c r="A702" s="8">
        <v>42524</v>
      </c>
      <c r="B702" s="10">
        <v>1678.58</v>
      </c>
      <c r="C702" s="10">
        <v>400.63</v>
      </c>
      <c r="D702" s="10">
        <v>198.74</v>
      </c>
      <c r="E702" s="11">
        <v>2973.69</v>
      </c>
      <c r="F702" s="11">
        <v>3517.07</v>
      </c>
      <c r="G702" s="11">
        <v>2715.75</v>
      </c>
      <c r="H702" s="14">
        <v>2599.41</v>
      </c>
      <c r="I702" s="14">
        <v>5452.06</v>
      </c>
      <c r="J702" s="14">
        <v>3402.28</v>
      </c>
      <c r="K702" s="14">
        <v>1660.59</v>
      </c>
      <c r="L702" s="14">
        <v>23450.79</v>
      </c>
      <c r="M702" s="14">
        <v>2803.02</v>
      </c>
      <c r="N702" s="14">
        <v>2978.28</v>
      </c>
      <c r="P702" s="14">
        <f>+P701*(1+'SImple Return'!B701)</f>
        <v>206.23656178201495</v>
      </c>
      <c r="Q702" s="14">
        <f>+Q701*(1+'SImple Return'!C701)</f>
        <v>186.84357802443807</v>
      </c>
      <c r="R702" s="14">
        <f>+R701*(1+'SImple Return'!D701)</f>
        <v>229.28011075219177</v>
      </c>
      <c r="S702" s="14">
        <f>+S701*(1+'SImple Return'!E701)</f>
        <v>296.73102828917808</v>
      </c>
      <c r="T702" s="14">
        <f>+T701*(1+'SImple Return'!F701)</f>
        <v>345.28470449636785</v>
      </c>
      <c r="U702" s="14">
        <f>+U701*(1+'SImple Return'!G701)</f>
        <v>266.10911870186385</v>
      </c>
      <c r="V702" s="14">
        <f>+V701*(1+'SImple Return'!H701)</f>
        <v>259.00082699799742</v>
      </c>
      <c r="W702" s="14">
        <f>+W701*(1+'SImple Return'!I701)</f>
        <v>543.62405400285104</v>
      </c>
      <c r="X702" s="14">
        <f>+X701*(1+'SImple Return'!J701)</f>
        <v>342.72647601011442</v>
      </c>
      <c r="Y702" s="14">
        <f>+Y701*(1+'SImple Return'!K701)</f>
        <v>161.30063137445364</v>
      </c>
      <c r="Z702" s="14">
        <f>+Z701*(1+'SImple Return'!L701)</f>
        <v>2283.9824689554412</v>
      </c>
      <c r="AA702" s="14">
        <f>+AA701*(1+'SImple Return'!M701)</f>
        <v>277.30708349821958</v>
      </c>
      <c r="AB702" s="14">
        <f>+AB701*(1+'SImple Return'!N701)</f>
        <v>291.20312881935968</v>
      </c>
    </row>
    <row r="703" spans="1:28">
      <c r="A703" s="8">
        <v>42531</v>
      </c>
      <c r="B703" s="10">
        <v>1665.22</v>
      </c>
      <c r="C703" s="10">
        <v>402</v>
      </c>
      <c r="D703" s="10">
        <v>199.01</v>
      </c>
      <c r="E703" s="11">
        <v>2910.09</v>
      </c>
      <c r="F703" s="11">
        <v>3548.33</v>
      </c>
      <c r="G703" s="11">
        <v>2764.26</v>
      </c>
      <c r="H703" s="14">
        <v>2616.56</v>
      </c>
      <c r="I703" s="14">
        <v>5442.21</v>
      </c>
      <c r="J703" s="14">
        <v>3397.94</v>
      </c>
      <c r="K703" s="14">
        <v>1629.56</v>
      </c>
      <c r="L703" s="14">
        <v>23584.25</v>
      </c>
      <c r="M703" s="14">
        <v>2754.4</v>
      </c>
      <c r="N703" s="14">
        <v>2993.08</v>
      </c>
      <c r="P703" s="14">
        <f>+P702*(1+'SImple Return'!B702)</f>
        <v>204.59510265262719</v>
      </c>
      <c r="Q703" s="14">
        <f>+Q702*(1+'SImple Return'!C702)</f>
        <v>187.48251095979859</v>
      </c>
      <c r="R703" s="14">
        <f>+R702*(1+'SImple Return'!D702)</f>
        <v>229.59160129210869</v>
      </c>
      <c r="S703" s="14">
        <f>+S702*(1+'SImple Return'!E702)</f>
        <v>290.38467295315053</v>
      </c>
      <c r="T703" s="14">
        <f>+T702*(1+'SImple Return'!F702)</f>
        <v>348.35362261928162</v>
      </c>
      <c r="U703" s="14">
        <f>+U702*(1+'SImple Return'!G702)</f>
        <v>270.86248456699411</v>
      </c>
      <c r="V703" s="14">
        <f>+V702*(1+'SImple Return'!H702)</f>
        <v>260.70962406464548</v>
      </c>
      <c r="W703" s="14">
        <f>+W702*(1+'SImple Return'!I702)</f>
        <v>542.64191203597454</v>
      </c>
      <c r="X703" s="14">
        <f>+X702*(1+'SImple Return'!J702)</f>
        <v>342.28928891619978</v>
      </c>
      <c r="Y703" s="14">
        <f>+Y702*(1+'SImple Return'!K702)</f>
        <v>158.2865468674114</v>
      </c>
      <c r="Z703" s="14">
        <f>+Z702*(1+'SImple Return'!L702)</f>
        <v>2296.9807645483311</v>
      </c>
      <c r="AA703" s="14">
        <f>+AA702*(1+'SImple Return'!M702)</f>
        <v>272.49703205381911</v>
      </c>
      <c r="AB703" s="14">
        <f>+AB702*(1+'SImple Return'!N702)</f>
        <v>292.65020777316067</v>
      </c>
    </row>
    <row r="704" spans="1:28">
      <c r="A704" s="8">
        <v>42538</v>
      </c>
      <c r="B704" s="10">
        <v>1635.78</v>
      </c>
      <c r="C704" s="10">
        <v>403.04</v>
      </c>
      <c r="D704" s="10">
        <v>196.98</v>
      </c>
      <c r="E704" s="11">
        <v>2847.28</v>
      </c>
      <c r="F704" s="11">
        <v>3549.83</v>
      </c>
      <c r="G704" s="11">
        <v>2714.48</v>
      </c>
      <c r="H704" s="14">
        <v>2598.69</v>
      </c>
      <c r="I704" s="14">
        <v>5346.27</v>
      </c>
      <c r="J704" s="14">
        <v>3344.21</v>
      </c>
      <c r="K704" s="14">
        <v>1590.48</v>
      </c>
      <c r="L704" s="14">
        <v>23433.75</v>
      </c>
      <c r="M704" s="14">
        <v>2693.45</v>
      </c>
      <c r="N704" s="14">
        <v>2986.61</v>
      </c>
      <c r="P704" s="14">
        <f>+P703*(1+'SImple Return'!B703)</f>
        <v>200.97799511002421</v>
      </c>
      <c r="Q704" s="14">
        <f>+Q703*(1+'SImple Return'!C703)</f>
        <v>187.96754034138615</v>
      </c>
      <c r="R704" s="14">
        <f>+R703*(1+'SImple Return'!D703)</f>
        <v>227.24965389939987</v>
      </c>
      <c r="S704" s="14">
        <f>+S703*(1+'SImple Return'!E703)</f>
        <v>284.11714813151707</v>
      </c>
      <c r="T704" s="14">
        <f>+T703*(1+'SImple Return'!F703)</f>
        <v>348.50088356567863</v>
      </c>
      <c r="U704" s="14">
        <f>+U703*(1+'SImple Return'!G703)</f>
        <v>265.98467478001857</v>
      </c>
      <c r="V704" s="14">
        <f>+V703*(1+'SImple Return'!H703)</f>
        <v>258.92908741269207</v>
      </c>
      <c r="W704" s="14">
        <f>+W703*(1+'SImple Return'!I703)</f>
        <v>533.07574956875419</v>
      </c>
      <c r="X704" s="14">
        <f>+X703*(1+'SImple Return'!J703)</f>
        <v>336.87683210605377</v>
      </c>
      <c r="Y704" s="14">
        <f>+Y703*(1+'SImple Return'!K703)</f>
        <v>154.49052938319576</v>
      </c>
      <c r="Z704" s="14">
        <f>+Z703*(1+'SImple Return'!L703)</f>
        <v>2282.3228634039433</v>
      </c>
      <c r="AA704" s="14">
        <f>+AA703*(1+'SImple Return'!M703)</f>
        <v>266.46715472892788</v>
      </c>
      <c r="AB704" s="14">
        <f>+AB703*(1+'SImple Return'!N703)</f>
        <v>292.01759960889768</v>
      </c>
    </row>
    <row r="705" spans="1:28">
      <c r="A705" s="8">
        <v>42545</v>
      </c>
      <c r="B705" s="10">
        <v>1608.79</v>
      </c>
      <c r="C705" s="10">
        <v>404.19</v>
      </c>
      <c r="D705" s="10">
        <v>195.73</v>
      </c>
      <c r="E705" s="11">
        <v>2747.55</v>
      </c>
      <c r="F705" s="11">
        <v>3576.11</v>
      </c>
      <c r="G705" s="11">
        <v>2699.86</v>
      </c>
      <c r="H705" s="14">
        <v>2568.04</v>
      </c>
      <c r="I705" s="14">
        <v>5229.2299999999996</v>
      </c>
      <c r="J705" s="14">
        <v>3361.37</v>
      </c>
      <c r="K705" s="14">
        <v>1596.16</v>
      </c>
      <c r="L705" s="14">
        <v>23743.35</v>
      </c>
      <c r="M705" s="14">
        <v>2622.87</v>
      </c>
      <c r="N705" s="14">
        <v>2979.96</v>
      </c>
      <c r="P705" s="14">
        <f>+P704*(1+'SImple Return'!B704)</f>
        <v>197.66190365028052</v>
      </c>
      <c r="Q705" s="14">
        <f>+Q704*(1+'SImple Return'!C704)</f>
        <v>188.50387090756468</v>
      </c>
      <c r="R705" s="14">
        <f>+R704*(1+'SImple Return'!D704)</f>
        <v>225.8075680664511</v>
      </c>
      <c r="S705" s="14">
        <f>+S704*(1+'SImple Return'!E704)</f>
        <v>274.16554408022733</v>
      </c>
      <c r="T705" s="14">
        <f>+T704*(1+'SImple Return'!F704)</f>
        <v>351.08089534655437</v>
      </c>
      <c r="U705" s="14">
        <f>+U704*(1+'SImple Return'!G704)</f>
        <v>264.55209986869716</v>
      </c>
      <c r="V705" s="14">
        <f>+V704*(1+'SImple Return'!H704)</f>
        <v>255.87517312156882</v>
      </c>
      <c r="W705" s="14">
        <f>+W704*(1+'SImple Return'!I704)</f>
        <v>521.40570938568681</v>
      </c>
      <c r="X705" s="14">
        <f>+X704*(1+'SImple Return'!J704)</f>
        <v>338.60543361102498</v>
      </c>
      <c r="Y705" s="14">
        <f>+Y704*(1+'SImple Return'!K704)</f>
        <v>155.04225352112681</v>
      </c>
      <c r="Z705" s="14">
        <f>+Z704*(1+'SImple Return'!L704)</f>
        <v>2312.4762600438262</v>
      </c>
      <c r="AA705" s="14">
        <f>+AA704*(1+'SImple Return'!M704)</f>
        <v>259.48456667985783</v>
      </c>
      <c r="AB705" s="14">
        <f>+AB704*(1+'SImple Return'!N704)</f>
        <v>291.36739183573707</v>
      </c>
    </row>
    <row r="706" spans="1:28">
      <c r="A706" s="8">
        <v>42552</v>
      </c>
      <c r="B706" s="10">
        <v>1660.26</v>
      </c>
      <c r="C706" s="10">
        <v>407.13</v>
      </c>
      <c r="D706" s="10">
        <v>203.69</v>
      </c>
      <c r="E706" s="11">
        <v>2943.57</v>
      </c>
      <c r="F706" s="11">
        <v>3700.11</v>
      </c>
      <c r="G706" s="11">
        <v>2816.36</v>
      </c>
      <c r="H706" s="14">
        <v>2711.93</v>
      </c>
      <c r="I706" s="14">
        <v>5457.77</v>
      </c>
      <c r="J706" s="14">
        <v>3560.05</v>
      </c>
      <c r="K706" s="14">
        <v>1616.64</v>
      </c>
      <c r="L706" s="14">
        <v>24908.03</v>
      </c>
      <c r="M706" s="14">
        <v>2698.75</v>
      </c>
      <c r="N706" s="14">
        <v>3099.17</v>
      </c>
      <c r="P706" s="14">
        <f>+P705*(1+'SImple Return'!B705)</f>
        <v>203.98569866447127</v>
      </c>
      <c r="Q706" s="14">
        <f>+Q705*(1+'SImple Return'!C705)</f>
        <v>189.87501165936018</v>
      </c>
      <c r="R706" s="14">
        <f>+R705*(1+'SImple Return'!D705)</f>
        <v>234.99077065066888</v>
      </c>
      <c r="S706" s="14">
        <f>+S705*(1+'SImple Return'!E705)</f>
        <v>293.72549019607823</v>
      </c>
      <c r="T706" s="14">
        <f>+T705*(1+'SImple Return'!F705)</f>
        <v>363.25446691537428</v>
      </c>
      <c r="U706" s="14">
        <f>+U705*(1+'SImple Return'!G705)</f>
        <v>275.96762498285244</v>
      </c>
      <c r="V706" s="14">
        <f>+V705*(1+'SImple Return'!H705)</f>
        <v>270.21212996821549</v>
      </c>
      <c r="W706" s="14">
        <f>+W705*(1+'SImple Return'!I705)</f>
        <v>544.1933972141062</v>
      </c>
      <c r="X706" s="14">
        <f>+X705*(1+'SImple Return'!J705)</f>
        <v>358.61933495179932</v>
      </c>
      <c r="Y706" s="14">
        <f>+Y705*(1+'SImple Return'!K705)</f>
        <v>157.03156872268096</v>
      </c>
      <c r="Z706" s="14">
        <f>+Z705*(1+'SImple Return'!L705)</f>
        <v>2425.9099099099085</v>
      </c>
      <c r="AA706" s="14">
        <f>+AA705*(1+'SImple Return'!M705)</f>
        <v>266.99149188761407</v>
      </c>
      <c r="AB706" s="14">
        <f>+AB705*(1+'SImple Return'!N705)</f>
        <v>303.02322170618436</v>
      </c>
    </row>
    <row r="707" spans="1:28">
      <c r="A707" s="8">
        <v>42559</v>
      </c>
      <c r="B707" s="10">
        <v>1662.32</v>
      </c>
      <c r="C707" s="10">
        <v>409.75</v>
      </c>
      <c r="D707" s="10">
        <v>203.57</v>
      </c>
      <c r="E707" s="11">
        <v>2879.01</v>
      </c>
      <c r="F707" s="11">
        <v>3691.14</v>
      </c>
      <c r="G707" s="11">
        <v>2831.44</v>
      </c>
      <c r="H707" s="14">
        <v>2692.13</v>
      </c>
      <c r="I707" s="14">
        <v>5513.13</v>
      </c>
      <c r="J707" s="14">
        <v>3478.05</v>
      </c>
      <c r="K707" s="14">
        <v>1636.21</v>
      </c>
      <c r="L707" s="14">
        <v>25065.46</v>
      </c>
      <c r="M707" s="14">
        <v>2672.17</v>
      </c>
      <c r="N707" s="14">
        <v>3074.07</v>
      </c>
      <c r="P707" s="14">
        <f>+P706*(1+'SImple Return'!B706)</f>
        <v>204.23879790148763</v>
      </c>
      <c r="Q707" s="14">
        <f>+Q706*(1+'SImple Return'!C706)</f>
        <v>191.09691260143649</v>
      </c>
      <c r="R707" s="14">
        <f>+R706*(1+'SImple Return'!D706)</f>
        <v>234.85233041070578</v>
      </c>
      <c r="S707" s="14">
        <f>+S706*(1+'SImple Return'!E706)</f>
        <v>287.28334081724273</v>
      </c>
      <c r="T707" s="14">
        <f>+T706*(1+'SImple Return'!F706)</f>
        <v>362.3738464559201</v>
      </c>
      <c r="U707" s="14">
        <f>+U706*(1+'SImple Return'!G706)</f>
        <v>277.4452740705903</v>
      </c>
      <c r="V707" s="14">
        <f>+V706*(1+'SImple Return'!H706)</f>
        <v>268.23929137231863</v>
      </c>
      <c r="W707" s="14">
        <f>+W706*(1+'SImple Return'!I706)</f>
        <v>549.71333419748453</v>
      </c>
      <c r="X707" s="14">
        <f>+X706*(1+'SImple Return'!J706)</f>
        <v>350.35911797000199</v>
      </c>
      <c r="Y707" s="14">
        <f>+Y706*(1+'SImple Return'!K706)</f>
        <v>158.93249150072853</v>
      </c>
      <c r="Z707" s="14">
        <f>+Z706*(1+'SImple Return'!L706)</f>
        <v>2441.2427562697817</v>
      </c>
      <c r="AA707" s="14">
        <f>+AA706*(1+'SImple Return'!M706)</f>
        <v>264.36189157103314</v>
      </c>
      <c r="AB707" s="14">
        <f>+AB706*(1+'SImple Return'!N706)</f>
        <v>300.56905402102183</v>
      </c>
    </row>
    <row r="708" spans="1:28">
      <c r="A708" s="8">
        <v>42566</v>
      </c>
      <c r="B708" s="10">
        <v>1700.57</v>
      </c>
      <c r="C708" s="10">
        <v>404.58</v>
      </c>
      <c r="D708" s="10">
        <v>206.35</v>
      </c>
      <c r="E708" s="11">
        <v>2914.18</v>
      </c>
      <c r="F708" s="11">
        <v>3748.47</v>
      </c>
      <c r="G708" s="11">
        <v>2859.81</v>
      </c>
      <c r="H708" s="14">
        <v>2678.1</v>
      </c>
      <c r="I708" s="14">
        <v>5552.4</v>
      </c>
      <c r="J708" s="14">
        <v>3481.96</v>
      </c>
      <c r="K708" s="14">
        <v>1635.37</v>
      </c>
      <c r="L708" s="14">
        <v>25305.47</v>
      </c>
      <c r="M708" s="14">
        <v>2716.24</v>
      </c>
      <c r="N708" s="14">
        <v>3158.35</v>
      </c>
      <c r="P708" s="14">
        <f>+P707*(1+'SImple Return'!B707)</f>
        <v>208.93833470531112</v>
      </c>
      <c r="Q708" s="14">
        <f>+Q707*(1+'SImple Return'!C707)</f>
        <v>188.68575692565997</v>
      </c>
      <c r="R708" s="14">
        <f>+R707*(1+'SImple Return'!D707)</f>
        <v>238.05952930318384</v>
      </c>
      <c r="S708" s="14">
        <f>+S707*(1+'SImple Return'!E707)</f>
        <v>290.79279548969691</v>
      </c>
      <c r="T708" s="14">
        <f>+T707*(1+'SImple Return'!F707)</f>
        <v>368.00215982721409</v>
      </c>
      <c r="U708" s="14">
        <f>+U707*(1+'SImple Return'!G707)</f>
        <v>280.22517490740216</v>
      </c>
      <c r="V708" s="14">
        <f>+V707*(1+'SImple Return'!H707)</f>
        <v>266.84136584199371</v>
      </c>
      <c r="W708" s="14">
        <f>+W707*(1+'SImple Return'!I707)</f>
        <v>553.62893978522413</v>
      </c>
      <c r="X708" s="14">
        <f>+X707*(1+'SImple Return'!J707)</f>
        <v>350.75298929193889</v>
      </c>
      <c r="Y708" s="14">
        <f>+Y707*(1+'SImple Return'!K707)</f>
        <v>158.85089849441476</v>
      </c>
      <c r="Z708" s="14">
        <f>+Z707*(1+'SImple Return'!L707)</f>
        <v>2464.6184562941303</v>
      </c>
      <c r="AA708" s="14">
        <f>+AA707*(1+'SImple Return'!M707)</f>
        <v>268.72180451127844</v>
      </c>
      <c r="AB708" s="14">
        <f>+AB707*(1+'SImple Return'!N707)</f>
        <v>308.8095820092887</v>
      </c>
    </row>
    <row r="709" spans="1:28">
      <c r="A709" s="8">
        <v>42573</v>
      </c>
      <c r="B709" s="10">
        <v>1706.97</v>
      </c>
      <c r="C709" s="10">
        <v>404.27</v>
      </c>
      <c r="D709" s="10">
        <v>209.72</v>
      </c>
      <c r="E709" s="11">
        <v>2902.93</v>
      </c>
      <c r="F709" s="11">
        <v>3741.56</v>
      </c>
      <c r="G709" s="11">
        <v>2931.6</v>
      </c>
      <c r="H709" s="14">
        <v>2697.75</v>
      </c>
      <c r="I709" s="14">
        <v>5669.34</v>
      </c>
      <c r="J709" s="14">
        <v>3517.05</v>
      </c>
      <c r="K709" s="14">
        <v>1705.58</v>
      </c>
      <c r="L709" s="14">
        <v>25281.42</v>
      </c>
      <c r="M709" s="14">
        <v>2711.08</v>
      </c>
      <c r="N709" s="14">
        <v>3143.18</v>
      </c>
      <c r="P709" s="14">
        <f>+P708*(1+'SImple Return'!B708)</f>
        <v>209.72466243196396</v>
      </c>
      <c r="Q709" s="14">
        <f>+Q708*(1+'SImple Return'!C708)</f>
        <v>188.54118085999445</v>
      </c>
      <c r="R709" s="14">
        <f>+R708*(1+'SImple Return'!D708)</f>
        <v>241.94739270881371</v>
      </c>
      <c r="S709" s="14">
        <f>+S708*(1+'SImple Return'!E708)</f>
        <v>289.67020905054108</v>
      </c>
      <c r="T709" s="14">
        <f>+T708*(1+'SImple Return'!F708)</f>
        <v>367.32377773414515</v>
      </c>
      <c r="U709" s="14">
        <f>+U708*(1+'SImple Return'!G708)</f>
        <v>287.25968604856274</v>
      </c>
      <c r="V709" s="14">
        <f>+V708*(1+'SImple Return'!H708)</f>
        <v>268.79925869095194</v>
      </c>
      <c r="W709" s="14">
        <f>+W708*(1+'SImple Return'!I708)</f>
        <v>565.28900898385621</v>
      </c>
      <c r="X709" s="14">
        <f>+X708*(1+'SImple Return'!J708)</f>
        <v>354.2877577540275</v>
      </c>
      <c r="Y709" s="14">
        <f>+Y708*(1+'SImple Return'!K708)</f>
        <v>165.67071393880525</v>
      </c>
      <c r="Z709" s="14">
        <f>+Z708*(1+'SImple Return'!L708)</f>
        <v>2462.2761139517875</v>
      </c>
      <c r="AA709" s="14">
        <f>+AA708*(1+'SImple Return'!M708)</f>
        <v>268.21131776810472</v>
      </c>
      <c r="AB709" s="14">
        <f>+AB708*(1+'SImple Return'!N708)</f>
        <v>307.32632608164266</v>
      </c>
    </row>
    <row r="710" spans="1:28">
      <c r="A710" s="8">
        <v>42580</v>
      </c>
      <c r="B710" s="10">
        <v>1721.79</v>
      </c>
      <c r="C710" s="10">
        <v>408.69</v>
      </c>
      <c r="D710" s="10">
        <v>211.86</v>
      </c>
      <c r="E710" s="11">
        <v>2950.42</v>
      </c>
      <c r="F710" s="11">
        <v>3702.3</v>
      </c>
      <c r="G710" s="11">
        <v>2993.79</v>
      </c>
      <c r="H710" s="14">
        <v>2686.9</v>
      </c>
      <c r="I710" s="14">
        <v>5807.65</v>
      </c>
      <c r="J710" s="14">
        <v>3527.35</v>
      </c>
      <c r="K710" s="14">
        <v>1761.85</v>
      </c>
      <c r="L710" s="14">
        <v>25095.81</v>
      </c>
      <c r="M710" s="14">
        <v>2796.29</v>
      </c>
      <c r="N710" s="14">
        <v>3122.17</v>
      </c>
      <c r="P710" s="14">
        <f>+P709*(1+'SImple Return'!B709)</f>
        <v>211.54550257399441</v>
      </c>
      <c r="Q710" s="14">
        <f>+Q709*(1+'SImple Return'!C709)</f>
        <v>190.60255573174149</v>
      </c>
      <c r="R710" s="14">
        <f>+R709*(1+'SImple Return'!D709)</f>
        <v>244.41624365482204</v>
      </c>
      <c r="S710" s="14">
        <f>+S709*(1+'SImple Return'!E709)</f>
        <v>294.40902060569755</v>
      </c>
      <c r="T710" s="14">
        <f>+T709*(1+'SImple Return'!F709)</f>
        <v>363.46946789711399</v>
      </c>
      <c r="U710" s="14">
        <f>+U709*(1+'SImple Return'!G709)</f>
        <v>293.35351872538087</v>
      </c>
      <c r="V710" s="14">
        <f>+V709*(1+'SImple Return'!H709)</f>
        <v>267.71818299572561</v>
      </c>
      <c r="W710" s="14">
        <f>+W709*(1+'SImple Return'!I709)</f>
        <v>579.07987755631029</v>
      </c>
      <c r="X710" s="14">
        <f>+X709*(1+'SImple Return'!J709)</f>
        <v>355.32532159442394</v>
      </c>
      <c r="Y710" s="14">
        <f>+Y709*(1+'SImple Return'!K709)</f>
        <v>171.13647401651289</v>
      </c>
      <c r="Z710" s="14">
        <f>+Z709*(1+'SImple Return'!L709)</f>
        <v>2444.1986851716565</v>
      </c>
      <c r="AA710" s="14">
        <f>+AA709*(1+'SImple Return'!M709)</f>
        <v>276.64127423822742</v>
      </c>
      <c r="AB710" s="14">
        <f>+AB709*(1+'SImple Return'!N709)</f>
        <v>305.27206062087515</v>
      </c>
    </row>
    <row r="711" spans="1:28">
      <c r="A711" s="8">
        <v>42587</v>
      </c>
      <c r="B711" s="10">
        <v>1716.65</v>
      </c>
      <c r="C711" s="10">
        <v>406.36</v>
      </c>
      <c r="D711" s="10">
        <v>208.23</v>
      </c>
      <c r="E711" s="11">
        <v>2883.41</v>
      </c>
      <c r="F711" s="11">
        <v>3684.93</v>
      </c>
      <c r="G711" s="11">
        <v>2935.87</v>
      </c>
      <c r="H711" s="14">
        <v>2633.09</v>
      </c>
      <c r="I711" s="14">
        <v>5694.17</v>
      </c>
      <c r="J711" s="14">
        <v>3393.17</v>
      </c>
      <c r="K711" s="14">
        <v>1718.67</v>
      </c>
      <c r="L711" s="14">
        <v>25008.75</v>
      </c>
      <c r="M711" s="14">
        <v>2748.42</v>
      </c>
      <c r="N711" s="14">
        <v>3120.34</v>
      </c>
      <c r="P711" s="14">
        <f>+P710*(1+'SImple Return'!B710)</f>
        <v>210.91398311852637</v>
      </c>
      <c r="Q711" s="14">
        <f>+Q710*(1+'SImple Return'!C710)</f>
        <v>189.51590336722327</v>
      </c>
      <c r="R711" s="14">
        <f>+R710*(1+'SImple Return'!D710)</f>
        <v>240.22842639593878</v>
      </c>
      <c r="S711" s="14">
        <f>+S710*(1+'SImple Return'!E710)</f>
        <v>287.72239684677919</v>
      </c>
      <c r="T711" s="14">
        <f>+T710*(1+'SImple Return'!F710)</f>
        <v>361.76418613783653</v>
      </c>
      <c r="U711" s="14">
        <f>+U710*(1+'SImple Return'!G710)</f>
        <v>287.67809199051499</v>
      </c>
      <c r="V711" s="14">
        <f>+V710*(1+'SImple Return'!H710)</f>
        <v>262.35664537728059</v>
      </c>
      <c r="W711" s="14">
        <f>+W710*(1+'SImple Return'!I710)</f>
        <v>567.76480441913952</v>
      </c>
      <c r="X711" s="14">
        <f>+X710*(1+'SImple Return'!J710)</f>
        <v>341.80878605030733</v>
      </c>
      <c r="Y711" s="14">
        <f>+Y710*(1+'SImple Return'!K710)</f>
        <v>166.94220495386114</v>
      </c>
      <c r="Z711" s="14">
        <f>+Z710*(1+'SImple Return'!L710)</f>
        <v>2435.7195032870691</v>
      </c>
      <c r="AA711" s="14">
        <f>+AA710*(1+'SImple Return'!M710)</f>
        <v>271.90542144835803</v>
      </c>
      <c r="AB711" s="14">
        <f>+AB710*(1+'SImple Return'!N710)</f>
        <v>305.09313126374974</v>
      </c>
    </row>
    <row r="712" spans="1:28">
      <c r="A712" s="8">
        <v>42594</v>
      </c>
      <c r="B712" s="10">
        <v>1736.1</v>
      </c>
      <c r="C712" s="10">
        <v>408.94</v>
      </c>
      <c r="D712" s="10">
        <v>209.5</v>
      </c>
      <c r="E712" s="11">
        <v>2934.7</v>
      </c>
      <c r="F712" s="11">
        <v>3725.42</v>
      </c>
      <c r="G712" s="11">
        <v>2985.48</v>
      </c>
      <c r="H712" s="14">
        <v>2659.1</v>
      </c>
      <c r="I712" s="14">
        <v>5802.45</v>
      </c>
      <c r="J712" s="14">
        <v>3400.59</v>
      </c>
      <c r="K712" s="14">
        <v>1724.28</v>
      </c>
      <c r="L712" s="14">
        <v>25218.42</v>
      </c>
      <c r="M712" s="14">
        <v>2800.69</v>
      </c>
      <c r="N712" s="14">
        <v>3178.9</v>
      </c>
      <c r="P712" s="14">
        <f>+P711*(1+'SImple Return'!B711)</f>
        <v>213.30368222530717</v>
      </c>
      <c r="Q712" s="14">
        <f>+Q711*(1+'SImple Return'!C711)</f>
        <v>190.71914933308466</v>
      </c>
      <c r="R712" s="14">
        <f>+R711*(1+'SImple Return'!D711)</f>
        <v>241.69358560221477</v>
      </c>
      <c r="S712" s="14">
        <f>+S711*(1+'SImple Return'!E711)</f>
        <v>292.84039315471711</v>
      </c>
      <c r="T712" s="14">
        <f>+T711*(1+'SImple Return'!F711)</f>
        <v>365.73924995091335</v>
      </c>
      <c r="U712" s="14">
        <f>+U711*(1+'SImple Return'!G711)</f>
        <v>292.53924392968446</v>
      </c>
      <c r="V712" s="14">
        <f>+V711*(1+'SImple Return'!H711)</f>
        <v>264.94823789643601</v>
      </c>
      <c r="W712" s="14">
        <f>+W711*(1+'SImple Return'!I711)</f>
        <v>578.56138636567505</v>
      </c>
      <c r="X712" s="14">
        <f>+X711*(1+'SImple Return'!J711)</f>
        <v>342.55623495280656</v>
      </c>
      <c r="Y712" s="14">
        <f>+Y711*(1+'SImple Return'!K711)</f>
        <v>167.48712967459937</v>
      </c>
      <c r="Z712" s="14">
        <f>+Z711*(1+'SImple Return'!L711)</f>
        <v>2456.1402483564625</v>
      </c>
      <c r="AA712" s="14">
        <f>+AA711*(1+'SImple Return'!M711)</f>
        <v>277.0765730114764</v>
      </c>
      <c r="AB712" s="14">
        <f>+AB711*(1+'SImple Return'!N711)</f>
        <v>310.81887069176247</v>
      </c>
    </row>
    <row r="713" spans="1:28">
      <c r="A713" s="8">
        <v>42601</v>
      </c>
      <c r="B713" s="10">
        <v>1731.85</v>
      </c>
      <c r="C713" s="10">
        <v>409.07</v>
      </c>
      <c r="D713" s="10">
        <v>206.02</v>
      </c>
      <c r="E713" s="11">
        <v>2907.82</v>
      </c>
      <c r="F713" s="11">
        <v>3726.61</v>
      </c>
      <c r="G713" s="11">
        <v>2959.8</v>
      </c>
      <c r="H713" s="14">
        <v>2632.66</v>
      </c>
      <c r="I713" s="14">
        <v>5829.62</v>
      </c>
      <c r="J713" s="14">
        <v>3357.54</v>
      </c>
      <c r="K713" s="14">
        <v>1711.25</v>
      </c>
      <c r="L713" s="14">
        <v>24663.759999999998</v>
      </c>
      <c r="M713" s="14">
        <v>2762.19</v>
      </c>
      <c r="N713" s="14">
        <v>3207.12</v>
      </c>
      <c r="P713" s="14">
        <f>+P712*(1+'SImple Return'!B712)</f>
        <v>212.78151146932677</v>
      </c>
      <c r="Q713" s="14">
        <f>+Q712*(1+'SImple Return'!C712)</f>
        <v>190.77977800578307</v>
      </c>
      <c r="R713" s="14">
        <f>+R712*(1+'SImple Return'!D712)</f>
        <v>237.67881864328538</v>
      </c>
      <c r="S713" s="14">
        <f>+S712*(1+'SImple Return'!E712)</f>
        <v>290.15815995609415</v>
      </c>
      <c r="T713" s="14">
        <f>+T712*(1+'SImple Return'!F712)</f>
        <v>365.85607696838832</v>
      </c>
      <c r="U713" s="14">
        <f>+U712*(1+'SImple Return'!G712)</f>
        <v>290.02292903756853</v>
      </c>
      <c r="V713" s="14">
        <f>+V712*(1+'SImple Return'!H712)</f>
        <v>262.31380090272319</v>
      </c>
      <c r="W713" s="14">
        <f>+W712*(1+'SImple Return'!I712)</f>
        <v>581.27050283674419</v>
      </c>
      <c r="X713" s="14">
        <f>+X712*(1+'SImple Return'!J712)</f>
        <v>338.21962103736297</v>
      </c>
      <c r="Y713" s="14">
        <f>+Y712*(1+'SImple Return'!K712)</f>
        <v>166.22146673142308</v>
      </c>
      <c r="Z713" s="14">
        <f>+Z712*(1+'SImple Return'!L712)</f>
        <v>2402.1193084976849</v>
      </c>
      <c r="AA713" s="14">
        <f>+AA712*(1+'SImple Return'!M712)</f>
        <v>273.26770874554842</v>
      </c>
      <c r="AB713" s="14">
        <f>+AB712*(1+'SImple Return'!N712)</f>
        <v>313.57809826448306</v>
      </c>
    </row>
    <row r="714" spans="1:28">
      <c r="A714" s="8">
        <v>42608</v>
      </c>
      <c r="B714" s="10">
        <v>1726.08</v>
      </c>
      <c r="C714" s="10">
        <v>408.65</v>
      </c>
      <c r="D714" s="10">
        <v>205.63</v>
      </c>
      <c r="E714" s="11">
        <v>2926.25</v>
      </c>
      <c r="F714" s="11">
        <v>3660.84</v>
      </c>
      <c r="G714" s="11">
        <v>2985.52</v>
      </c>
      <c r="H714" s="14">
        <v>2602.71</v>
      </c>
      <c r="I714" s="14">
        <v>5757.51</v>
      </c>
      <c r="J714" s="14">
        <v>3328.58</v>
      </c>
      <c r="K714" s="14">
        <v>1726.94</v>
      </c>
      <c r="L714" s="14">
        <v>24606.240000000002</v>
      </c>
      <c r="M714" s="14">
        <v>2790.5</v>
      </c>
      <c r="N714" s="14">
        <v>3165.25</v>
      </c>
      <c r="P714" s="14">
        <f>+P713*(1+'SImple Return'!B713)</f>
        <v>212.07258787826635</v>
      </c>
      <c r="Q714" s="14">
        <f>+Q713*(1+'SImple Return'!C713)</f>
        <v>190.58390075552657</v>
      </c>
      <c r="R714" s="14">
        <f>+R713*(1+'SImple Return'!D713)</f>
        <v>237.22888786340533</v>
      </c>
      <c r="S714" s="14">
        <f>+S713*(1+'SImple Return'!E713)</f>
        <v>291.99720600708446</v>
      </c>
      <c r="T714" s="14">
        <f>+T713*(1+'SImple Return'!F713)</f>
        <v>359.3991753387005</v>
      </c>
      <c r="U714" s="14">
        <f>+U713*(1+'SImple Return'!G713)</f>
        <v>292.54316342328588</v>
      </c>
      <c r="V714" s="14">
        <f>+V713*(1+'SImple Return'!H713)</f>
        <v>259.32963343064682</v>
      </c>
      <c r="W714" s="14">
        <f>+W713*(1+'SImple Return'!I713)</f>
        <v>574.08042596045425</v>
      </c>
      <c r="X714" s="14">
        <f>+X713*(1+'SImple Return'!J713)</f>
        <v>335.30235416184041</v>
      </c>
      <c r="Y714" s="14">
        <f>+Y713*(1+'SImple Return'!K713)</f>
        <v>167.74550752792624</v>
      </c>
      <c r="Z714" s="14">
        <f>+Z713*(1+'SImple Return'!L713)</f>
        <v>2396.5171658144614</v>
      </c>
      <c r="AA714" s="14">
        <f>+AA713*(1+'SImple Return'!M713)</f>
        <v>276.06846062524767</v>
      </c>
      <c r="AB714" s="14">
        <f>+AB713*(1+'SImple Return'!N713)</f>
        <v>309.484233683696</v>
      </c>
    </row>
    <row r="715" spans="1:28">
      <c r="A715" s="8">
        <v>42615</v>
      </c>
      <c r="B715" s="10">
        <v>1734.6</v>
      </c>
      <c r="C715" s="10">
        <v>406.35</v>
      </c>
      <c r="D715" s="10">
        <v>206.37</v>
      </c>
      <c r="E715" s="11">
        <v>2946.85</v>
      </c>
      <c r="F715" s="11">
        <v>3695.32</v>
      </c>
      <c r="G715" s="11">
        <v>2898.68</v>
      </c>
      <c r="H715" s="14">
        <v>2603.9699999999998</v>
      </c>
      <c r="I715" s="14">
        <v>5750.14</v>
      </c>
      <c r="J715" s="14">
        <v>3377.63</v>
      </c>
      <c r="K715" s="14">
        <v>1721.04</v>
      </c>
      <c r="L715" s="14">
        <v>25195.71</v>
      </c>
      <c r="M715" s="14">
        <v>2740.12</v>
      </c>
      <c r="N715" s="14">
        <v>3169.99</v>
      </c>
      <c r="P715" s="14">
        <f>+P714*(1+'SImple Return'!B714)</f>
        <v>213.11938666437288</v>
      </c>
      <c r="Q715" s="14">
        <f>+Q714*(1+'SImple Return'!C714)</f>
        <v>189.51123962316953</v>
      </c>
      <c r="R715" s="14">
        <f>+R714*(1+'SImple Return'!D714)</f>
        <v>238.08260267651102</v>
      </c>
      <c r="S715" s="14">
        <f>+S714*(1+'SImple Return'!E714)</f>
        <v>294.05278650900533</v>
      </c>
      <c r="T715" s="14">
        <f>+T714*(1+'SImple Return'!F714)</f>
        <v>362.7842136265466</v>
      </c>
      <c r="U715" s="14">
        <f>+U714*(1+'SImple Return'!G714)</f>
        <v>284.0339428145885</v>
      </c>
      <c r="V715" s="14">
        <f>+V714*(1+'SImple Return'!H714)</f>
        <v>259.45517770493115</v>
      </c>
      <c r="W715" s="14">
        <f>+W714*(1+'SImple Return'!I714)</f>
        <v>573.34556440757319</v>
      </c>
      <c r="X715" s="14">
        <f>+X714*(1+'SImple Return'!J714)</f>
        <v>340.24337419790339</v>
      </c>
      <c r="Y715" s="14">
        <f>+Y714*(1+'SImple Return'!K714)</f>
        <v>167.17241379310352</v>
      </c>
      <c r="Z715" s="14">
        <f>+Z714*(1+'SImple Return'!L714)</f>
        <v>2453.9284149013856</v>
      </c>
      <c r="AA715" s="14">
        <f>+AA714*(1+'SImple Return'!M714)</f>
        <v>271.08428967154759</v>
      </c>
      <c r="AB715" s="14">
        <f>+AB714*(1+'SImple Return'!N714)</f>
        <v>309.94769005133224</v>
      </c>
    </row>
    <row r="716" spans="1:28">
      <c r="A716" s="8">
        <v>42622</v>
      </c>
      <c r="B716" s="10">
        <v>1707.94</v>
      </c>
      <c r="C716" s="10">
        <v>405.58</v>
      </c>
      <c r="D716" s="10">
        <v>202.42</v>
      </c>
      <c r="E716" s="11">
        <v>2933.09</v>
      </c>
      <c r="F716" s="11">
        <v>3713.52</v>
      </c>
      <c r="G716" s="11">
        <v>2911.22</v>
      </c>
      <c r="H716" s="14">
        <v>2550.54</v>
      </c>
      <c r="I716" s="14">
        <v>5707.62</v>
      </c>
      <c r="J716" s="14">
        <v>3314.21</v>
      </c>
      <c r="K716" s="14">
        <v>1799.95</v>
      </c>
      <c r="L716" s="14">
        <v>24464.6</v>
      </c>
      <c r="M716" s="14">
        <v>2693.81</v>
      </c>
      <c r="N716" s="14">
        <v>3258.55</v>
      </c>
      <c r="P716" s="14">
        <f>+P715*(1+'SImple Return'!B715)</f>
        <v>209.84384022803474</v>
      </c>
      <c r="Q716" s="14">
        <f>+Q715*(1+'SImple Return'!C715)</f>
        <v>189.15213133103259</v>
      </c>
      <c r="R716" s="14">
        <f>+R715*(1+'SImple Return'!D715)</f>
        <v>233.52561144439287</v>
      </c>
      <c r="S716" s="14">
        <f>+S715*(1+'SImple Return'!E715)</f>
        <v>292.67973856209119</v>
      </c>
      <c r="T716" s="14">
        <f>+T715*(1+'SImple Return'!F715)</f>
        <v>364.57097977616371</v>
      </c>
      <c r="U716" s="14">
        <f>+U715*(1+'SImple Return'!G715)</f>
        <v>285.26270405863579</v>
      </c>
      <c r="V716" s="14">
        <f>+V715*(1+'SImple Return'!H715)</f>
        <v>254.13150264539726</v>
      </c>
      <c r="W716" s="14">
        <f>+W715*(1+'SImple Return'!I715)</f>
        <v>569.10590182568637</v>
      </c>
      <c r="X716" s="14">
        <f>+X715*(1+'SImple Return'!J715)</f>
        <v>333.85480150295723</v>
      </c>
      <c r="Y716" s="14">
        <f>+Y715*(1+'SImple Return'!K715)</f>
        <v>174.83729966002923</v>
      </c>
      <c r="Z716" s="14">
        <f>+Z715*(1+'SImple Return'!L715)</f>
        <v>2382.7221816410984</v>
      </c>
      <c r="AA716" s="14">
        <f>+AA715*(1+'SImple Return'!M715)</f>
        <v>266.5027700831028</v>
      </c>
      <c r="AB716" s="14">
        <f>+AB715*(1+'SImple Return'!N715)</f>
        <v>318.60669762894162</v>
      </c>
    </row>
    <row r="717" spans="1:28">
      <c r="A717" s="8">
        <v>42629</v>
      </c>
      <c r="B717" s="10">
        <v>1696.31</v>
      </c>
      <c r="C717" s="10">
        <v>405</v>
      </c>
      <c r="D717" s="10">
        <v>198.83</v>
      </c>
      <c r="E717" s="11">
        <v>2866.18</v>
      </c>
      <c r="F717" s="11">
        <v>3696.4</v>
      </c>
      <c r="G717" s="11">
        <v>2828.02</v>
      </c>
      <c r="H717" s="14">
        <v>2554.04</v>
      </c>
      <c r="I717" s="14">
        <v>5472.65</v>
      </c>
      <c r="J717" s="14">
        <v>3304.31</v>
      </c>
      <c r="K717" s="14">
        <v>1695.85</v>
      </c>
      <c r="L717" s="14">
        <v>23939.32</v>
      </c>
      <c r="M717" s="14">
        <v>2608.7399999999998</v>
      </c>
      <c r="N717" s="14">
        <v>3222.76</v>
      </c>
      <c r="P717" s="14">
        <f>+P716*(1+'SImple Return'!B716)</f>
        <v>208.4149353122578</v>
      </c>
      <c r="Q717" s="14">
        <f>+Q716*(1+'SImple Return'!C716)</f>
        <v>188.88163417591647</v>
      </c>
      <c r="R717" s="14">
        <f>+R716*(1+'SImple Return'!D716)</f>
        <v>229.38394093216402</v>
      </c>
      <c r="S717" s="14">
        <f>+S716*(1+'SImple Return'!E716)</f>
        <v>286.00309334929864</v>
      </c>
      <c r="T717" s="14">
        <f>+T716*(1+'SImple Return'!F716)</f>
        <v>362.89024150795245</v>
      </c>
      <c r="U717" s="14">
        <f>+U716*(1+'SImple Return'!G716)</f>
        <v>277.11015736766831</v>
      </c>
      <c r="V717" s="14">
        <f>+V716*(1+'SImple Return'!H716)</f>
        <v>254.48023674063157</v>
      </c>
      <c r="W717" s="14">
        <f>+W716*(1+'SImple Return'!I716)</f>
        <v>545.6770796980777</v>
      </c>
      <c r="X717" s="14">
        <f>+X716*(1+'SImple Return'!J716)</f>
        <v>332.85753140393535</v>
      </c>
      <c r="Y717" s="14">
        <f>+Y716*(1+'SImple Return'!K716)</f>
        <v>164.72559494900443</v>
      </c>
      <c r="Z717" s="14">
        <f>+Z716*(1+'SImple Return'!L716)</f>
        <v>2331.562697832966</v>
      </c>
      <c r="AA717" s="14">
        <f>+AA716*(1+'SImple Return'!M716)</f>
        <v>258.08666402849258</v>
      </c>
      <c r="AB717" s="14">
        <f>+AB716*(1+'SImple Return'!N716)</f>
        <v>315.10730872647275</v>
      </c>
    </row>
    <row r="718" spans="1:28">
      <c r="A718" s="8">
        <v>42636</v>
      </c>
      <c r="B718" s="10">
        <v>1729.7</v>
      </c>
      <c r="C718" s="10">
        <v>408.03</v>
      </c>
      <c r="D718" s="10">
        <v>205.77</v>
      </c>
      <c r="E718" s="11">
        <v>2906.6</v>
      </c>
      <c r="F718" s="11">
        <v>3797.71</v>
      </c>
      <c r="G718" s="11">
        <v>2929.25</v>
      </c>
      <c r="H718" s="14">
        <v>2616.48</v>
      </c>
      <c r="I718" s="14">
        <v>5623.7</v>
      </c>
      <c r="J718" s="14">
        <v>3400</v>
      </c>
      <c r="K718" s="14">
        <v>1747</v>
      </c>
      <c r="L718" s="14">
        <v>24862.13</v>
      </c>
      <c r="M718" s="14">
        <v>2686.56</v>
      </c>
      <c r="N718" s="14">
        <v>3289.29</v>
      </c>
      <c r="P718" s="14">
        <f>+P717*(1+'SImple Return'!B717)</f>
        <v>212.5173544986543</v>
      </c>
      <c r="Q718" s="14">
        <f>+Q717*(1+'SImple Return'!C717)</f>
        <v>190.29474862419553</v>
      </c>
      <c r="R718" s="14">
        <f>+R717*(1+'SImple Return'!D717)</f>
        <v>237.39040147669564</v>
      </c>
      <c r="S718" s="14">
        <f>+S717*(1+'SImple Return'!E717)</f>
        <v>290.03642169335893</v>
      </c>
      <c r="T718" s="14">
        <f>+T717*(1+'SImple Return'!F717)</f>
        <v>372.83624582760683</v>
      </c>
      <c r="U718" s="14">
        <f>+U717*(1+'SImple Return'!G717)</f>
        <v>287.02941579947895</v>
      </c>
      <c r="V718" s="14">
        <f>+V717*(1+'SImple Return'!H717)</f>
        <v>260.7016529996115</v>
      </c>
      <c r="W718" s="14">
        <f>+W717*(1+'SImple Return'!I717)</f>
        <v>560.73825168758822</v>
      </c>
      <c r="X718" s="14">
        <f>+X717*(1+'SImple Return'!J717)</f>
        <v>342.49680168427909</v>
      </c>
      <c r="Y718" s="14">
        <f>+Y717*(1+'SImple Return'!K717)</f>
        <v>169.69402622632353</v>
      </c>
      <c r="Z718" s="14">
        <f>+Z717*(1+'SImple Return'!L717)</f>
        <v>2421.4394935475998</v>
      </c>
      <c r="AA718" s="14">
        <f>+AA717*(1+'SImple Return'!M717)</f>
        <v>265.78551642263585</v>
      </c>
      <c r="AB718" s="14">
        <f>+AB717*(1+'SImple Return'!N717)</f>
        <v>321.61231972622824</v>
      </c>
    </row>
    <row r="719" spans="1:28">
      <c r="A719" s="8">
        <v>42643</v>
      </c>
      <c r="B719" s="10">
        <v>1725.67</v>
      </c>
      <c r="C719" s="10">
        <v>408.38</v>
      </c>
      <c r="D719" s="10">
        <v>203.36</v>
      </c>
      <c r="E719" s="11">
        <v>2934.61</v>
      </c>
      <c r="F719" s="11">
        <v>3779.97</v>
      </c>
      <c r="G719" s="11">
        <v>2893.66</v>
      </c>
      <c r="H719" s="14">
        <v>2581.7199999999998</v>
      </c>
      <c r="I719" s="14">
        <v>5661.49</v>
      </c>
      <c r="J719" s="14">
        <v>3357.86</v>
      </c>
      <c r="K719" s="14">
        <v>1708.85</v>
      </c>
      <c r="L719" s="14">
        <v>24827.79</v>
      </c>
      <c r="M719" s="14">
        <v>2708.29</v>
      </c>
      <c r="N719" s="14">
        <v>3296.6</v>
      </c>
      <c r="P719" s="14">
        <f>+P718*(1+'SImple Return'!B718)</f>
        <v>212.02221375827759</v>
      </c>
      <c r="Q719" s="14">
        <f>+Q718*(1+'SImple Return'!C718)</f>
        <v>190.45797966607597</v>
      </c>
      <c r="R719" s="14">
        <f>+R718*(1+'SImple Return'!D718)</f>
        <v>234.6100599907704</v>
      </c>
      <c r="S719" s="14">
        <f>+S718*(1+'SImple Return'!E718)</f>
        <v>292.83141246320378</v>
      </c>
      <c r="T719" s="14">
        <f>+T718*(1+'SImple Return'!F718)</f>
        <v>371.09463970155144</v>
      </c>
      <c r="U719" s="14">
        <f>+U718*(1+'SImple Return'!G718)</f>
        <v>283.54204636760954</v>
      </c>
      <c r="V719" s="14">
        <f>+V718*(1+'SImple Return'!H718)</f>
        <v>257.23822524237028</v>
      </c>
      <c r="W719" s="14">
        <f>+W718*(1+'SImple Return'!I718)</f>
        <v>564.50628670568551</v>
      </c>
      <c r="X719" s="14">
        <f>+X718*(1+'SImple Return'!J718)</f>
        <v>338.25185603046276</v>
      </c>
      <c r="Y719" s="14">
        <f>+Y718*(1+'SImple Return'!K718)</f>
        <v>165.98834385624096</v>
      </c>
      <c r="Z719" s="14">
        <f>+Z718*(1+'SImple Return'!L718)</f>
        <v>2418.0949598246875</v>
      </c>
      <c r="AA719" s="14">
        <f>+AA718*(1+'SImple Return'!M718)</f>
        <v>267.93529877324926</v>
      </c>
      <c r="AB719" s="14">
        <f>+AB718*(1+'SImple Return'!N718)</f>
        <v>322.32705939867992</v>
      </c>
    </row>
    <row r="720" spans="1:28">
      <c r="A720" s="8">
        <v>42650</v>
      </c>
      <c r="B720" s="10">
        <v>1712.4</v>
      </c>
      <c r="C720" s="10">
        <v>404.57</v>
      </c>
      <c r="D720" s="10">
        <v>193.65</v>
      </c>
      <c r="E720" s="11">
        <v>2729.17</v>
      </c>
      <c r="F720" s="11">
        <v>3636.95</v>
      </c>
      <c r="G720" s="11">
        <v>2819.64</v>
      </c>
      <c r="H720" s="14">
        <v>2437.38</v>
      </c>
      <c r="I720" s="14">
        <v>5468.61</v>
      </c>
      <c r="J720" s="14">
        <v>3130.27</v>
      </c>
      <c r="K720" s="14">
        <v>1742.08</v>
      </c>
      <c r="L720" s="14">
        <v>23672.2</v>
      </c>
      <c r="M720" s="14">
        <v>2553.46</v>
      </c>
      <c r="N720" s="14">
        <v>3192.54</v>
      </c>
      <c r="P720" s="14">
        <f>+P719*(1+'SImple Return'!B719)</f>
        <v>210.39181236254589</v>
      </c>
      <c r="Q720" s="14">
        <f>+Q719*(1+'SImple Return'!C719)</f>
        <v>188.68109318160623</v>
      </c>
      <c r="R720" s="14">
        <f>+R719*(1+'SImple Return'!D719)</f>
        <v>223.40793724042427</v>
      </c>
      <c r="S720" s="14">
        <f>+S719*(1+'SImple Return'!E719)</f>
        <v>272.33148730229976</v>
      </c>
      <c r="T720" s="14">
        <f>+T719*(1+'SImple Return'!F719)</f>
        <v>357.05379933241733</v>
      </c>
      <c r="U720" s="14">
        <f>+U719*(1+'SImple Return'!G719)</f>
        <v>276.28902345816942</v>
      </c>
      <c r="V720" s="14">
        <f>+V719*(1+'SImple Return'!H719)</f>
        <v>242.8564311549078</v>
      </c>
      <c r="W720" s="14">
        <f>+W719*(1+'SImple Return'!I719)</f>
        <v>545.27425192689179</v>
      </c>
      <c r="X720" s="14">
        <f>+X719*(1+'SImple Return'!J719)</f>
        <v>315.32572453183775</v>
      </c>
      <c r="Y720" s="14">
        <f>+Y719*(1+'SImple Return'!K719)</f>
        <v>169.2161243322002</v>
      </c>
      <c r="Z720" s="14">
        <f>+Z719*(1+'SImple Return'!L719)</f>
        <v>2305.5466277087876</v>
      </c>
      <c r="AA720" s="14">
        <f>+AA719*(1+'SImple Return'!M719)</f>
        <v>252.6177285318563</v>
      </c>
      <c r="AB720" s="14">
        <f>+AB719*(1+'SImple Return'!N719)</f>
        <v>312.15252994377897</v>
      </c>
    </row>
    <row r="721" spans="1:28">
      <c r="A721" s="8">
        <v>42657</v>
      </c>
      <c r="B721" s="10">
        <v>1693.71</v>
      </c>
      <c r="C721" s="10">
        <v>402.6</v>
      </c>
      <c r="D721" s="10">
        <v>193.86</v>
      </c>
      <c r="E721" s="11">
        <v>2740.47</v>
      </c>
      <c r="F721" s="11">
        <v>3668.88</v>
      </c>
      <c r="G721" s="11">
        <v>2804.81</v>
      </c>
      <c r="H721" s="14">
        <v>2464.81</v>
      </c>
      <c r="I721" s="14">
        <v>5474.48</v>
      </c>
      <c r="J721" s="14">
        <v>3146.54</v>
      </c>
      <c r="K721" s="14">
        <v>1716.94</v>
      </c>
      <c r="L721" s="14">
        <v>24415.29</v>
      </c>
      <c r="M721" s="14">
        <v>2551.7800000000002</v>
      </c>
      <c r="N721" s="14">
        <v>3183.6</v>
      </c>
      <c r="P721" s="14">
        <f>+P720*(1+'SImple Return'!B720)</f>
        <v>208.09548967330508</v>
      </c>
      <c r="Q721" s="14">
        <f>+Q720*(1+'SImple Return'!C720)</f>
        <v>187.76233560302217</v>
      </c>
      <c r="R721" s="14">
        <f>+R720*(1+'SImple Return'!D720)</f>
        <v>223.65020766035965</v>
      </c>
      <c r="S721" s="14">
        <f>+S720*(1+'SImple Return'!E720)</f>
        <v>273.45906301451851</v>
      </c>
      <c r="T721" s="14">
        <f>+T720*(1+'SImple Return'!F720)</f>
        <v>360.18849401138851</v>
      </c>
      <c r="U721" s="14">
        <f>+U720*(1+'SImple Return'!G720)</f>
        <v>274.83587120544047</v>
      </c>
      <c r="V721" s="14">
        <f>+V720*(1+'SImple Return'!H720)</f>
        <v>245.58951007841546</v>
      </c>
      <c r="W721" s="14">
        <f>+W720*(1+'SImple Return'!I720)</f>
        <v>545.8595487132435</v>
      </c>
      <c r="X721" s="14">
        <f>+X720*(1+'SImple Return'!J720)</f>
        <v>316.96467246225046</v>
      </c>
      <c r="Y721" s="14">
        <f>+Y720*(1+'SImple Return'!K720)</f>
        <v>166.77416221466743</v>
      </c>
      <c r="Z721" s="14">
        <f>+Z720*(1+'SImple Return'!L720)</f>
        <v>2377.9196493791064</v>
      </c>
      <c r="AA721" s="14">
        <f>+AA720*(1+'SImple Return'!M720)</f>
        <v>252.45152354570672</v>
      </c>
      <c r="AB721" s="14">
        <f>+AB720*(1+'SImple Return'!N720)</f>
        <v>311.27841603519914</v>
      </c>
    </row>
    <row r="722" spans="1:28">
      <c r="A722" s="8">
        <v>42664</v>
      </c>
      <c r="B722" s="10">
        <v>1701.16</v>
      </c>
      <c r="C722" s="10">
        <v>403.52</v>
      </c>
      <c r="D722" s="10">
        <v>195.52</v>
      </c>
      <c r="E722" s="11">
        <v>2736.52</v>
      </c>
      <c r="F722" s="11">
        <v>3725.47</v>
      </c>
      <c r="G722" s="11">
        <v>2843.28</v>
      </c>
      <c r="H722" s="14">
        <v>2473.36</v>
      </c>
      <c r="I722" s="14">
        <v>5596.46</v>
      </c>
      <c r="J722" s="14">
        <v>3197.63</v>
      </c>
      <c r="K722" s="14">
        <v>1746.18</v>
      </c>
      <c r="L722" s="14">
        <v>24720.77</v>
      </c>
      <c r="M722" s="14">
        <v>2555.87</v>
      </c>
      <c r="N722" s="14">
        <v>3230.98</v>
      </c>
      <c r="P722" s="14">
        <f>+P721*(1+'SImple Return'!B721)</f>
        <v>209.01082429261189</v>
      </c>
      <c r="Q722" s="14">
        <f>+Q721*(1+'SImple Return'!C721)</f>
        <v>188.19140005596498</v>
      </c>
      <c r="R722" s="14">
        <f>+R721*(1+'SImple Return'!D721)</f>
        <v>225.56529764651563</v>
      </c>
      <c r="S722" s="14">
        <f>+S721*(1+'SImple Return'!E721)</f>
        <v>273.06491044254824</v>
      </c>
      <c r="T722" s="14">
        <f>+T721*(1+'SImple Return'!F721)</f>
        <v>365.74415864912658</v>
      </c>
      <c r="U722" s="14">
        <f>+U721*(1+'SImple Return'!G721)</f>
        <v>278.60544417661259</v>
      </c>
      <c r="V722" s="14">
        <f>+V721*(1+'SImple Return'!H721)</f>
        <v>246.44141765391643</v>
      </c>
      <c r="W722" s="14">
        <f>+W721*(1+'SImple Return'!I721)</f>
        <v>558.02215552741427</v>
      </c>
      <c r="X722" s="14">
        <f>+X721*(1+'SImple Return'!J721)</f>
        <v>322.11119057932399</v>
      </c>
      <c r="Y722" s="14">
        <f>+Y721*(1+'SImple Return'!K721)</f>
        <v>169.61437591063637</v>
      </c>
      <c r="Z722" s="14">
        <f>+Z721*(1+'SImple Return'!L721)</f>
        <v>2407.6717798879936</v>
      </c>
      <c r="AA722" s="14">
        <f>+AA721*(1+'SImple Return'!M721)</f>
        <v>252.85615354174945</v>
      </c>
      <c r="AB722" s="14">
        <f>+AB721*(1+'SImple Return'!N721)</f>
        <v>315.91102419946219</v>
      </c>
    </row>
    <row r="723" spans="1:28">
      <c r="A723" s="8">
        <v>42671</v>
      </c>
      <c r="B723" s="10">
        <v>1690.96</v>
      </c>
      <c r="C723" s="10">
        <v>400.71</v>
      </c>
      <c r="D723" s="10">
        <v>190.82</v>
      </c>
      <c r="E723" s="11">
        <v>2736.6</v>
      </c>
      <c r="F723" s="11">
        <v>3680.46</v>
      </c>
      <c r="G723" s="11">
        <v>2770.58</v>
      </c>
      <c r="H723" s="14">
        <v>2479.81</v>
      </c>
      <c r="I723" s="14">
        <v>5507.42</v>
      </c>
      <c r="J723" s="14">
        <v>3180.46</v>
      </c>
      <c r="K723" s="14">
        <v>1713.57</v>
      </c>
      <c r="L723" s="14">
        <v>24658.32</v>
      </c>
      <c r="M723" s="14">
        <v>2516.39</v>
      </c>
      <c r="N723" s="14">
        <v>3169.89</v>
      </c>
      <c r="P723" s="14">
        <f>+P722*(1+'SImple Return'!B722)</f>
        <v>207.75761447825894</v>
      </c>
      <c r="Q723" s="14">
        <f>+Q722*(1+'SImple Return'!C722)</f>
        <v>186.88088797686788</v>
      </c>
      <c r="R723" s="14">
        <f>+R722*(1+'SImple Return'!D722)</f>
        <v>220.14305491462821</v>
      </c>
      <c r="S723" s="14">
        <f>+S722*(1+'SImple Return'!E722)</f>
        <v>273.07289327944892</v>
      </c>
      <c r="T723" s="14">
        <f>+T722*(1+'SImple Return'!F722)</f>
        <v>361.32534851757345</v>
      </c>
      <c r="U723" s="14">
        <f>+U722*(1+'SImple Return'!G722)</f>
        <v>271.48176455601953</v>
      </c>
      <c r="V723" s="14">
        <f>+V722*(1+'SImple Return'!H722)</f>
        <v>247.08408477227675</v>
      </c>
      <c r="W723" s="14">
        <f>+W722*(1+'SImple Return'!I722)</f>
        <v>549.14399098622914</v>
      </c>
      <c r="X723" s="14">
        <f>+X722*(1+'SImple Return'!J722)</f>
        <v>320.38158173081837</v>
      </c>
      <c r="Y723" s="14">
        <f>+Y722*(1+'SImple Return'!K722)</f>
        <v>166.4468188440992</v>
      </c>
      <c r="Z723" s="14">
        <f>+Z722*(1+'SImple Return'!L722)</f>
        <v>2401.5894813732625</v>
      </c>
      <c r="AA723" s="14">
        <f>+AA722*(1+'SImple Return'!M722)</f>
        <v>248.9503363672342</v>
      </c>
      <c r="AB723" s="14">
        <f>+AB722*(1+'SImple Return'!N722)</f>
        <v>309.93791249083347</v>
      </c>
    </row>
    <row r="724" spans="1:28">
      <c r="A724" s="8">
        <v>42678</v>
      </c>
      <c r="B724" s="10">
        <v>1660.12</v>
      </c>
      <c r="C724" s="10">
        <v>403.76</v>
      </c>
      <c r="D724" s="10">
        <v>189.4</v>
      </c>
      <c r="E724" s="11">
        <v>2690.88</v>
      </c>
      <c r="F724" s="11">
        <v>3559.92</v>
      </c>
      <c r="G724" s="11">
        <v>2769.01</v>
      </c>
      <c r="H724" s="14">
        <v>2447.2800000000002</v>
      </c>
      <c r="I724" s="14">
        <v>5413.69</v>
      </c>
      <c r="J724" s="14">
        <v>3142.81</v>
      </c>
      <c r="K724" s="14">
        <v>1669.92</v>
      </c>
      <c r="L724" s="14">
        <v>23876.04</v>
      </c>
      <c r="M724" s="14">
        <v>2492.7399999999998</v>
      </c>
      <c r="N724" s="14">
        <v>3060.79</v>
      </c>
      <c r="P724" s="14">
        <f>+P723*(1+'SImple Return'!B723)</f>
        <v>203.96849774545063</v>
      </c>
      <c r="Q724" s="14">
        <f>+Q723*(1+'SImple Return'!C723)</f>
        <v>188.3033299132544</v>
      </c>
      <c r="R724" s="14">
        <f>+R723*(1+'SImple Return'!D723)</f>
        <v>218.50484540839841</v>
      </c>
      <c r="S724" s="14">
        <f>+S723*(1+'SImple Return'!E723)</f>
        <v>268.51070199071972</v>
      </c>
      <c r="T724" s="14">
        <f>+T723*(1+'SImple Return'!F723)</f>
        <v>349.49145886510928</v>
      </c>
      <c r="U724" s="14">
        <f>+U723*(1+'SImple Return'!G723)</f>
        <v>271.32792443216357</v>
      </c>
      <c r="V724" s="14">
        <f>+V723*(1+'SImple Return'!H723)</f>
        <v>243.84285045285628</v>
      </c>
      <c r="W724" s="14">
        <f>+W723*(1+'SImple Return'!I723)</f>
        <v>539.79818727502868</v>
      </c>
      <c r="X724" s="14">
        <f>+X723*(1+'SImple Return'!J723)</f>
        <v>316.58893332393217</v>
      </c>
      <c r="Y724" s="14">
        <f>+Y723*(1+'SImple Return'!K723)</f>
        <v>162.20689655172427</v>
      </c>
      <c r="Z724" s="14">
        <f>+Z723*(1+'SImple Return'!L723)</f>
        <v>2325.3995617238838</v>
      </c>
      <c r="AA724" s="14">
        <f>+AA723*(1+'SImple Return'!M723)</f>
        <v>246.61060546102129</v>
      </c>
      <c r="AB724" s="14">
        <f>+AB723*(1+'SImple Return'!N723)</f>
        <v>299.27059398680024</v>
      </c>
    </row>
    <row r="725" spans="1:28">
      <c r="A725" s="8">
        <v>42685</v>
      </c>
      <c r="B725" s="10">
        <v>1696.99</v>
      </c>
      <c r="C725" s="10">
        <v>395.75</v>
      </c>
      <c r="D725" s="10">
        <v>184.7</v>
      </c>
      <c r="E725" s="11">
        <v>2540.86</v>
      </c>
      <c r="F725" s="11">
        <v>3499.43</v>
      </c>
      <c r="G725" s="11">
        <v>2624.52</v>
      </c>
      <c r="H725" s="14">
        <v>2330.56</v>
      </c>
      <c r="I725" s="14">
        <v>5080.5600000000004</v>
      </c>
      <c r="J725" s="14">
        <v>3084.28</v>
      </c>
      <c r="K725" s="14">
        <v>1658.61</v>
      </c>
      <c r="L725" s="14">
        <v>22403.34</v>
      </c>
      <c r="M725" s="14">
        <v>2335.34</v>
      </c>
      <c r="N725" s="14">
        <v>3025.28</v>
      </c>
      <c r="P725" s="14">
        <f>+P724*(1+'SImple Return'!B724)</f>
        <v>208.49848263321462</v>
      </c>
      <c r="Q725" s="14">
        <f>+Q724*(1+'SImple Return'!C724)</f>
        <v>184.56767092621962</v>
      </c>
      <c r="R725" s="14">
        <f>+R724*(1+'SImple Return'!D724)</f>
        <v>213.08260267651099</v>
      </c>
      <c r="S725" s="14">
        <f>+S724*(1+'SImple Return'!E724)</f>
        <v>253.54088709275038</v>
      </c>
      <c r="T725" s="14">
        <f>+T724*(1+'SImple Return'!F724)</f>
        <v>343.55291576673892</v>
      </c>
      <c r="U725" s="14">
        <f>+U724*(1+'SImple Return'!G724)</f>
        <v>257.16973367040993</v>
      </c>
      <c r="V725" s="14">
        <f>+V724*(1+'SImple Return'!H724)</f>
        <v>232.21306656835699</v>
      </c>
      <c r="W725" s="14">
        <f>+W724*(1+'SImple Return'!I724)</f>
        <v>506.58184682573625</v>
      </c>
      <c r="X725" s="14">
        <f>+X724*(1+'SImple Return'!J724)</f>
        <v>310.69295161729076</v>
      </c>
      <c r="Y725" s="14">
        <f>+Y724*(1+'SImple Return'!K724)</f>
        <v>161.10830500242847</v>
      </c>
      <c r="Z725" s="14">
        <f>+Z724*(1+'SImple Return'!L724)</f>
        <v>2181.9663988312614</v>
      </c>
      <c r="AA725" s="14">
        <f>+AA724*(1+'SImple Return'!M724)</f>
        <v>231.03878116343526</v>
      </c>
      <c r="AB725" s="14">
        <f>+AB724*(1+'SImple Return'!N724)</f>
        <v>295.79858225372766</v>
      </c>
    </row>
    <row r="726" spans="1:28">
      <c r="A726" s="8">
        <v>42692</v>
      </c>
      <c r="B726" s="10">
        <v>1697.35</v>
      </c>
      <c r="C726" s="10">
        <v>389.26</v>
      </c>
      <c r="D726" s="10">
        <v>183.6</v>
      </c>
      <c r="E726" s="11">
        <v>2447.92</v>
      </c>
      <c r="F726" s="11">
        <v>3576.84</v>
      </c>
      <c r="G726" s="11">
        <v>2605.96</v>
      </c>
      <c r="H726" s="14">
        <v>2276.52</v>
      </c>
      <c r="I726" s="14">
        <v>5104.2299999999996</v>
      </c>
      <c r="J726" s="14">
        <v>3111.99</v>
      </c>
      <c r="K726" s="14">
        <v>1655.08</v>
      </c>
      <c r="L726" s="14">
        <v>22467.34</v>
      </c>
      <c r="M726" s="14">
        <v>2278.83</v>
      </c>
      <c r="N726" s="14">
        <v>3095.65</v>
      </c>
      <c r="P726" s="14">
        <f>+P725*(1+'SImple Return'!B725)</f>
        <v>208.54271356783883</v>
      </c>
      <c r="Q726" s="14">
        <f>+Q725*(1+'SImple Return'!C725)</f>
        <v>181.54090103535123</v>
      </c>
      <c r="R726" s="14">
        <f>+R725*(1+'SImple Return'!D725)</f>
        <v>211.81356714351608</v>
      </c>
      <c r="S726" s="14">
        <f>+S725*(1+'SImple Return'!E725)</f>
        <v>244.2668263234045</v>
      </c>
      <c r="T726" s="14">
        <f>+T725*(1+'SImple Return'!F725)</f>
        <v>351.15256234046763</v>
      </c>
      <c r="U726" s="14">
        <f>+U725*(1+'SImple Return'!G725)</f>
        <v>255.35108863934795</v>
      </c>
      <c r="V726" s="14">
        <f>+V725*(1+'SImple Return'!H725)</f>
        <v>226.82861213793942</v>
      </c>
      <c r="W726" s="14">
        <f>+W725*(1+'SImple Return'!I725)</f>
        <v>508.94197884157012</v>
      </c>
      <c r="X726" s="14">
        <f>+X725*(1+'SImple Return'!J725)</f>
        <v>313.48430055101761</v>
      </c>
      <c r="Y726" s="14">
        <f>+Y725*(1+'SImple Return'!K725)</f>
        <v>160.7654201068481</v>
      </c>
      <c r="Z726" s="14">
        <f>+Z725*(1+'SImple Return'!L725)</f>
        <v>2188.1996591185753</v>
      </c>
      <c r="AA726" s="14">
        <f>+AA725*(1+'SImple Return'!M725)</f>
        <v>225.44815987336796</v>
      </c>
      <c r="AB726" s="14">
        <f>+AB725*(1+'SImple Return'!N725)</f>
        <v>302.67905157663159</v>
      </c>
    </row>
    <row r="727" spans="1:28">
      <c r="A727" s="8">
        <v>42699</v>
      </c>
      <c r="B727" s="10">
        <v>1720.84</v>
      </c>
      <c r="C727" s="10">
        <v>387.93</v>
      </c>
      <c r="D727" s="10">
        <v>185.88</v>
      </c>
      <c r="E727" s="11">
        <v>2468.21</v>
      </c>
      <c r="F727" s="11">
        <v>3627.2</v>
      </c>
      <c r="G727" s="11">
        <v>2657.7</v>
      </c>
      <c r="H727" s="14">
        <v>2305.79</v>
      </c>
      <c r="I727" s="14">
        <v>5166.72</v>
      </c>
      <c r="J727" s="14">
        <v>3182.67</v>
      </c>
      <c r="K727" s="14">
        <v>1632.69</v>
      </c>
      <c r="L727" s="14">
        <v>22721.31</v>
      </c>
      <c r="M727" s="14">
        <v>2335.5100000000002</v>
      </c>
      <c r="N727" s="14">
        <v>3133.72</v>
      </c>
      <c r="P727" s="14">
        <f>+P726*(1+'SImple Return'!B726)</f>
        <v>211.42878205206924</v>
      </c>
      <c r="Q727" s="14">
        <f>+Q726*(1+'SImple Return'!C726)</f>
        <v>180.92062307620563</v>
      </c>
      <c r="R727" s="14">
        <f>+R726*(1+'SImple Return'!D726)</f>
        <v>214.44393170281464</v>
      </c>
      <c r="S727" s="14">
        <f>+S726*(1+'SImple Return'!E726)</f>
        <v>246.29147333233533</v>
      </c>
      <c r="T727" s="14">
        <f>+T726*(1+'SImple Return'!F726)</f>
        <v>356.09660318083672</v>
      </c>
      <c r="U727" s="14">
        <f>+U726*(1+'SImple Return'!G726)</f>
        <v>260.42095361279337</v>
      </c>
      <c r="V727" s="14">
        <f>+V726*(1+'SImple Return'!H726)</f>
        <v>229.74502555722739</v>
      </c>
      <c r="W727" s="14">
        <f>+W726*(1+'SImple Return'!I726)</f>
        <v>515.17284701518497</v>
      </c>
      <c r="X727" s="14">
        <f>+X726*(1+'SImple Return'!J726)</f>
        <v>320.60420465191322</v>
      </c>
      <c r="Y727" s="14">
        <f>+Y726*(1+'SImple Return'!K726)</f>
        <v>158.59057795046152</v>
      </c>
      <c r="Z727" s="14">
        <f>+Z726*(1+'SImple Return'!L726)</f>
        <v>2212.9349890430944</v>
      </c>
      <c r="AA727" s="14">
        <f>+AA726*(1+'SImple Return'!M726)</f>
        <v>231.055599525129</v>
      </c>
      <c r="AB727" s="14">
        <f>+AB726*(1+'SImple Return'!N726)</f>
        <v>306.40136885846971</v>
      </c>
    </row>
    <row r="728" spans="1:28">
      <c r="A728" s="8">
        <v>42706</v>
      </c>
      <c r="B728" s="10">
        <v>1708.94</v>
      </c>
      <c r="C728" s="10">
        <v>388.5</v>
      </c>
      <c r="D728" s="10">
        <v>185.53</v>
      </c>
      <c r="E728" s="11">
        <v>2469.3000000000002</v>
      </c>
      <c r="F728" s="11">
        <v>3576.76</v>
      </c>
      <c r="G728" s="11">
        <v>2634.75</v>
      </c>
      <c r="H728" s="14">
        <v>2283.65</v>
      </c>
      <c r="I728" s="14">
        <v>5079.08</v>
      </c>
      <c r="J728" s="14">
        <v>3119.74</v>
      </c>
      <c r="K728" s="14">
        <v>1673.87</v>
      </c>
      <c r="L728" s="14">
        <v>21851.8</v>
      </c>
      <c r="M728" s="14">
        <v>2345.02</v>
      </c>
      <c r="N728" s="14">
        <v>3118.88</v>
      </c>
      <c r="P728" s="14">
        <f>+P727*(1+'SImple Return'!B727)</f>
        <v>209.96670393532418</v>
      </c>
      <c r="Q728" s="14">
        <f>+Q727*(1+'SImple Return'!C727)</f>
        <v>181.18645648726803</v>
      </c>
      <c r="R728" s="14">
        <f>+R727*(1+'SImple Return'!D727)</f>
        <v>214.04014766958898</v>
      </c>
      <c r="S728" s="14">
        <f>+S727*(1+'SImple Return'!E727)</f>
        <v>246.40023948510688</v>
      </c>
      <c r="T728" s="14">
        <f>+T727*(1+'SImple Return'!F727)</f>
        <v>351.14470842332645</v>
      </c>
      <c r="U728" s="14">
        <f>+U727*(1+'SImple Return'!G727)</f>
        <v>258.17214415897479</v>
      </c>
      <c r="V728" s="14">
        <f>+V727*(1+'SImple Return'!H727)</f>
        <v>227.53903330908815</v>
      </c>
      <c r="W728" s="14">
        <f>+W727*(1+'SImple Return'!I727)</f>
        <v>506.43427625609394</v>
      </c>
      <c r="X728" s="14">
        <f>+X727*(1+'SImple Return'!J727)</f>
        <v>314.26499179015093</v>
      </c>
      <c r="Y728" s="14">
        <f>+Y727*(1+'SImple Return'!K727)</f>
        <v>162.59057795046152</v>
      </c>
      <c r="Z728" s="14">
        <f>+Z727*(1+'SImple Return'!L727)</f>
        <v>2128.2493304114896</v>
      </c>
      <c r="AA728" s="14">
        <f>+AA727*(1+'SImple Return'!M727)</f>
        <v>231.99643846458289</v>
      </c>
      <c r="AB728" s="14">
        <f>+AB727*(1+'SImple Return'!N727)</f>
        <v>304.95037888046926</v>
      </c>
    </row>
    <row r="729" spans="1:28">
      <c r="A729" s="8">
        <v>42713</v>
      </c>
      <c r="B729" s="10">
        <v>1760.12</v>
      </c>
      <c r="C729" s="10">
        <v>386.22</v>
      </c>
      <c r="D729" s="10">
        <v>190.95</v>
      </c>
      <c r="E729" s="11">
        <v>2506.1799999999998</v>
      </c>
      <c r="F729" s="11">
        <v>3629.34</v>
      </c>
      <c r="G729" s="11">
        <v>2666.66</v>
      </c>
      <c r="H729" s="14">
        <v>2331.73</v>
      </c>
      <c r="I729" s="14">
        <v>5198.66</v>
      </c>
      <c r="J729" s="14">
        <v>3136.77</v>
      </c>
      <c r="K729" s="14">
        <v>1714.09</v>
      </c>
      <c r="L729" s="14">
        <v>22272.18</v>
      </c>
      <c r="M729" s="14">
        <v>2376.91</v>
      </c>
      <c r="N729" s="14">
        <v>3148.2</v>
      </c>
      <c r="P729" s="14">
        <f>+P728*(1+'SImple Return'!B728)</f>
        <v>216.25486847440095</v>
      </c>
      <c r="Q729" s="14">
        <f>+Q728*(1+'SImple Return'!C728)</f>
        <v>180.12312284301845</v>
      </c>
      <c r="R729" s="14">
        <f>+R728*(1+'SImple Return'!D728)</f>
        <v>220.29303184125484</v>
      </c>
      <c r="S729" s="14">
        <f>+S728*(1+'SImple Return'!E728)</f>
        <v>250.08032729631273</v>
      </c>
      <c r="T729" s="14">
        <f>+T728*(1+'SImple Return'!F728)</f>
        <v>356.30669546436314</v>
      </c>
      <c r="U729" s="14">
        <f>+U728*(1+'SImple Return'!G728)</f>
        <v>261.29892017951295</v>
      </c>
      <c r="V729" s="14">
        <f>+V728*(1+'SImple Return'!H728)</f>
        <v>232.32964339447818</v>
      </c>
      <c r="W729" s="14">
        <f>+W728*(1+'SImple Return'!I728)</f>
        <v>518.3575794438176</v>
      </c>
      <c r="X729" s="14">
        <f>+X728*(1+'SImple Return'!J728)</f>
        <v>315.98049782917542</v>
      </c>
      <c r="Y729" s="14">
        <f>+Y728*(1+'SImple Return'!K728)</f>
        <v>166.49732880038869</v>
      </c>
      <c r="Z729" s="14">
        <f>+Z728*(1+'SImple Return'!L728)</f>
        <v>2169.1921110299459</v>
      </c>
      <c r="AA729" s="14">
        <f>+AA728*(1+'SImple Return'!M728)</f>
        <v>235.15136525524375</v>
      </c>
      <c r="AB729" s="14">
        <f>+AB728*(1+'SImple Return'!N728)</f>
        <v>307.81715961867508</v>
      </c>
    </row>
    <row r="730" spans="1:28">
      <c r="A730" s="8">
        <v>42720</v>
      </c>
      <c r="B730" s="10">
        <v>1754.74</v>
      </c>
      <c r="C730" s="10">
        <v>382.62</v>
      </c>
      <c r="D730" s="10">
        <v>187.8</v>
      </c>
      <c r="E730" s="11">
        <v>2524.7800000000002</v>
      </c>
      <c r="F730" s="11">
        <v>3691.13</v>
      </c>
      <c r="G730" s="11">
        <v>2640.63</v>
      </c>
      <c r="H730" s="14">
        <v>2352.66</v>
      </c>
      <c r="I730" s="14">
        <v>5226.04</v>
      </c>
      <c r="J730" s="14">
        <v>3104.95</v>
      </c>
      <c r="K730" s="14">
        <v>1684.44</v>
      </c>
      <c r="L730" s="14">
        <v>22684.53</v>
      </c>
      <c r="M730" s="14">
        <v>2379.0700000000002</v>
      </c>
      <c r="N730" s="14">
        <v>3199.19</v>
      </c>
      <c r="P730" s="14">
        <f>+P729*(1+'SImple Return'!B729)</f>
        <v>215.59386172918343</v>
      </c>
      <c r="Q730" s="14">
        <f>+Q729*(1+'SImple Return'!C729)</f>
        <v>178.44417498367696</v>
      </c>
      <c r="R730" s="14">
        <f>+R729*(1+'SImple Return'!D729)</f>
        <v>216.65897554222397</v>
      </c>
      <c r="S730" s="14">
        <f>+S729*(1+'SImple Return'!E729)</f>
        <v>251.93633687571702</v>
      </c>
      <c r="T730" s="14">
        <f>+T729*(1+'SImple Return'!F729)</f>
        <v>362.37286471627755</v>
      </c>
      <c r="U730" s="14">
        <f>+U729*(1+'SImple Return'!G729)</f>
        <v>258.74830971838458</v>
      </c>
      <c r="V730" s="14">
        <f>+V729*(1+'SImple Return'!H729)</f>
        <v>234.4150732839793</v>
      </c>
      <c r="W730" s="14">
        <f>+W729*(1+'SImple Return'!I729)</f>
        <v>521.08763498220083</v>
      </c>
      <c r="X730" s="14">
        <f>+X729*(1+'SImple Return'!J729)</f>
        <v>312.7751307028243</v>
      </c>
      <c r="Y730" s="14">
        <f>+Y729*(1+'SImple Return'!K729)</f>
        <v>163.61728994657616</v>
      </c>
      <c r="Z730" s="14">
        <f>+Z729*(1+'SImple Return'!L729)</f>
        <v>2209.352812271728</v>
      </c>
      <c r="AA730" s="14">
        <f>+AA729*(1+'SImple Return'!M729)</f>
        <v>235.36505738029325</v>
      </c>
      <c r="AB730" s="14">
        <f>+AB729*(1+'SImple Return'!N729)</f>
        <v>312.80273771693959</v>
      </c>
    </row>
    <row r="731" spans="1:28">
      <c r="A731" s="8">
        <v>42727</v>
      </c>
      <c r="B731" s="10">
        <v>1759.15</v>
      </c>
      <c r="C731" s="10">
        <v>384.91</v>
      </c>
      <c r="D731" s="10">
        <v>188.05</v>
      </c>
      <c r="E731" s="11">
        <v>2559.27</v>
      </c>
      <c r="F731" s="11">
        <v>3705.59</v>
      </c>
      <c r="G731" s="11">
        <v>2637.5</v>
      </c>
      <c r="H731" s="14">
        <v>2374.0300000000002</v>
      </c>
      <c r="I731" s="14">
        <v>5179.04</v>
      </c>
      <c r="J731" s="14">
        <v>3116.26</v>
      </c>
      <c r="K731" s="14">
        <v>1664.09</v>
      </c>
      <c r="L731" s="14">
        <v>23018.240000000002</v>
      </c>
      <c r="M731" s="14">
        <v>2410.89</v>
      </c>
      <c r="N731" s="14">
        <v>3203.53</v>
      </c>
      <c r="P731" s="14">
        <f>+P730*(1+'SImple Return'!B730)</f>
        <v>216.13569067833015</v>
      </c>
      <c r="Q731" s="14">
        <f>+Q730*(1+'SImple Return'!C730)</f>
        <v>179.51217237198031</v>
      </c>
      <c r="R731" s="14">
        <f>+R730*(1+'SImple Return'!D730)</f>
        <v>216.94739270881374</v>
      </c>
      <c r="S731" s="14">
        <f>+S730*(1+'SImple Return'!E730)</f>
        <v>255.37793743451559</v>
      </c>
      <c r="T731" s="14">
        <f>+T730*(1+'SImple Return'!F730)</f>
        <v>363.79246023954477</v>
      </c>
      <c r="U731" s="14">
        <f>+U730*(1+'SImple Return'!G730)</f>
        <v>258.44160934407296</v>
      </c>
      <c r="V731" s="14">
        <f>+V730*(1+'SImple Return'!H730)</f>
        <v>236.54434403116707</v>
      </c>
      <c r="W731" s="14">
        <f>+W730*(1+'SImple Return'!I730)</f>
        <v>516.40127229761299</v>
      </c>
      <c r="X731" s="14">
        <f>+X730*(1+'SImple Return'!J730)</f>
        <v>313.91443624019172</v>
      </c>
      <c r="Y731" s="14">
        <f>+Y730*(1+'SImple Return'!K730)</f>
        <v>161.64060223409436</v>
      </c>
      <c r="Z731" s="14">
        <f>+Z730*(1+'SImple Return'!L730)</f>
        <v>2241.854394935473</v>
      </c>
      <c r="AA731" s="14">
        <f>+AA730*(1+'SImple Return'!M730)</f>
        <v>238.51305896319786</v>
      </c>
      <c r="AB731" s="14">
        <f>+AB730*(1+'SImple Return'!N730)</f>
        <v>313.22708384258124</v>
      </c>
    </row>
    <row r="732" spans="1:28">
      <c r="A732" s="8">
        <v>42734</v>
      </c>
      <c r="B732" s="10">
        <v>1751.22</v>
      </c>
      <c r="C732" s="10">
        <v>386.8</v>
      </c>
      <c r="D732" s="10">
        <v>190.09</v>
      </c>
      <c r="E732" s="11">
        <v>2575.4699999999998</v>
      </c>
      <c r="F732" s="11">
        <v>3674.67</v>
      </c>
      <c r="G732" s="11">
        <v>2642.56</v>
      </c>
      <c r="H732" s="14">
        <v>2382.59</v>
      </c>
      <c r="I732" s="14">
        <v>5160.09</v>
      </c>
      <c r="J732" s="14">
        <v>3134</v>
      </c>
      <c r="K732" s="14">
        <v>1664.09</v>
      </c>
      <c r="L732" s="14">
        <v>22919.49</v>
      </c>
      <c r="M732" s="14">
        <v>2408.1</v>
      </c>
      <c r="N732" s="14">
        <v>3176.37</v>
      </c>
      <c r="P732" s="14">
        <f>+P731*(1+'SImple Return'!B731)</f>
        <v>215.16138147952438</v>
      </c>
      <c r="Q732" s="14">
        <f>+Q731*(1+'SImple Return'!C731)</f>
        <v>180.3936199981346</v>
      </c>
      <c r="R732" s="14">
        <f>+R731*(1+'SImple Return'!D731)</f>
        <v>219.30087678818614</v>
      </c>
      <c r="S732" s="14">
        <f>+S731*(1+'SImple Return'!E731)</f>
        <v>256.99446190689991</v>
      </c>
      <c r="T732" s="14">
        <f>+T731*(1+'SImple Return'!F731)</f>
        <v>360.75692126448098</v>
      </c>
      <c r="U732" s="14">
        <f>+U731*(1+'SImple Return'!G731)</f>
        <v>258.93742528465344</v>
      </c>
      <c r="V732" s="14">
        <f>+V731*(1+'SImple Return'!H731)</f>
        <v>237.39724798979722</v>
      </c>
      <c r="W732" s="14">
        <f>+W731*(1+'SImple Return'!I731)</f>
        <v>514.51177074712496</v>
      </c>
      <c r="X732" s="14">
        <f>+X731*(1+'SImple Return'!J731)</f>
        <v>315.70146367015616</v>
      </c>
      <c r="Y732" s="14">
        <f>+Y731*(1+'SImple Return'!K731)</f>
        <v>161.64060223409436</v>
      </c>
      <c r="Z732" s="14">
        <f>+Z731*(1+'SImple Return'!L731)</f>
        <v>2232.2366691015309</v>
      </c>
      <c r="AA732" s="14">
        <f>+AA731*(1+'SImple Return'!M731)</f>
        <v>238.23703996834229</v>
      </c>
      <c r="AB732" s="14">
        <f>+AB731*(1+'SImple Return'!N731)</f>
        <v>310.57149841114637</v>
      </c>
    </row>
  </sheetData>
  <autoFilter ref="A1:N732"/>
  <pageMargins left="0.7" right="0.7" top="0.75" bottom="0.75" header="0.3" footer="0.3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5"/>
  <sheetViews>
    <sheetView workbookViewId="0">
      <selection activeCell="K28" sqref="K28"/>
    </sheetView>
  </sheetViews>
  <sheetFormatPr defaultColWidth="8.85546875" defaultRowHeight="15"/>
  <cols>
    <col min="1" max="4" width="8.85546875" style="14"/>
    <col min="5" max="5" width="11" style="14" bestFit="1" customWidth="1"/>
    <col min="6" max="6" width="20.140625" style="14" bestFit="1" customWidth="1"/>
    <col min="7" max="9" width="8.85546875" style="14"/>
    <col min="10" max="10" width="15.140625" style="14" bestFit="1" customWidth="1"/>
    <col min="11" max="11" width="10.85546875" style="14" bestFit="1" customWidth="1"/>
    <col min="12" max="12" width="20.140625" style="14" bestFit="1" customWidth="1"/>
    <col min="13" max="16384" width="8.85546875" style="14"/>
  </cols>
  <sheetData>
    <row r="1" spans="1:13" ht="15.75" thickBot="1">
      <c r="A1" s="26" t="s">
        <v>67</v>
      </c>
      <c r="B1" s="26" t="s">
        <v>43</v>
      </c>
      <c r="C1" s="26" t="s">
        <v>44</v>
      </c>
      <c r="D1" s="26" t="s">
        <v>45</v>
      </c>
      <c r="E1" s="26" t="s">
        <v>46</v>
      </c>
      <c r="F1" s="26" t="s">
        <v>47</v>
      </c>
      <c r="G1" s="26" t="s">
        <v>115</v>
      </c>
      <c r="J1" s="52"/>
      <c r="K1" s="52" t="s">
        <v>312</v>
      </c>
      <c r="L1" s="52" t="s">
        <v>364</v>
      </c>
      <c r="M1" s="52" t="s">
        <v>44</v>
      </c>
    </row>
    <row r="2" spans="1:13" ht="15.75" thickTop="1">
      <c r="A2" s="14" t="s">
        <v>363</v>
      </c>
      <c r="J2" s="18" t="s">
        <v>20</v>
      </c>
      <c r="K2" s="18">
        <v>11</v>
      </c>
      <c r="L2" s="42">
        <v>75296167743.378143</v>
      </c>
      <c r="M2" s="53">
        <f t="shared" ref="M2:M8" si="0">+L2/$L$10</f>
        <v>8.1530849936102337E-2</v>
      </c>
    </row>
    <row r="3" spans="1:13">
      <c r="A3" s="14" t="s">
        <v>242</v>
      </c>
      <c r="B3" s="14" t="s">
        <v>243</v>
      </c>
      <c r="C3" s="14" t="s">
        <v>49</v>
      </c>
      <c r="D3" s="14" t="s">
        <v>49</v>
      </c>
      <c r="E3" s="14">
        <v>105.68</v>
      </c>
      <c r="F3" s="14">
        <v>44992475136</v>
      </c>
      <c r="G3" s="14" t="s">
        <v>330</v>
      </c>
      <c r="J3" s="18" t="s">
        <v>23</v>
      </c>
      <c r="K3" s="18">
        <v>8</v>
      </c>
      <c r="L3" s="42">
        <v>111217000392.95601</v>
      </c>
      <c r="M3" s="53">
        <f t="shared" si="0"/>
        <v>0.12042600362193033</v>
      </c>
    </row>
    <row r="4" spans="1:13">
      <c r="A4" s="14" t="s">
        <v>347</v>
      </c>
      <c r="B4" s="14" t="s">
        <v>228</v>
      </c>
      <c r="C4" s="14" t="s">
        <v>49</v>
      </c>
      <c r="D4" s="14" t="s">
        <v>49</v>
      </c>
      <c r="E4" s="14">
        <v>14.4125</v>
      </c>
      <c r="F4" s="14">
        <v>3339129088.1368999</v>
      </c>
      <c r="G4" s="14" t="s">
        <v>335</v>
      </c>
      <c r="J4" s="18" t="s">
        <v>19</v>
      </c>
      <c r="K4" s="18">
        <v>14</v>
      </c>
      <c r="L4" s="54">
        <v>194180644601.99249</v>
      </c>
      <c r="M4" s="53">
        <f t="shared" si="0"/>
        <v>0.21025921331743971</v>
      </c>
    </row>
    <row r="5" spans="1:13">
      <c r="A5" s="14" t="s">
        <v>252</v>
      </c>
      <c r="B5" s="14" t="s">
        <v>253</v>
      </c>
      <c r="C5" s="14" t="s">
        <v>49</v>
      </c>
      <c r="D5" s="14" t="s">
        <v>49</v>
      </c>
      <c r="E5" s="14">
        <v>86.77</v>
      </c>
      <c r="F5" s="14">
        <v>31289681920</v>
      </c>
      <c r="G5" s="14" t="s">
        <v>330</v>
      </c>
      <c r="J5" s="18" t="s">
        <v>18</v>
      </c>
      <c r="K5" s="18">
        <v>38</v>
      </c>
      <c r="L5" s="42">
        <v>406425920992.2478</v>
      </c>
      <c r="M5" s="53">
        <f t="shared" si="0"/>
        <v>0.44007884820240772</v>
      </c>
    </row>
    <row r="6" spans="1:13">
      <c r="A6" s="14" t="s">
        <v>159</v>
      </c>
      <c r="B6" s="14" t="s">
        <v>160</v>
      </c>
      <c r="C6" s="14" t="s">
        <v>49</v>
      </c>
      <c r="D6" s="14" t="s">
        <v>49</v>
      </c>
      <c r="E6" s="14">
        <v>19.401199999999999</v>
      </c>
      <c r="F6" s="14">
        <v>4516108696.3028002</v>
      </c>
      <c r="G6" s="14" t="s">
        <v>338</v>
      </c>
      <c r="J6" s="18" t="s">
        <v>362</v>
      </c>
      <c r="K6" s="18">
        <v>3</v>
      </c>
      <c r="L6" s="42">
        <v>11733610184.25717</v>
      </c>
      <c r="M6" s="53">
        <f t="shared" si="0"/>
        <v>1.2705177963396753E-2</v>
      </c>
    </row>
    <row r="7" spans="1:13">
      <c r="A7" s="14" t="s">
        <v>209</v>
      </c>
      <c r="B7" s="14" t="s">
        <v>210</v>
      </c>
      <c r="C7" s="14" t="s">
        <v>49</v>
      </c>
      <c r="D7" s="14" t="s">
        <v>49</v>
      </c>
      <c r="E7" s="14">
        <v>22.069600000000001</v>
      </c>
      <c r="F7" s="14">
        <v>10155305441.196899</v>
      </c>
      <c r="G7" s="14" t="s">
        <v>346</v>
      </c>
      <c r="J7" s="18" t="s">
        <v>24</v>
      </c>
      <c r="K7" s="18">
        <v>10</v>
      </c>
      <c r="L7" s="42">
        <v>72008267400.399384</v>
      </c>
      <c r="M7" s="53">
        <f t="shared" si="0"/>
        <v>7.7970704479804059E-2</v>
      </c>
    </row>
    <row r="8" spans="1:13">
      <c r="A8" s="14" t="s">
        <v>189</v>
      </c>
      <c r="B8" s="14" t="s">
        <v>190</v>
      </c>
      <c r="C8" s="14" t="s">
        <v>49</v>
      </c>
      <c r="D8" s="14" t="s">
        <v>49</v>
      </c>
      <c r="E8" s="14">
        <v>4.6428000000000003</v>
      </c>
      <c r="F8" s="14">
        <v>2785673549.8338299</v>
      </c>
      <c r="G8" s="14" t="s">
        <v>334</v>
      </c>
      <c r="J8" s="45" t="s">
        <v>361</v>
      </c>
      <c r="K8" s="45">
        <v>10</v>
      </c>
      <c r="L8" s="44">
        <v>52668166706.08905</v>
      </c>
      <c r="M8" s="43">
        <f t="shared" si="0"/>
        <v>5.7029202478919079E-2</v>
      </c>
    </row>
    <row r="9" spans="1:13">
      <c r="A9" s="14" t="s">
        <v>360</v>
      </c>
      <c r="B9" s="14" t="s">
        <v>287</v>
      </c>
      <c r="C9" s="14" t="s">
        <v>49</v>
      </c>
      <c r="D9" s="14" t="s">
        <v>49</v>
      </c>
      <c r="E9" s="14">
        <v>103.26</v>
      </c>
      <c r="F9" s="14">
        <v>12612440064</v>
      </c>
      <c r="G9" s="14" t="s">
        <v>330</v>
      </c>
      <c r="J9" s="18"/>
      <c r="K9" s="18"/>
      <c r="L9" s="18"/>
      <c r="M9" s="18"/>
    </row>
    <row r="10" spans="1:13" ht="15.75" thickBot="1">
      <c r="A10" s="14" t="s">
        <v>199</v>
      </c>
      <c r="B10" s="14" t="s">
        <v>200</v>
      </c>
      <c r="C10" s="14" t="s">
        <v>49</v>
      </c>
      <c r="D10" s="14" t="s">
        <v>49</v>
      </c>
      <c r="E10" s="14">
        <v>54.000599999999999</v>
      </c>
      <c r="F10" s="14">
        <v>1526186497.48558</v>
      </c>
      <c r="G10" s="14" t="s">
        <v>334</v>
      </c>
      <c r="J10" s="41" t="s">
        <v>123</v>
      </c>
      <c r="K10" s="41">
        <f>+SUM(K2:K8)</f>
        <v>94</v>
      </c>
      <c r="L10" s="40">
        <f>+SUM(L2:L8)</f>
        <v>923529778021.32007</v>
      </c>
      <c r="M10" s="39">
        <f>+SUM(M2:M8)</f>
        <v>1</v>
      </c>
    </row>
    <row r="11" spans="1:13" ht="15.75" thickTop="1"/>
    <row r="12" spans="1:13">
      <c r="E12" s="14" t="s">
        <v>116</v>
      </c>
      <c r="F12" s="38">
        <f>+SUM(F3:F10)</f>
        <v>111217000392.95601</v>
      </c>
    </row>
    <row r="13" spans="1:13">
      <c r="E13" s="14" t="s">
        <v>312</v>
      </c>
      <c r="F13" s="14">
        <f>+COUNT(E3:E10)</f>
        <v>8</v>
      </c>
    </row>
    <row r="15" spans="1:13">
      <c r="A15" s="26" t="s">
        <v>67</v>
      </c>
      <c r="B15" s="26" t="s">
        <v>43</v>
      </c>
      <c r="C15" s="26" t="s">
        <v>44</v>
      </c>
      <c r="D15" s="26" t="s">
        <v>45</v>
      </c>
      <c r="E15" s="26" t="s">
        <v>46</v>
      </c>
      <c r="F15" s="26" t="s">
        <v>47</v>
      </c>
      <c r="G15" s="26" t="s">
        <v>115</v>
      </c>
    </row>
    <row r="16" spans="1:13">
      <c r="A16" s="14" t="s">
        <v>359</v>
      </c>
    </row>
    <row r="17" spans="1:7">
      <c r="A17" s="14" t="s">
        <v>238</v>
      </c>
      <c r="B17" s="14" t="s">
        <v>239</v>
      </c>
      <c r="C17" s="14" t="s">
        <v>49</v>
      </c>
      <c r="D17" s="14" t="s">
        <v>49</v>
      </c>
      <c r="E17" s="14">
        <v>57.41</v>
      </c>
      <c r="F17" s="14">
        <v>12086066176</v>
      </c>
      <c r="G17" s="14" t="s">
        <v>330</v>
      </c>
    </row>
    <row r="18" spans="1:7">
      <c r="A18" s="14" t="s">
        <v>244</v>
      </c>
      <c r="B18" s="14" t="s">
        <v>245</v>
      </c>
      <c r="C18" s="14" t="s">
        <v>49</v>
      </c>
      <c r="D18" s="14" t="s">
        <v>49</v>
      </c>
      <c r="E18" s="14">
        <v>74.150000000000006</v>
      </c>
      <c r="F18" s="14">
        <v>7792774656</v>
      </c>
      <c r="G18" s="14" t="s">
        <v>330</v>
      </c>
    </row>
    <row r="19" spans="1:7">
      <c r="A19" s="14" t="s">
        <v>185</v>
      </c>
      <c r="B19" s="14" t="s">
        <v>186</v>
      </c>
      <c r="C19" s="14" t="s">
        <v>49</v>
      </c>
      <c r="D19" s="14" t="s">
        <v>49</v>
      </c>
      <c r="E19" s="14">
        <v>3.9424999999999999</v>
      </c>
      <c r="F19" s="14">
        <v>3189991198.19733</v>
      </c>
      <c r="G19" s="14" t="s">
        <v>334</v>
      </c>
    </row>
    <row r="20" spans="1:7">
      <c r="A20" s="14" t="s">
        <v>246</v>
      </c>
      <c r="B20" s="14" t="s">
        <v>247</v>
      </c>
      <c r="C20" s="14" t="s">
        <v>49</v>
      </c>
      <c r="D20" s="14" t="s">
        <v>49</v>
      </c>
      <c r="E20" s="14">
        <v>56.07</v>
      </c>
      <c r="F20" s="14">
        <v>10138995712</v>
      </c>
      <c r="G20" s="14" t="s">
        <v>330</v>
      </c>
    </row>
    <row r="21" spans="1:7">
      <c r="A21" s="14" t="s">
        <v>325</v>
      </c>
      <c r="B21" s="14" t="s">
        <v>117</v>
      </c>
      <c r="C21" s="14" t="s">
        <v>49</v>
      </c>
      <c r="D21" s="14" t="s">
        <v>49</v>
      </c>
      <c r="E21" s="14">
        <v>6.1849999999999996</v>
      </c>
      <c r="F21" s="14">
        <v>6891956602.6620502</v>
      </c>
      <c r="G21" s="14" t="s">
        <v>316</v>
      </c>
    </row>
    <row r="22" spans="1:7">
      <c r="A22" s="14" t="s">
        <v>169</v>
      </c>
      <c r="B22" s="14" t="s">
        <v>170</v>
      </c>
      <c r="C22" s="14" t="s">
        <v>49</v>
      </c>
      <c r="D22" s="14" t="s">
        <v>49</v>
      </c>
      <c r="E22" s="14">
        <v>1.772</v>
      </c>
      <c r="F22" s="14">
        <v>22534745983.560799</v>
      </c>
      <c r="G22" s="14" t="s">
        <v>314</v>
      </c>
    </row>
    <row r="23" spans="1:7">
      <c r="A23" s="14" t="s">
        <v>250</v>
      </c>
      <c r="B23" s="14" t="s">
        <v>251</v>
      </c>
      <c r="C23" s="14" t="s">
        <v>49</v>
      </c>
      <c r="D23" s="14" t="s">
        <v>49</v>
      </c>
      <c r="E23" s="14">
        <v>41.75</v>
      </c>
      <c r="F23" s="14">
        <v>2759647488</v>
      </c>
      <c r="G23" s="14" t="s">
        <v>330</v>
      </c>
    </row>
    <row r="24" spans="1:7">
      <c r="A24" s="14" t="s">
        <v>129</v>
      </c>
      <c r="B24" s="14" t="s">
        <v>130</v>
      </c>
      <c r="C24" s="14" t="s">
        <v>49</v>
      </c>
      <c r="D24" s="14" t="s">
        <v>49</v>
      </c>
      <c r="E24" s="14">
        <v>31.196999999999999</v>
      </c>
      <c r="F24" s="14">
        <v>12079626513.803801</v>
      </c>
      <c r="G24" s="14" t="s">
        <v>329</v>
      </c>
    </row>
    <row r="25" spans="1:7">
      <c r="A25" s="14" t="s">
        <v>171</v>
      </c>
      <c r="B25" s="14" t="s">
        <v>172</v>
      </c>
      <c r="C25" s="14" t="s">
        <v>49</v>
      </c>
      <c r="D25" s="14" t="s">
        <v>49</v>
      </c>
      <c r="E25" s="14">
        <v>4.7267000000000001</v>
      </c>
      <c r="F25" s="14">
        <v>5965761541.7334604</v>
      </c>
      <c r="G25" s="14" t="s">
        <v>314</v>
      </c>
    </row>
    <row r="26" spans="1:7">
      <c r="A26" s="14" t="s">
        <v>254</v>
      </c>
      <c r="B26" s="14" t="s">
        <v>255</v>
      </c>
      <c r="C26" s="14" t="s">
        <v>49</v>
      </c>
      <c r="D26" s="14" t="s">
        <v>49</v>
      </c>
      <c r="E26" s="14">
        <v>41.43</v>
      </c>
      <c r="F26" s="14">
        <v>9734469632</v>
      </c>
      <c r="G26" s="14" t="s">
        <v>330</v>
      </c>
    </row>
    <row r="27" spans="1:7">
      <c r="A27" s="14" t="s">
        <v>256</v>
      </c>
      <c r="B27" s="14" t="s">
        <v>257</v>
      </c>
      <c r="C27" s="14" t="s">
        <v>49</v>
      </c>
      <c r="D27" s="14" t="s">
        <v>49</v>
      </c>
      <c r="E27" s="14">
        <v>100.64</v>
      </c>
      <c r="F27" s="14">
        <v>25166135296</v>
      </c>
      <c r="G27" s="14" t="s">
        <v>330</v>
      </c>
    </row>
    <row r="28" spans="1:7">
      <c r="A28" s="14" t="s">
        <v>258</v>
      </c>
      <c r="B28" s="14" t="s">
        <v>259</v>
      </c>
      <c r="C28" s="14" t="s">
        <v>49</v>
      </c>
      <c r="D28" s="14" t="s">
        <v>49</v>
      </c>
      <c r="E28" s="14">
        <v>19.05</v>
      </c>
      <c r="F28" s="14">
        <v>3429927680</v>
      </c>
      <c r="G28" s="14" t="s">
        <v>330</v>
      </c>
    </row>
    <row r="29" spans="1:7">
      <c r="A29" s="14" t="s">
        <v>201</v>
      </c>
      <c r="B29" s="14" t="s">
        <v>202</v>
      </c>
      <c r="C29" s="14" t="s">
        <v>49</v>
      </c>
      <c r="D29" s="14" t="s">
        <v>49</v>
      </c>
      <c r="E29" s="14">
        <v>8.1532999999999998</v>
      </c>
      <c r="F29" s="14">
        <v>4413185158.9798603</v>
      </c>
      <c r="G29" s="14" t="s">
        <v>315</v>
      </c>
    </row>
    <row r="30" spans="1:7">
      <c r="A30" s="14" t="s">
        <v>260</v>
      </c>
      <c r="B30" s="14" t="s">
        <v>261</v>
      </c>
      <c r="C30" s="14" t="s">
        <v>49</v>
      </c>
      <c r="D30" s="14" t="s">
        <v>49</v>
      </c>
      <c r="E30" s="14">
        <v>64.55</v>
      </c>
      <c r="F30" s="14">
        <v>2947109120</v>
      </c>
      <c r="G30" s="14" t="s">
        <v>330</v>
      </c>
    </row>
    <row r="31" spans="1:7">
      <c r="A31" s="14" t="s">
        <v>264</v>
      </c>
      <c r="B31" s="14" t="s">
        <v>265</v>
      </c>
      <c r="C31" s="14" t="s">
        <v>49</v>
      </c>
      <c r="D31" s="14" t="s">
        <v>49</v>
      </c>
      <c r="E31" s="14">
        <v>35.5</v>
      </c>
      <c r="F31" s="14">
        <v>3059200256</v>
      </c>
      <c r="G31" s="14" t="s">
        <v>330</v>
      </c>
    </row>
    <row r="32" spans="1:7">
      <c r="A32" s="14" t="s">
        <v>266</v>
      </c>
      <c r="B32" s="14" t="s">
        <v>267</v>
      </c>
      <c r="C32" s="14" t="s">
        <v>49</v>
      </c>
      <c r="D32" s="14" t="s">
        <v>49</v>
      </c>
      <c r="E32" s="14">
        <v>31.14</v>
      </c>
      <c r="F32" s="14">
        <v>23381075968</v>
      </c>
      <c r="G32" s="14" t="s">
        <v>330</v>
      </c>
    </row>
    <row r="33" spans="1:7">
      <c r="A33" s="14" t="s">
        <v>268</v>
      </c>
      <c r="B33" s="14" t="s">
        <v>269</v>
      </c>
      <c r="C33" s="14" t="s">
        <v>49</v>
      </c>
      <c r="D33" s="14" t="s">
        <v>49</v>
      </c>
      <c r="E33" s="14">
        <v>59.8</v>
      </c>
      <c r="F33" s="14">
        <v>1700577792</v>
      </c>
      <c r="G33" s="14" t="s">
        <v>330</v>
      </c>
    </row>
    <row r="34" spans="1:7">
      <c r="A34" s="14" t="s">
        <v>270</v>
      </c>
      <c r="B34" s="14" t="s">
        <v>271</v>
      </c>
      <c r="C34" s="14" t="s">
        <v>49</v>
      </c>
      <c r="D34" s="14" t="s">
        <v>49</v>
      </c>
      <c r="E34" s="14">
        <v>76.62</v>
      </c>
      <c r="F34" s="14">
        <v>3638076160</v>
      </c>
      <c r="G34" s="14" t="s">
        <v>330</v>
      </c>
    </row>
    <row r="35" spans="1:7">
      <c r="A35" s="14" t="s">
        <v>133</v>
      </c>
      <c r="B35" s="14" t="s">
        <v>134</v>
      </c>
      <c r="C35" s="14" t="s">
        <v>49</v>
      </c>
      <c r="D35" s="14" t="s">
        <v>49</v>
      </c>
      <c r="E35" s="14">
        <v>25.851299999999998</v>
      </c>
      <c r="F35" s="14">
        <v>3173834187.5526099</v>
      </c>
      <c r="G35" s="14" t="s">
        <v>329</v>
      </c>
    </row>
    <row r="36" spans="1:7">
      <c r="A36" s="14" t="s">
        <v>278</v>
      </c>
      <c r="B36" s="14" t="s">
        <v>279</v>
      </c>
      <c r="C36" s="14" t="s">
        <v>49</v>
      </c>
      <c r="D36" s="14" t="s">
        <v>49</v>
      </c>
      <c r="E36" s="14">
        <v>76.28</v>
      </c>
      <c r="F36" s="14">
        <v>3906325760</v>
      </c>
      <c r="G36" s="14" t="s">
        <v>330</v>
      </c>
    </row>
    <row r="37" spans="1:7">
      <c r="A37" s="14" t="s">
        <v>280</v>
      </c>
      <c r="B37" s="14" t="s">
        <v>281</v>
      </c>
      <c r="C37" s="14" t="s">
        <v>49</v>
      </c>
      <c r="D37" s="14" t="s">
        <v>49</v>
      </c>
      <c r="E37" s="14">
        <v>41.09</v>
      </c>
      <c r="F37" s="14">
        <v>28825458688</v>
      </c>
      <c r="G37" s="14" t="s">
        <v>330</v>
      </c>
    </row>
    <row r="38" spans="1:7">
      <c r="A38" s="14" t="s">
        <v>344</v>
      </c>
      <c r="B38" s="14" t="s">
        <v>226</v>
      </c>
      <c r="C38" s="14" t="s">
        <v>49</v>
      </c>
      <c r="D38" s="14" t="s">
        <v>49</v>
      </c>
      <c r="E38" s="14">
        <v>25.444600000000001</v>
      </c>
      <c r="F38" s="14">
        <v>6074506711.0684204</v>
      </c>
      <c r="G38" s="14" t="s">
        <v>335</v>
      </c>
    </row>
    <row r="39" spans="1:7">
      <c r="A39" s="14" t="s">
        <v>135</v>
      </c>
      <c r="B39" s="14" t="s">
        <v>136</v>
      </c>
      <c r="C39" s="14" t="s">
        <v>49</v>
      </c>
      <c r="D39" s="14" t="s">
        <v>49</v>
      </c>
      <c r="E39" s="14">
        <v>45.011200000000002</v>
      </c>
      <c r="F39" s="14">
        <v>38876054005.102997</v>
      </c>
      <c r="G39" s="14" t="s">
        <v>329</v>
      </c>
    </row>
    <row r="40" spans="1:7">
      <c r="A40" s="14" t="s">
        <v>282</v>
      </c>
      <c r="B40" s="14" t="s">
        <v>283</v>
      </c>
      <c r="C40" s="14" t="s">
        <v>49</v>
      </c>
      <c r="D40" s="14" t="s">
        <v>49</v>
      </c>
      <c r="E40" s="14">
        <v>20.71</v>
      </c>
      <c r="F40" s="14">
        <v>46232260608</v>
      </c>
      <c r="G40" s="14" t="s">
        <v>330</v>
      </c>
    </row>
    <row r="41" spans="1:7">
      <c r="A41" s="14" t="s">
        <v>217</v>
      </c>
      <c r="B41" s="14" t="s">
        <v>218</v>
      </c>
      <c r="C41" s="14" t="s">
        <v>49</v>
      </c>
      <c r="D41" s="14" t="s">
        <v>49</v>
      </c>
      <c r="E41" s="14">
        <v>47.329700000000003</v>
      </c>
      <c r="F41" s="14">
        <v>6050407845.06775</v>
      </c>
      <c r="G41" s="14" t="s">
        <v>341</v>
      </c>
    </row>
    <row r="42" spans="1:7">
      <c r="A42" s="14" t="s">
        <v>177</v>
      </c>
      <c r="B42" s="14" t="s">
        <v>178</v>
      </c>
      <c r="C42" s="14" t="s">
        <v>49</v>
      </c>
      <c r="D42" s="14" t="s">
        <v>49</v>
      </c>
      <c r="E42" s="14">
        <v>1.3567</v>
      </c>
      <c r="F42" s="14">
        <v>6662098981.0149498</v>
      </c>
      <c r="G42" s="14" t="s">
        <v>314</v>
      </c>
    </row>
    <row r="43" spans="1:7">
      <c r="A43" s="14" t="s">
        <v>195</v>
      </c>
      <c r="B43" s="14" t="s">
        <v>196</v>
      </c>
      <c r="C43" s="14" t="s">
        <v>49</v>
      </c>
      <c r="D43" s="14" t="s">
        <v>49</v>
      </c>
      <c r="E43" s="14">
        <v>4.1280999999999999</v>
      </c>
      <c r="F43" s="14">
        <v>14450970021.3116</v>
      </c>
      <c r="G43" s="14" t="s">
        <v>334</v>
      </c>
    </row>
    <row r="44" spans="1:7">
      <c r="A44" s="14" t="s">
        <v>179</v>
      </c>
      <c r="B44" s="14" t="s">
        <v>180</v>
      </c>
      <c r="C44" s="14" t="s">
        <v>49</v>
      </c>
      <c r="D44" s="14" t="s">
        <v>49</v>
      </c>
      <c r="E44" s="14">
        <v>0.5262</v>
      </c>
      <c r="F44" s="14">
        <v>1426809092.65768</v>
      </c>
      <c r="G44" s="14" t="s">
        <v>314</v>
      </c>
    </row>
    <row r="45" spans="1:7">
      <c r="A45" s="14" t="s">
        <v>139</v>
      </c>
      <c r="B45" s="14" t="s">
        <v>140</v>
      </c>
      <c r="C45" s="14" t="s">
        <v>49</v>
      </c>
      <c r="D45" s="14" t="s">
        <v>49</v>
      </c>
      <c r="E45" s="14">
        <v>42.007399999999997</v>
      </c>
      <c r="F45" s="14">
        <v>39445714697.044899</v>
      </c>
      <c r="G45" s="14" t="s">
        <v>329</v>
      </c>
    </row>
    <row r="46" spans="1:7">
      <c r="A46" s="14" t="s">
        <v>143</v>
      </c>
      <c r="B46" s="14" t="s">
        <v>144</v>
      </c>
      <c r="C46" s="14" t="s">
        <v>49</v>
      </c>
      <c r="D46" s="14" t="s">
        <v>49</v>
      </c>
      <c r="E46" s="14">
        <v>22.037199999999999</v>
      </c>
      <c r="F46" s="14">
        <v>8085489944.0998497</v>
      </c>
      <c r="G46" s="14" t="s">
        <v>329</v>
      </c>
    </row>
    <row r="47" spans="1:7">
      <c r="A47" s="14" t="s">
        <v>181</v>
      </c>
      <c r="B47" s="14" t="s">
        <v>182</v>
      </c>
      <c r="C47" s="14" t="s">
        <v>49</v>
      </c>
      <c r="D47" s="14" t="s">
        <v>49</v>
      </c>
      <c r="E47" s="14">
        <v>2.8115000000000001</v>
      </c>
      <c r="F47" s="14">
        <v>6252786873.3010302</v>
      </c>
      <c r="G47" s="14" t="s">
        <v>314</v>
      </c>
    </row>
    <row r="48" spans="1:7">
      <c r="A48" s="14" t="s">
        <v>145</v>
      </c>
      <c r="B48" s="14" t="s">
        <v>146</v>
      </c>
      <c r="C48" s="14" t="s">
        <v>49</v>
      </c>
      <c r="D48" s="14" t="s">
        <v>49</v>
      </c>
      <c r="E48" s="14">
        <v>9.7471999999999994</v>
      </c>
      <c r="F48" s="14">
        <v>3057006641.7065701</v>
      </c>
      <c r="G48" s="14" t="s">
        <v>329</v>
      </c>
    </row>
    <row r="49" spans="1:7">
      <c r="A49" s="14" t="s">
        <v>296</v>
      </c>
      <c r="B49" s="14" t="s">
        <v>297</v>
      </c>
      <c r="C49" s="14" t="s">
        <v>49</v>
      </c>
      <c r="D49" s="14" t="s">
        <v>49</v>
      </c>
      <c r="E49" s="14">
        <v>25.9</v>
      </c>
      <c r="F49" s="14">
        <v>2120100480</v>
      </c>
      <c r="G49" s="14" t="s">
        <v>330</v>
      </c>
    </row>
    <row r="50" spans="1:7">
      <c r="A50" s="14" t="s">
        <v>205</v>
      </c>
      <c r="B50" s="14" t="s">
        <v>206</v>
      </c>
      <c r="C50" s="14" t="s">
        <v>49</v>
      </c>
      <c r="D50" s="14" t="s">
        <v>49</v>
      </c>
      <c r="E50" s="14">
        <v>4.5345000000000004</v>
      </c>
      <c r="F50" s="14">
        <v>10442221618.9856</v>
      </c>
      <c r="G50" s="14" t="s">
        <v>315</v>
      </c>
    </row>
    <row r="51" spans="1:7">
      <c r="A51" s="14" t="s">
        <v>157</v>
      </c>
      <c r="B51" s="14" t="s">
        <v>158</v>
      </c>
      <c r="C51" s="14" t="s">
        <v>49</v>
      </c>
      <c r="D51" s="14" t="s">
        <v>49</v>
      </c>
      <c r="E51" s="14">
        <v>4.1140999999999996</v>
      </c>
      <c r="F51" s="14">
        <v>4453581124.8808603</v>
      </c>
      <c r="G51" s="14" t="s">
        <v>313</v>
      </c>
    </row>
    <row r="52" spans="1:7">
      <c r="A52" s="14" t="s">
        <v>298</v>
      </c>
      <c r="B52" s="14" t="s">
        <v>299</v>
      </c>
      <c r="C52" s="14" t="s">
        <v>49</v>
      </c>
      <c r="D52" s="14" t="s">
        <v>49</v>
      </c>
      <c r="E52" s="14">
        <v>63.96</v>
      </c>
      <c r="F52" s="14">
        <v>3341607680</v>
      </c>
      <c r="G52" s="14" t="s">
        <v>330</v>
      </c>
    </row>
    <row r="53" spans="1:7">
      <c r="A53" s="14" t="s">
        <v>302</v>
      </c>
      <c r="B53" s="14" t="s">
        <v>303</v>
      </c>
      <c r="C53" s="14" t="s">
        <v>49</v>
      </c>
      <c r="D53" s="14" t="s">
        <v>49</v>
      </c>
      <c r="E53" s="14">
        <v>22.14</v>
      </c>
      <c r="F53" s="14">
        <v>7145414144</v>
      </c>
      <c r="G53" s="14" t="s">
        <v>330</v>
      </c>
    </row>
    <row r="54" spans="1:7">
      <c r="A54" s="14" t="s">
        <v>147</v>
      </c>
      <c r="B54" s="14" t="s">
        <v>148</v>
      </c>
      <c r="C54" s="14" t="s">
        <v>49</v>
      </c>
      <c r="D54" s="14" t="s">
        <v>49</v>
      </c>
      <c r="E54" s="14">
        <v>30.081800000000001</v>
      </c>
      <c r="F54" s="14">
        <v>5493948953.5156898</v>
      </c>
      <c r="G54" s="14" t="s">
        <v>329</v>
      </c>
    </row>
    <row r="56" spans="1:7">
      <c r="E56" s="14" t="s">
        <v>116</v>
      </c>
      <c r="F56" s="38">
        <f>+SUM(F17:F54)</f>
        <v>406425920992.2478</v>
      </c>
    </row>
    <row r="57" spans="1:7">
      <c r="E57" s="14" t="s">
        <v>312</v>
      </c>
      <c r="F57" s="14">
        <f>+COUNT(F17:F54)</f>
        <v>38</v>
      </c>
    </row>
    <row r="59" spans="1:7">
      <c r="A59" s="26" t="s">
        <v>67</v>
      </c>
      <c r="B59" s="26" t="s">
        <v>43</v>
      </c>
      <c r="C59" s="26" t="s">
        <v>44</v>
      </c>
      <c r="D59" s="26" t="s">
        <v>45</v>
      </c>
      <c r="E59" s="26" t="s">
        <v>46</v>
      </c>
      <c r="F59" s="26" t="s">
        <v>47</v>
      </c>
      <c r="G59" s="26" t="s">
        <v>115</v>
      </c>
    </row>
    <row r="60" spans="1:7">
      <c r="A60" s="14" t="s">
        <v>358</v>
      </c>
    </row>
    <row r="61" spans="1:7">
      <c r="A61" s="14" t="s">
        <v>219</v>
      </c>
      <c r="B61" s="14" t="s">
        <v>220</v>
      </c>
      <c r="C61" s="14" t="s">
        <v>49</v>
      </c>
      <c r="D61" s="14" t="s">
        <v>49</v>
      </c>
      <c r="E61" s="14">
        <v>4.3388</v>
      </c>
      <c r="F61" s="14">
        <v>5166983982.6715097</v>
      </c>
      <c r="G61" s="14" t="s">
        <v>327</v>
      </c>
    </row>
    <row r="62" spans="1:7">
      <c r="A62" s="14" t="s">
        <v>149</v>
      </c>
      <c r="B62" s="14" t="s">
        <v>150</v>
      </c>
      <c r="C62" s="14" t="s">
        <v>49</v>
      </c>
      <c r="D62" s="14" t="s">
        <v>49</v>
      </c>
      <c r="E62" s="14">
        <v>1.0111000000000001</v>
      </c>
      <c r="F62" s="14">
        <v>4378980560.28333</v>
      </c>
      <c r="G62" s="14" t="s">
        <v>313</v>
      </c>
    </row>
    <row r="63" spans="1:7">
      <c r="A63" s="14" t="s">
        <v>326</v>
      </c>
      <c r="B63" s="14" t="s">
        <v>119</v>
      </c>
      <c r="C63" s="14" t="s">
        <v>49</v>
      </c>
      <c r="D63" s="14" t="s">
        <v>49</v>
      </c>
      <c r="E63" s="14">
        <v>4.3230000000000004</v>
      </c>
      <c r="F63" s="14">
        <v>9725956572.3927593</v>
      </c>
      <c r="G63" s="14" t="s">
        <v>316</v>
      </c>
    </row>
    <row r="64" spans="1:7">
      <c r="A64" s="14" t="s">
        <v>211</v>
      </c>
      <c r="B64" s="14" t="s">
        <v>212</v>
      </c>
      <c r="C64" s="14" t="s">
        <v>49</v>
      </c>
      <c r="D64" s="14" t="s">
        <v>49</v>
      </c>
      <c r="E64" s="14">
        <v>143.88999999999999</v>
      </c>
      <c r="F64" s="14">
        <v>4316700160</v>
      </c>
      <c r="G64" s="14" t="s">
        <v>331</v>
      </c>
    </row>
    <row r="65" spans="1:7">
      <c r="A65" s="14" t="s">
        <v>215</v>
      </c>
      <c r="B65" s="14" t="s">
        <v>216</v>
      </c>
      <c r="C65" s="14" t="s">
        <v>49</v>
      </c>
      <c r="D65" s="14" t="s">
        <v>49</v>
      </c>
      <c r="E65" s="14">
        <v>82.52</v>
      </c>
      <c r="F65" s="14">
        <v>4629371904</v>
      </c>
      <c r="G65" s="14" t="s">
        <v>331</v>
      </c>
    </row>
    <row r="66" spans="1:7">
      <c r="A66" s="14" t="s">
        <v>322</v>
      </c>
      <c r="B66" s="14" t="s">
        <v>229</v>
      </c>
      <c r="C66" s="14" t="s">
        <v>49</v>
      </c>
      <c r="D66" s="14" t="s">
        <v>49</v>
      </c>
      <c r="E66" s="14">
        <v>185.70590000000001</v>
      </c>
      <c r="F66" s="14">
        <v>5701518029.8752098</v>
      </c>
      <c r="G66" s="14" t="s">
        <v>321</v>
      </c>
    </row>
    <row r="67" spans="1:7">
      <c r="A67" s="14" t="s">
        <v>161</v>
      </c>
      <c r="B67" s="14" t="s">
        <v>162</v>
      </c>
      <c r="C67" s="14" t="s">
        <v>49</v>
      </c>
      <c r="D67" s="14" t="s">
        <v>49</v>
      </c>
      <c r="E67" s="14">
        <v>107.3685</v>
      </c>
      <c r="F67" s="14">
        <v>10625248178.3862</v>
      </c>
      <c r="G67" s="14" t="s">
        <v>338</v>
      </c>
    </row>
    <row r="68" spans="1:7">
      <c r="A68" s="14" t="s">
        <v>357</v>
      </c>
      <c r="B68" s="14" t="s">
        <v>214</v>
      </c>
      <c r="C68" s="14" t="s">
        <v>49</v>
      </c>
      <c r="D68" s="14" t="s">
        <v>49</v>
      </c>
      <c r="E68" s="14">
        <v>34.54</v>
      </c>
      <c r="F68" s="14">
        <v>1704129664</v>
      </c>
      <c r="G68" s="14" t="s">
        <v>331</v>
      </c>
    </row>
    <row r="69" spans="1:7">
      <c r="A69" s="14" t="s">
        <v>343</v>
      </c>
      <c r="B69" s="14" t="s">
        <v>224</v>
      </c>
      <c r="C69" s="14" t="s">
        <v>49</v>
      </c>
      <c r="D69" s="14" t="s">
        <v>49</v>
      </c>
      <c r="E69" s="14">
        <v>136.74180000000001</v>
      </c>
      <c r="F69" s="14">
        <v>20511277263.863499</v>
      </c>
      <c r="G69" s="14" t="s">
        <v>335</v>
      </c>
    </row>
    <row r="70" spans="1:7">
      <c r="A70" s="14" t="s">
        <v>203</v>
      </c>
      <c r="B70" s="14" t="s">
        <v>204</v>
      </c>
      <c r="C70" s="14" t="s">
        <v>49</v>
      </c>
      <c r="D70" s="14" t="s">
        <v>49</v>
      </c>
      <c r="E70" s="14">
        <v>36.2226</v>
      </c>
      <c r="F70" s="14">
        <v>3059955739.25665</v>
      </c>
      <c r="G70" s="14" t="s">
        <v>315</v>
      </c>
    </row>
    <row r="71" spans="1:7">
      <c r="A71" s="14" t="s">
        <v>165</v>
      </c>
      <c r="B71" s="14" t="s">
        <v>166</v>
      </c>
      <c r="C71" s="14" t="s">
        <v>49</v>
      </c>
      <c r="D71" s="14" t="s">
        <v>49</v>
      </c>
      <c r="E71" s="14">
        <v>59.2425</v>
      </c>
      <c r="F71" s="14">
        <v>5476045688.6489897</v>
      </c>
      <c r="G71" s="14" t="s">
        <v>339</v>
      </c>
    </row>
    <row r="73" spans="1:7">
      <c r="E73" s="14" t="s">
        <v>116</v>
      </c>
      <c r="F73" s="38">
        <f>+SUM(F61:F71)</f>
        <v>75296167743.378143</v>
      </c>
    </row>
    <row r="74" spans="1:7">
      <c r="E74" s="14" t="s">
        <v>312</v>
      </c>
      <c r="F74" s="14">
        <f>+COUNT(F61:F71)</f>
        <v>11</v>
      </c>
    </row>
    <row r="76" spans="1:7">
      <c r="A76" s="26" t="s">
        <v>67</v>
      </c>
      <c r="B76" s="26" t="s">
        <v>43</v>
      </c>
      <c r="C76" s="26" t="s">
        <v>44</v>
      </c>
      <c r="D76" s="26" t="s">
        <v>45</v>
      </c>
      <c r="E76" s="26" t="s">
        <v>46</v>
      </c>
      <c r="F76" s="26" t="s">
        <v>47</v>
      </c>
      <c r="G76" s="26" t="s">
        <v>115</v>
      </c>
    </row>
    <row r="77" spans="1:7">
      <c r="A77" s="14" t="s">
        <v>356</v>
      </c>
    </row>
    <row r="78" spans="1:7">
      <c r="A78" s="14" t="s">
        <v>127</v>
      </c>
      <c r="B78" s="14" t="s">
        <v>128</v>
      </c>
      <c r="C78" s="14" t="s">
        <v>49</v>
      </c>
      <c r="D78" s="14" t="s">
        <v>49</v>
      </c>
      <c r="E78" s="14">
        <v>8.68</v>
      </c>
      <c r="F78" s="14">
        <v>5932866048</v>
      </c>
      <c r="G78" s="14" t="s">
        <v>332</v>
      </c>
    </row>
    <row r="79" spans="1:7">
      <c r="A79" s="14" t="s">
        <v>173</v>
      </c>
      <c r="B79" s="14" t="s">
        <v>174</v>
      </c>
      <c r="C79" s="14" t="s">
        <v>49</v>
      </c>
      <c r="D79" s="14" t="s">
        <v>49</v>
      </c>
      <c r="E79" s="14">
        <v>0.66549999999999998</v>
      </c>
      <c r="F79" s="14">
        <v>5814463258.8268404</v>
      </c>
      <c r="G79" s="14" t="s">
        <v>314</v>
      </c>
    </row>
    <row r="80" spans="1:7">
      <c r="A80" s="14" t="s">
        <v>276</v>
      </c>
      <c r="B80" s="14" t="s">
        <v>277</v>
      </c>
      <c r="C80" s="14" t="s">
        <v>49</v>
      </c>
      <c r="D80" s="14" t="s">
        <v>49</v>
      </c>
      <c r="E80" s="14">
        <v>72.36</v>
      </c>
      <c r="F80" s="14">
        <v>12880323584</v>
      </c>
      <c r="G80" s="14" t="s">
        <v>330</v>
      </c>
    </row>
    <row r="81" spans="1:7">
      <c r="A81" s="14" t="s">
        <v>232</v>
      </c>
      <c r="B81" s="14" t="s">
        <v>233</v>
      </c>
      <c r="C81" s="14" t="s">
        <v>49</v>
      </c>
      <c r="D81" s="14" t="s">
        <v>49</v>
      </c>
      <c r="E81" s="14">
        <v>11.1228</v>
      </c>
      <c r="F81" s="14">
        <v>7584539503.3695097</v>
      </c>
      <c r="G81" s="14" t="s">
        <v>337</v>
      </c>
    </row>
    <row r="82" spans="1:7">
      <c r="A82" s="14" t="s">
        <v>284</v>
      </c>
      <c r="B82" s="14" t="s">
        <v>285</v>
      </c>
      <c r="C82" s="14" t="s">
        <v>49</v>
      </c>
      <c r="D82" s="14" t="s">
        <v>49</v>
      </c>
      <c r="E82" s="14">
        <v>33.9</v>
      </c>
      <c r="F82" s="14">
        <v>1626122496</v>
      </c>
      <c r="G82" s="14" t="s">
        <v>330</v>
      </c>
    </row>
    <row r="83" spans="1:7">
      <c r="A83" s="14" t="s">
        <v>288</v>
      </c>
      <c r="B83" s="14" t="s">
        <v>289</v>
      </c>
      <c r="C83" s="14" t="s">
        <v>49</v>
      </c>
      <c r="D83" s="14" t="s">
        <v>49</v>
      </c>
      <c r="E83" s="14">
        <v>45.56</v>
      </c>
      <c r="F83" s="14">
        <v>1666117632</v>
      </c>
      <c r="G83" s="14" t="s">
        <v>330</v>
      </c>
    </row>
    <row r="84" spans="1:7">
      <c r="A84" s="14" t="s">
        <v>290</v>
      </c>
      <c r="B84" s="14" t="s">
        <v>291</v>
      </c>
      <c r="C84" s="14" t="s">
        <v>49</v>
      </c>
      <c r="D84" s="14" t="s">
        <v>49</v>
      </c>
      <c r="E84" s="14">
        <v>55.98</v>
      </c>
      <c r="F84" s="14">
        <v>1145139456</v>
      </c>
      <c r="G84" s="14" t="s">
        <v>330</v>
      </c>
    </row>
    <row r="85" spans="1:7">
      <c r="A85" s="14" t="s">
        <v>234</v>
      </c>
      <c r="B85" s="14" t="s">
        <v>235</v>
      </c>
      <c r="C85" s="14" t="s">
        <v>49</v>
      </c>
      <c r="D85" s="14" t="s">
        <v>49</v>
      </c>
      <c r="E85" s="14">
        <v>10.209300000000001</v>
      </c>
      <c r="F85" s="14">
        <v>4225201374.1464801</v>
      </c>
      <c r="G85" s="14" t="s">
        <v>337</v>
      </c>
    </row>
    <row r="86" spans="1:7">
      <c r="A86" s="14" t="s">
        <v>294</v>
      </c>
      <c r="B86" s="14" t="s">
        <v>295</v>
      </c>
      <c r="C86" s="14" t="s">
        <v>49</v>
      </c>
      <c r="D86" s="14" t="s">
        <v>49</v>
      </c>
      <c r="E86" s="14">
        <v>30.04</v>
      </c>
      <c r="F86" s="14">
        <v>5327842304</v>
      </c>
      <c r="G86" s="14" t="s">
        <v>330</v>
      </c>
    </row>
    <row r="87" spans="1:7">
      <c r="A87" s="14" t="s">
        <v>236</v>
      </c>
      <c r="B87" s="14" t="s">
        <v>237</v>
      </c>
      <c r="C87" s="14" t="s">
        <v>49</v>
      </c>
      <c r="D87" s="14" t="s">
        <v>49</v>
      </c>
      <c r="E87" s="14">
        <v>27.430599999999998</v>
      </c>
      <c r="F87" s="14">
        <v>6465551049.7462196</v>
      </c>
      <c r="G87" s="14" t="s">
        <v>337</v>
      </c>
    </row>
    <row r="89" spans="1:7">
      <c r="E89" s="14" t="s">
        <v>116</v>
      </c>
      <c r="F89" s="38">
        <f>+SUM(F78:F87)</f>
        <v>52668166706.08905</v>
      </c>
    </row>
    <row r="90" spans="1:7">
      <c r="E90" s="14" t="s">
        <v>312</v>
      </c>
      <c r="F90" s="14">
        <f>+COUNT(F78:F87)</f>
        <v>10</v>
      </c>
    </row>
    <row r="92" spans="1:7">
      <c r="A92" s="26" t="s">
        <v>67</v>
      </c>
      <c r="B92" s="26" t="s">
        <v>43</v>
      </c>
      <c r="C92" s="26" t="s">
        <v>44</v>
      </c>
      <c r="D92" s="26" t="s">
        <v>45</v>
      </c>
      <c r="E92" s="26" t="s">
        <v>46</v>
      </c>
      <c r="F92" s="26" t="s">
        <v>47</v>
      </c>
      <c r="G92" s="26" t="s">
        <v>115</v>
      </c>
    </row>
    <row r="93" spans="1:7">
      <c r="A93" s="14" t="s">
        <v>355</v>
      </c>
    </row>
    <row r="94" spans="1:7">
      <c r="A94" s="14" t="s">
        <v>175</v>
      </c>
      <c r="B94" s="14" t="s">
        <v>176</v>
      </c>
      <c r="C94" s="14" t="s">
        <v>49</v>
      </c>
      <c r="D94" s="14" t="s">
        <v>49</v>
      </c>
      <c r="E94" s="14">
        <v>2.4813000000000001</v>
      </c>
      <c r="F94" s="14">
        <v>6515037793.8061504</v>
      </c>
      <c r="G94" s="14" t="s">
        <v>314</v>
      </c>
    </row>
    <row r="95" spans="1:7">
      <c r="A95" s="14" t="s">
        <v>221</v>
      </c>
      <c r="B95" s="14" t="s">
        <v>222</v>
      </c>
      <c r="C95" s="14" t="s">
        <v>49</v>
      </c>
      <c r="D95" s="14" t="s">
        <v>49</v>
      </c>
      <c r="E95" s="14">
        <v>0.435</v>
      </c>
      <c r="F95" s="14">
        <v>3789328640</v>
      </c>
      <c r="G95" s="14" t="s">
        <v>319</v>
      </c>
    </row>
    <row r="96" spans="1:7">
      <c r="A96" s="14" t="s">
        <v>141</v>
      </c>
      <c r="B96" s="14" t="s">
        <v>142</v>
      </c>
      <c r="C96" s="14" t="s">
        <v>49</v>
      </c>
      <c r="D96" s="14" t="s">
        <v>49</v>
      </c>
      <c r="E96" s="14">
        <v>19.249099999999999</v>
      </c>
      <c r="F96" s="14">
        <v>1429243750.45102</v>
      </c>
      <c r="G96" s="14" t="s">
        <v>329</v>
      </c>
    </row>
    <row r="98" spans="1:7">
      <c r="E98" s="14" t="s">
        <v>116</v>
      </c>
      <c r="F98" s="38">
        <f>+SUM(F94:F96)</f>
        <v>11733610184.25717</v>
      </c>
    </row>
    <row r="99" spans="1:7">
      <c r="E99" s="14" t="s">
        <v>312</v>
      </c>
      <c r="F99" s="14">
        <f>+COUNT(F94:F96)</f>
        <v>3</v>
      </c>
    </row>
    <row r="101" spans="1:7">
      <c r="A101" s="26" t="s">
        <v>67</v>
      </c>
      <c r="B101" s="26" t="s">
        <v>43</v>
      </c>
      <c r="C101" s="26" t="s">
        <v>44</v>
      </c>
      <c r="D101" s="26" t="s">
        <v>45</v>
      </c>
      <c r="E101" s="26" t="s">
        <v>46</v>
      </c>
      <c r="F101" s="26" t="s">
        <v>47</v>
      </c>
      <c r="G101" s="26" t="s">
        <v>115</v>
      </c>
    </row>
    <row r="102" spans="1:7">
      <c r="A102" s="14" t="s">
        <v>354</v>
      </c>
    </row>
    <row r="103" spans="1:7">
      <c r="A103" s="14" t="s">
        <v>151</v>
      </c>
      <c r="B103" s="14" t="s">
        <v>152</v>
      </c>
      <c r="C103" s="14" t="s">
        <v>49</v>
      </c>
      <c r="D103" s="14" t="s">
        <v>49</v>
      </c>
      <c r="E103" s="14">
        <v>0.95440000000000003</v>
      </c>
      <c r="F103" s="14">
        <v>4144888022.2955899</v>
      </c>
      <c r="G103" s="14" t="s">
        <v>313</v>
      </c>
    </row>
    <row r="104" spans="1:7">
      <c r="A104" s="14" t="s">
        <v>187</v>
      </c>
      <c r="B104" s="14" t="s">
        <v>188</v>
      </c>
      <c r="C104" s="14" t="s">
        <v>49</v>
      </c>
      <c r="D104" s="14" t="s">
        <v>49</v>
      </c>
      <c r="E104" s="14">
        <v>8.5431000000000008</v>
      </c>
      <c r="F104" s="14">
        <v>1943856209.30878</v>
      </c>
      <c r="G104" s="14" t="s">
        <v>334</v>
      </c>
    </row>
    <row r="105" spans="1:7">
      <c r="A105" s="14" t="s">
        <v>153</v>
      </c>
      <c r="B105" s="14" t="s">
        <v>154</v>
      </c>
      <c r="C105" s="14" t="s">
        <v>49</v>
      </c>
      <c r="D105" s="14" t="s">
        <v>49</v>
      </c>
      <c r="E105" s="14">
        <v>1.2639</v>
      </c>
      <c r="F105" s="14">
        <v>6245621686.1616201</v>
      </c>
      <c r="G105" s="14" t="s">
        <v>313</v>
      </c>
    </row>
    <row r="106" spans="1:7">
      <c r="A106" s="14" t="s">
        <v>323</v>
      </c>
      <c r="B106" s="14" t="s">
        <v>124</v>
      </c>
      <c r="C106" s="14" t="s">
        <v>49</v>
      </c>
      <c r="D106" s="14" t="s">
        <v>49</v>
      </c>
      <c r="E106" s="14">
        <v>3.6446000000000001</v>
      </c>
      <c r="F106" s="14">
        <v>1932104327.46071</v>
      </c>
      <c r="G106" s="14" t="s">
        <v>316</v>
      </c>
    </row>
    <row r="107" spans="1:7">
      <c r="A107" s="14" t="s">
        <v>155</v>
      </c>
      <c r="B107" s="14" t="s">
        <v>156</v>
      </c>
      <c r="C107" s="14" t="s">
        <v>49</v>
      </c>
      <c r="D107" s="14" t="s">
        <v>49</v>
      </c>
      <c r="E107" s="14">
        <v>0.85509999999999997</v>
      </c>
      <c r="F107" s="14">
        <v>2394674848.4289598</v>
      </c>
      <c r="G107" s="14" t="s">
        <v>313</v>
      </c>
    </row>
    <row r="108" spans="1:7">
      <c r="A108" s="14" t="s">
        <v>318</v>
      </c>
      <c r="B108" s="14" t="s">
        <v>118</v>
      </c>
      <c r="C108" s="14" t="s">
        <v>49</v>
      </c>
      <c r="D108" s="14" t="s">
        <v>49</v>
      </c>
      <c r="E108" s="14">
        <v>7.4478999999999997</v>
      </c>
      <c r="F108" s="14">
        <v>15214258428.030399</v>
      </c>
      <c r="G108" s="14" t="s">
        <v>316</v>
      </c>
    </row>
    <row r="109" spans="1:7">
      <c r="A109" s="14" t="s">
        <v>197</v>
      </c>
      <c r="B109" s="14" t="s">
        <v>198</v>
      </c>
      <c r="C109" s="14" t="s">
        <v>49</v>
      </c>
      <c r="D109" s="14" t="s">
        <v>49</v>
      </c>
      <c r="E109" s="14">
        <v>23.477599999999999</v>
      </c>
      <c r="F109" s="14">
        <v>19387444006.4282</v>
      </c>
      <c r="G109" s="14" t="s">
        <v>334</v>
      </c>
    </row>
    <row r="110" spans="1:7">
      <c r="A110" s="14" t="s">
        <v>163</v>
      </c>
      <c r="B110" s="14" t="s">
        <v>164</v>
      </c>
      <c r="C110" s="14" t="s">
        <v>49</v>
      </c>
      <c r="D110" s="14" t="s">
        <v>49</v>
      </c>
      <c r="E110" s="14">
        <v>9.5282</v>
      </c>
      <c r="F110" s="14">
        <v>5240488413.1008902</v>
      </c>
      <c r="G110" s="14" t="s">
        <v>338</v>
      </c>
    </row>
    <row r="111" spans="1:7">
      <c r="A111" s="14" t="s">
        <v>336</v>
      </c>
      <c r="B111" s="14" t="s">
        <v>223</v>
      </c>
      <c r="C111" s="14" t="s">
        <v>49</v>
      </c>
      <c r="D111" s="14" t="s">
        <v>49</v>
      </c>
      <c r="E111" s="14">
        <v>14.0222</v>
      </c>
      <c r="F111" s="14">
        <v>13887361012.509199</v>
      </c>
      <c r="G111" s="14" t="s">
        <v>335</v>
      </c>
    </row>
    <row r="112" spans="1:7">
      <c r="A112" s="14" t="s">
        <v>183</v>
      </c>
      <c r="B112" s="14" t="s">
        <v>184</v>
      </c>
      <c r="C112" s="14" t="s">
        <v>49</v>
      </c>
      <c r="D112" s="14" t="s">
        <v>49</v>
      </c>
      <c r="E112" s="14">
        <v>0.52490000000000003</v>
      </c>
      <c r="F112" s="14">
        <v>1617570446.67503</v>
      </c>
      <c r="G112" s="14" t="s">
        <v>314</v>
      </c>
    </row>
    <row r="114" spans="1:7">
      <c r="E114" s="14" t="s">
        <v>116</v>
      </c>
      <c r="F114" s="38">
        <f>+SUM(F103:F112)</f>
        <v>72008267400.399384</v>
      </c>
    </row>
    <row r="115" spans="1:7">
      <c r="E115" s="14" t="s">
        <v>312</v>
      </c>
      <c r="F115" s="14">
        <f>+COUNT(F103:F112)</f>
        <v>10</v>
      </c>
    </row>
    <row r="117" spans="1:7">
      <c r="A117" s="26" t="s">
        <v>67</v>
      </c>
      <c r="B117" s="26" t="s">
        <v>43</v>
      </c>
      <c r="C117" s="26" t="s">
        <v>44</v>
      </c>
      <c r="D117" s="26" t="s">
        <v>45</v>
      </c>
      <c r="E117" s="26" t="s">
        <v>46</v>
      </c>
      <c r="F117" s="26" t="s">
        <v>47</v>
      </c>
      <c r="G117" s="26" t="s">
        <v>115</v>
      </c>
    </row>
    <row r="118" spans="1:7">
      <c r="A118" s="14" t="s">
        <v>353</v>
      </c>
    </row>
    <row r="119" spans="1:7">
      <c r="A119" s="14" t="s">
        <v>240</v>
      </c>
      <c r="B119" s="14" t="s">
        <v>241</v>
      </c>
      <c r="C119" s="14" t="s">
        <v>49</v>
      </c>
      <c r="D119" s="14" t="s">
        <v>49</v>
      </c>
      <c r="E119" s="14">
        <v>60.77</v>
      </c>
      <c r="F119" s="14">
        <v>30729365504</v>
      </c>
      <c r="G119" s="14" t="s">
        <v>330</v>
      </c>
    </row>
    <row r="120" spans="1:7">
      <c r="A120" s="14" t="s">
        <v>248</v>
      </c>
      <c r="B120" s="14" t="s">
        <v>249</v>
      </c>
      <c r="C120" s="14" t="s">
        <v>49</v>
      </c>
      <c r="D120" s="14" t="s">
        <v>49</v>
      </c>
      <c r="E120" s="14">
        <v>71.989999999999995</v>
      </c>
      <c r="F120" s="14">
        <v>23455148032</v>
      </c>
      <c r="G120" s="14" t="s">
        <v>330</v>
      </c>
    </row>
    <row r="121" spans="1:7">
      <c r="A121" s="14" t="s">
        <v>230</v>
      </c>
      <c r="B121" s="14" t="s">
        <v>231</v>
      </c>
      <c r="C121" s="14" t="s">
        <v>49</v>
      </c>
      <c r="D121" s="14" t="s">
        <v>49</v>
      </c>
      <c r="E121" s="14">
        <v>11.7475</v>
      </c>
      <c r="F121" s="14">
        <v>44117042534.369598</v>
      </c>
      <c r="G121" s="14" t="s">
        <v>337</v>
      </c>
    </row>
    <row r="122" spans="1:7">
      <c r="A122" s="14" t="s">
        <v>131</v>
      </c>
      <c r="B122" s="14" t="s">
        <v>132</v>
      </c>
      <c r="C122" s="14" t="s">
        <v>49</v>
      </c>
      <c r="D122" s="14" t="s">
        <v>49</v>
      </c>
      <c r="E122" s="14">
        <v>17.531600000000001</v>
      </c>
      <c r="F122" s="14">
        <v>10431300256.900299</v>
      </c>
      <c r="G122" s="14" t="s">
        <v>329</v>
      </c>
    </row>
    <row r="123" spans="1:7">
      <c r="A123" s="14" t="s">
        <v>262</v>
      </c>
      <c r="B123" s="14" t="s">
        <v>263</v>
      </c>
      <c r="C123" s="14" t="s">
        <v>49</v>
      </c>
      <c r="D123" s="14" t="s">
        <v>49</v>
      </c>
      <c r="E123" s="14">
        <v>17.91</v>
      </c>
      <c r="F123" s="14">
        <v>783907840</v>
      </c>
      <c r="G123" s="14" t="s">
        <v>330</v>
      </c>
    </row>
    <row r="124" spans="1:7">
      <c r="A124" s="14" t="s">
        <v>272</v>
      </c>
      <c r="B124" s="14" t="s">
        <v>273</v>
      </c>
      <c r="C124" s="14" t="s">
        <v>49</v>
      </c>
      <c r="D124" s="14" t="s">
        <v>49</v>
      </c>
      <c r="E124" s="14">
        <v>73.680000000000007</v>
      </c>
      <c r="F124" s="14">
        <v>22452324352</v>
      </c>
      <c r="G124" s="14" t="s">
        <v>330</v>
      </c>
    </row>
    <row r="125" spans="1:7">
      <c r="A125" s="14" t="s">
        <v>274</v>
      </c>
      <c r="B125" s="14" t="s">
        <v>275</v>
      </c>
      <c r="C125" s="14" t="s">
        <v>49</v>
      </c>
      <c r="D125" s="14" t="s">
        <v>49</v>
      </c>
      <c r="E125" s="14">
        <v>56.87</v>
      </c>
      <c r="F125" s="14">
        <v>2748392960</v>
      </c>
      <c r="G125" s="14" t="s">
        <v>330</v>
      </c>
    </row>
    <row r="126" spans="1:7">
      <c r="A126" s="14" t="s">
        <v>320</v>
      </c>
      <c r="B126" s="14" t="s">
        <v>121</v>
      </c>
      <c r="C126" s="14" t="s">
        <v>49</v>
      </c>
      <c r="D126" s="14" t="s">
        <v>49</v>
      </c>
      <c r="E126" s="14">
        <v>1.1403000000000001</v>
      </c>
      <c r="F126" s="14">
        <v>4108627225.46347</v>
      </c>
      <c r="G126" s="14" t="s">
        <v>316</v>
      </c>
    </row>
    <row r="127" spans="1:7">
      <c r="A127" s="14" t="s">
        <v>345</v>
      </c>
      <c r="B127" s="14" t="s">
        <v>225</v>
      </c>
      <c r="C127" s="14" t="s">
        <v>49</v>
      </c>
      <c r="D127" s="14" t="s">
        <v>49</v>
      </c>
      <c r="E127" s="14">
        <v>18.9055</v>
      </c>
      <c r="F127" s="14">
        <v>10229386760.379601</v>
      </c>
      <c r="G127" s="14" t="s">
        <v>335</v>
      </c>
    </row>
    <row r="128" spans="1:7">
      <c r="A128" s="14" t="s">
        <v>125</v>
      </c>
      <c r="B128" s="14" t="s">
        <v>126</v>
      </c>
      <c r="C128" s="14" t="s">
        <v>49</v>
      </c>
      <c r="D128" s="14" t="s">
        <v>49</v>
      </c>
      <c r="E128" s="14">
        <v>52.402799999999999</v>
      </c>
      <c r="F128" s="14">
        <v>3183480880.9341402</v>
      </c>
      <c r="G128" s="14" t="s">
        <v>342</v>
      </c>
    </row>
    <row r="129" spans="1:7">
      <c r="A129" s="14" t="s">
        <v>193</v>
      </c>
      <c r="B129" s="14" t="s">
        <v>194</v>
      </c>
      <c r="C129" s="14" t="s">
        <v>49</v>
      </c>
      <c r="D129" s="14" t="s">
        <v>49</v>
      </c>
      <c r="E129" s="14">
        <v>4.5900999999999996</v>
      </c>
      <c r="F129" s="14">
        <v>9225972772.056881</v>
      </c>
      <c r="G129" s="14" t="s">
        <v>334</v>
      </c>
    </row>
    <row r="130" spans="1:7">
      <c r="A130" s="14" t="s">
        <v>137</v>
      </c>
      <c r="B130" s="14" t="s">
        <v>138</v>
      </c>
      <c r="C130" s="14" t="s">
        <v>49</v>
      </c>
      <c r="D130" s="14" t="s">
        <v>49</v>
      </c>
      <c r="E130" s="14">
        <v>30.825299999999999</v>
      </c>
      <c r="F130" s="14">
        <v>12324992129.8934</v>
      </c>
      <c r="G130" s="14" t="s">
        <v>329</v>
      </c>
    </row>
    <row r="131" spans="1:7">
      <c r="A131" s="14" t="s">
        <v>317</v>
      </c>
      <c r="B131" s="14" t="s">
        <v>122</v>
      </c>
      <c r="C131" s="14" t="s">
        <v>49</v>
      </c>
      <c r="D131" s="14" t="s">
        <v>49</v>
      </c>
      <c r="E131" s="14">
        <v>1.7176</v>
      </c>
      <c r="F131" s="14">
        <v>2889099513.99509</v>
      </c>
      <c r="G131" s="14" t="s">
        <v>316</v>
      </c>
    </row>
    <row r="132" spans="1:7">
      <c r="A132" s="14" t="s">
        <v>304</v>
      </c>
      <c r="B132" s="14" t="s">
        <v>305</v>
      </c>
      <c r="C132" s="14" t="s">
        <v>49</v>
      </c>
      <c r="D132" s="14" t="s">
        <v>49</v>
      </c>
      <c r="E132" s="14">
        <v>55.23</v>
      </c>
      <c r="F132" s="14">
        <v>17501603840</v>
      </c>
      <c r="G132" s="14" t="s">
        <v>330</v>
      </c>
    </row>
    <row r="134" spans="1:7">
      <c r="E134" s="14" t="s">
        <v>116</v>
      </c>
      <c r="F134" s="38">
        <f>+SUM(F119:F132)</f>
        <v>194180644601.99249</v>
      </c>
    </row>
    <row r="135" spans="1:7">
      <c r="E135" s="14" t="s">
        <v>312</v>
      </c>
      <c r="F135" s="14">
        <f>+COUNT(F119:F132)</f>
        <v>14</v>
      </c>
    </row>
  </sheetData>
  <pageMargins left="0.7" right="0.7" top="0.75" bottom="0.75" header="0.3" footer="0.3"/>
  <pageSetup paperSize="9" orientation="portrait" verticalDpi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4"/>
  <sheetViews>
    <sheetView topLeftCell="F1" zoomScale="90" zoomScaleNormal="90" zoomScalePageLayoutView="90" workbookViewId="0">
      <selection activeCell="S6" sqref="S6"/>
    </sheetView>
  </sheetViews>
  <sheetFormatPr defaultColWidth="10.85546875" defaultRowHeight="15.75"/>
  <cols>
    <col min="1" max="3" width="10.85546875" style="63"/>
    <col min="4" max="4" width="17.140625" style="63" customWidth="1"/>
    <col min="5" max="5" width="15.85546875" style="63" customWidth="1"/>
    <col min="6" max="6" width="10.85546875" style="63"/>
    <col min="7" max="7" width="13.140625" style="63" customWidth="1"/>
    <col min="8" max="8" width="10.85546875" style="63"/>
    <col min="9" max="9" width="11.85546875" style="63" bestFit="1" customWidth="1"/>
    <col min="10" max="14" width="10.85546875" style="63"/>
    <col min="15" max="15" width="12.42578125" style="63" customWidth="1"/>
    <col min="16" max="17" width="11.42578125"/>
    <col min="18" max="18" width="10.85546875" style="63"/>
    <col min="19" max="19" width="13.42578125" style="63" customWidth="1"/>
    <col min="20" max="16384" width="10.85546875" style="63"/>
  </cols>
  <sheetData>
    <row r="1" spans="1:19" ht="16.5" thickBot="1">
      <c r="A1" s="84" t="s">
        <v>415</v>
      </c>
      <c r="B1" s="86"/>
      <c r="C1" s="102"/>
      <c r="D1" s="102"/>
      <c r="E1" s="126"/>
      <c r="F1" s="126"/>
      <c r="G1" s="126"/>
      <c r="H1" s="126"/>
      <c r="I1" s="126"/>
      <c r="J1" s="127"/>
      <c r="K1" s="126"/>
      <c r="L1" s="126"/>
      <c r="M1" s="126"/>
      <c r="N1" s="126"/>
      <c r="O1" s="126"/>
      <c r="P1" s="128"/>
      <c r="R1" s="130"/>
    </row>
    <row r="2" spans="1:19" ht="16.5" thickBot="1">
      <c r="A2" s="87" t="s">
        <v>416</v>
      </c>
      <c r="B2" s="88">
        <v>7.9500000000000001E-2</v>
      </c>
      <c r="D2" s="131" t="s">
        <v>419</v>
      </c>
      <c r="E2" s="132"/>
      <c r="F2" s="103"/>
      <c r="G2" s="103"/>
      <c r="H2" s="103"/>
      <c r="I2" s="104"/>
      <c r="J2" s="134" t="s">
        <v>420</v>
      </c>
      <c r="K2" s="135"/>
      <c r="L2" s="135"/>
      <c r="M2" s="135"/>
      <c r="N2" s="135"/>
      <c r="O2" s="135"/>
      <c r="P2" s="135"/>
      <c r="R2" s="64"/>
    </row>
    <row r="3" spans="1:19" ht="32.25" thickBot="1">
      <c r="A3" s="87" t="s">
        <v>417</v>
      </c>
      <c r="B3" s="90">
        <v>0.92095000000000005</v>
      </c>
      <c r="D3" s="105" t="s">
        <v>416</v>
      </c>
      <c r="E3" s="103" t="s">
        <v>27</v>
      </c>
      <c r="F3" s="103" t="s">
        <v>28</v>
      </c>
      <c r="G3" s="106" t="s">
        <v>123</v>
      </c>
      <c r="H3" s="106" t="s">
        <v>421</v>
      </c>
      <c r="I3" s="107" t="s">
        <v>422</v>
      </c>
      <c r="J3" s="108"/>
      <c r="K3" s="103"/>
      <c r="L3" s="103"/>
      <c r="M3" s="106" t="s">
        <v>423</v>
      </c>
      <c r="N3" s="106" t="s">
        <v>424</v>
      </c>
      <c r="O3" s="106" t="s">
        <v>425</v>
      </c>
      <c r="P3" s="107" t="s">
        <v>426</v>
      </c>
      <c r="R3" s="64"/>
      <c r="S3" s="63" t="s">
        <v>428</v>
      </c>
    </row>
    <row r="4" spans="1:19" ht="16.5" thickBot="1">
      <c r="A4" s="93" t="s">
        <v>28</v>
      </c>
      <c r="B4" s="95">
        <v>0</v>
      </c>
      <c r="D4" s="109">
        <f>+B5*B2</f>
        <v>7.95</v>
      </c>
      <c r="E4" s="110">
        <f>+B5*B3</f>
        <v>92.094999999999999</v>
      </c>
      <c r="F4" s="110">
        <f>+B5*B4</f>
        <v>0</v>
      </c>
      <c r="G4" s="110">
        <f>+SUM(D4:F4)</f>
        <v>100.045</v>
      </c>
      <c r="H4" s="111">
        <v>100</v>
      </c>
      <c r="I4" s="104"/>
      <c r="J4" s="114"/>
      <c r="K4" s="86"/>
      <c r="L4" s="86"/>
      <c r="M4" s="86"/>
      <c r="N4" s="86"/>
      <c r="O4" s="86"/>
      <c r="P4" s="85"/>
      <c r="R4" s="64"/>
      <c r="S4" s="133" t="s">
        <v>427</v>
      </c>
    </row>
    <row r="5" spans="1:19" ht="16.5" thickBot="1">
      <c r="A5" s="97" t="s">
        <v>418</v>
      </c>
      <c r="B5" s="129">
        <v>100</v>
      </c>
      <c r="C5" s="98">
        <v>37631</v>
      </c>
      <c r="D5" s="112">
        <f t="shared" ref="D5:D68" si="0">+D4*(1+M5)</f>
        <v>8.0531465395436861</v>
      </c>
      <c r="E5" s="113">
        <f t="shared" ref="E5:E68" si="1">+E4*(1+N5)</f>
        <v>92.228147327674648</v>
      </c>
      <c r="F5" s="113">
        <f t="shared" ref="F5:F68" si="2">+F4*(1+O5)</f>
        <v>0</v>
      </c>
      <c r="G5" s="113">
        <f>+SUM(D5:F5)</f>
        <v>100.28129386721834</v>
      </c>
      <c r="H5" s="92">
        <f t="shared" ref="H5:H68" si="3">+H4*(1+(((D4/G4)*M5)+((E4/G4)*N5)+((F4/G4)*O5)))</f>
        <v>100.23618758280608</v>
      </c>
      <c r="I5" s="91">
        <f>+(H5-H4)/H4</f>
        <v>2.3618758280608177E-3</v>
      </c>
      <c r="J5" s="115"/>
      <c r="K5" s="64"/>
      <c r="L5" s="116">
        <v>37631</v>
      </c>
      <c r="M5" s="117">
        <v>1.297440748977167E-2</v>
      </c>
      <c r="N5" s="117">
        <v>1.4457606566551735E-3</v>
      </c>
      <c r="O5" s="117">
        <v>-3.576372865712993E-3</v>
      </c>
      <c r="P5" s="89">
        <v>1.2855831037649127E-2</v>
      </c>
      <c r="R5" s="98">
        <v>37631</v>
      </c>
      <c r="S5" s="99">
        <f>+I5-[1]Data!W3</f>
        <v>2.1349527511377408E-3</v>
      </c>
    </row>
    <row r="6" spans="1:19">
      <c r="A6" s="100"/>
      <c r="B6" s="101"/>
      <c r="C6" s="71">
        <v>37638</v>
      </c>
      <c r="D6" s="118">
        <f t="shared" si="0"/>
        <v>7.8997942032902921</v>
      </c>
      <c r="E6" s="92">
        <f t="shared" si="1"/>
        <v>93.082867269844229</v>
      </c>
      <c r="F6" s="92">
        <f t="shared" si="2"/>
        <v>0</v>
      </c>
      <c r="G6" s="92">
        <f t="shared" ref="G6:G69" si="4">+SUM(D6:F6)</f>
        <v>100.98266147313453</v>
      </c>
      <c r="H6" s="92">
        <f t="shared" si="3"/>
        <v>100.93723971526266</v>
      </c>
      <c r="I6" s="91">
        <f>+(H6-H5)/H5</f>
        <v>6.9940023594516256E-3</v>
      </c>
      <c r="J6" s="115"/>
      <c r="K6" s="64"/>
      <c r="L6" s="119">
        <v>37638</v>
      </c>
      <c r="M6" s="117">
        <v>-1.9042536417334829E-2</v>
      </c>
      <c r="N6" s="117">
        <v>9.2674521492106792E-3</v>
      </c>
      <c r="O6" s="117">
        <v>4.6312376982739423E-4</v>
      </c>
      <c r="P6" s="89">
        <v>-1.8434572378362026E-2</v>
      </c>
      <c r="R6" s="71">
        <v>37638</v>
      </c>
      <c r="S6" s="99">
        <f>+I6-[1]Data!W4</f>
        <v>6.7690023594516252E-3</v>
      </c>
    </row>
    <row r="7" spans="1:19">
      <c r="A7" s="100"/>
      <c r="B7" s="101"/>
      <c r="C7" s="71">
        <v>37645</v>
      </c>
      <c r="D7" s="118">
        <f t="shared" si="0"/>
        <v>7.5989501296212136</v>
      </c>
      <c r="E7" s="92">
        <f t="shared" si="1"/>
        <v>93.636931955974248</v>
      </c>
      <c r="F7" s="92">
        <f t="shared" si="2"/>
        <v>0</v>
      </c>
      <c r="G7" s="92">
        <f t="shared" si="4"/>
        <v>101.23588208559546</v>
      </c>
      <c r="H7" s="92">
        <f t="shared" si="3"/>
        <v>101.1903464297021</v>
      </c>
      <c r="I7" s="91">
        <f t="shared" ref="I7:I70" si="5">+(H7-H6)/H6</f>
        <v>2.5075652470132664E-3</v>
      </c>
      <c r="J7" s="115"/>
      <c r="K7" s="64"/>
      <c r="L7" s="119">
        <v>37645</v>
      </c>
      <c r="M7" s="117">
        <v>-3.8082520370439008E-2</v>
      </c>
      <c r="N7" s="117">
        <v>5.9523809523809156E-3</v>
      </c>
      <c r="O7" s="117">
        <v>-1.2730008100914181E-2</v>
      </c>
      <c r="P7" s="89">
        <v>-3.7612889983579555E-2</v>
      </c>
      <c r="R7" s="71">
        <v>37645</v>
      </c>
      <c r="S7" s="99">
        <f>+I7-[1]Data!W5</f>
        <v>2.2864114008594202E-3</v>
      </c>
    </row>
    <row r="8" spans="1:19">
      <c r="A8" s="100"/>
      <c r="B8" s="101"/>
      <c r="C8" s="71">
        <v>37652</v>
      </c>
      <c r="D8" s="118">
        <f t="shared" si="0"/>
        <v>7.4964873266085954</v>
      </c>
      <c r="E8" s="92">
        <f t="shared" si="1"/>
        <v>93.3362766999347</v>
      </c>
      <c r="F8" s="92">
        <f t="shared" si="2"/>
        <v>0</v>
      </c>
      <c r="G8" s="92">
        <f t="shared" si="4"/>
        <v>100.8327640265433</v>
      </c>
      <c r="H8" s="92">
        <f t="shared" si="3"/>
        <v>100.78740969218182</v>
      </c>
      <c r="I8" s="91">
        <f t="shared" si="5"/>
        <v>-3.9819681593856598E-3</v>
      </c>
      <c r="J8" s="115"/>
      <c r="K8" s="64"/>
      <c r="L8" s="119">
        <v>37652</v>
      </c>
      <c r="M8" s="117">
        <v>-1.3483810429708098E-2</v>
      </c>
      <c r="N8" s="117">
        <v>-3.2108618870693483E-3</v>
      </c>
      <c r="O8" s="117">
        <v>-2.0044543429844189E-2</v>
      </c>
      <c r="P8" s="89">
        <v>-1.3436416955478593E-2</v>
      </c>
      <c r="R8" s="71">
        <v>37652</v>
      </c>
      <c r="S8" s="99">
        <f>+I8-[1]Data!W6</f>
        <v>-4.2050450824625829E-3</v>
      </c>
    </row>
    <row r="9" spans="1:19">
      <c r="A9" s="100"/>
      <c r="B9" s="101"/>
      <c r="C9" s="71">
        <v>37659</v>
      </c>
      <c r="D9" s="118">
        <f t="shared" si="0"/>
        <v>7.3265299603150247</v>
      </c>
      <c r="E9" s="92">
        <f t="shared" si="1"/>
        <v>93.697063007182166</v>
      </c>
      <c r="F9" s="92">
        <f t="shared" si="2"/>
        <v>0</v>
      </c>
      <c r="G9" s="92">
        <f t="shared" si="4"/>
        <v>101.02359296749719</v>
      </c>
      <c r="H9" s="92">
        <f t="shared" si="3"/>
        <v>100.97815279873777</v>
      </c>
      <c r="I9" s="91">
        <f t="shared" si="5"/>
        <v>1.8925291079361702E-3</v>
      </c>
      <c r="J9" s="115"/>
      <c r="K9" s="64"/>
      <c r="L9" s="119">
        <v>37659</v>
      </c>
      <c r="M9" s="117">
        <v>-2.2671600562881086E-2</v>
      </c>
      <c r="N9" s="117">
        <v>3.8654456766830953E-3</v>
      </c>
      <c r="O9" s="117">
        <v>-3.8277511961721674E-3</v>
      </c>
      <c r="P9" s="89">
        <v>-2.2536885910392841E-2</v>
      </c>
      <c r="R9" s="71">
        <v>37659</v>
      </c>
      <c r="S9" s="99">
        <f>+I9-[1]Data!W7</f>
        <v>1.671375261782324E-3</v>
      </c>
    </row>
    <row r="10" spans="1:19">
      <c r="A10" s="100"/>
      <c r="B10" s="101"/>
      <c r="C10" s="71">
        <v>37666</v>
      </c>
      <c r="D10" s="118">
        <f t="shared" si="0"/>
        <v>7.3672611222371041</v>
      </c>
      <c r="E10" s="92">
        <f t="shared" si="1"/>
        <v>93.602571355284013</v>
      </c>
      <c r="F10" s="92">
        <f t="shared" si="2"/>
        <v>0</v>
      </c>
      <c r="G10" s="92">
        <f t="shared" si="4"/>
        <v>100.96983247752112</v>
      </c>
      <c r="H10" s="92">
        <f t="shared" si="3"/>
        <v>100.92441649010058</v>
      </c>
      <c r="I10" s="91">
        <f t="shared" si="5"/>
        <v>-5.3215777024845465E-4</v>
      </c>
      <c r="J10" s="115"/>
      <c r="K10" s="64"/>
      <c r="L10" s="119">
        <v>37666</v>
      </c>
      <c r="M10" s="117">
        <v>5.5594069965869755E-3</v>
      </c>
      <c r="N10" s="117">
        <v>-1.008480403392156E-3</v>
      </c>
      <c r="O10" s="117">
        <v>-9.2459173871277146E-3</v>
      </c>
      <c r="P10" s="89">
        <v>4.5338936193740631E-3</v>
      </c>
      <c r="R10" s="71">
        <v>37666</v>
      </c>
      <c r="S10" s="99">
        <f>+I10-[1]Data!W8</f>
        <v>-7.5523469332537771E-4</v>
      </c>
    </row>
    <row r="11" spans="1:19">
      <c r="A11" s="100"/>
      <c r="B11" s="101"/>
      <c r="C11" s="71">
        <v>37673</v>
      </c>
      <c r="D11" s="118">
        <f t="shared" si="0"/>
        <v>7.4578073742797129</v>
      </c>
      <c r="E11" s="92">
        <f t="shared" si="1"/>
        <v>94.023488713739368</v>
      </c>
      <c r="F11" s="92">
        <f t="shared" si="2"/>
        <v>0</v>
      </c>
      <c r="G11" s="92">
        <f t="shared" si="4"/>
        <v>101.48129608801908</v>
      </c>
      <c r="H11" s="92">
        <f t="shared" si="3"/>
        <v>101.43565004549862</v>
      </c>
      <c r="I11" s="91">
        <f t="shared" si="5"/>
        <v>5.065509152071059E-3</v>
      </c>
      <c r="J11" s="115"/>
      <c r="K11" s="64"/>
      <c r="L11" s="119">
        <v>37673</v>
      </c>
      <c r="M11" s="117">
        <v>1.2290354656943959E-2</v>
      </c>
      <c r="N11" s="117">
        <v>4.4968567888771151E-3</v>
      </c>
      <c r="O11" s="117">
        <v>1.7331232577869258E-2</v>
      </c>
      <c r="P11" s="89">
        <v>1.2879788639365937E-2</v>
      </c>
      <c r="R11" s="71">
        <v>37673</v>
      </c>
      <c r="S11" s="99">
        <f>+I11-[1]Data!W9</f>
        <v>4.8405091520710587E-3</v>
      </c>
    </row>
    <row r="12" spans="1:19">
      <c r="A12" s="100"/>
      <c r="B12" s="101"/>
      <c r="C12" s="71">
        <v>37680</v>
      </c>
      <c r="D12" s="118">
        <f t="shared" si="0"/>
        <v>7.3536840682630773</v>
      </c>
      <c r="E12" s="92">
        <f t="shared" si="1"/>
        <v>94.650569676336147</v>
      </c>
      <c r="F12" s="92">
        <f t="shared" si="2"/>
        <v>0</v>
      </c>
      <c r="G12" s="92">
        <f t="shared" si="4"/>
        <v>102.00425374459923</v>
      </c>
      <c r="H12" s="92">
        <f t="shared" si="3"/>
        <v>101.95837247698459</v>
      </c>
      <c r="I12" s="91">
        <f t="shared" si="5"/>
        <v>5.1532417966613179E-3</v>
      </c>
      <c r="J12" s="115"/>
      <c r="K12" s="64"/>
      <c r="L12" s="119">
        <v>37680</v>
      </c>
      <c r="M12" s="117">
        <v>-1.3961651299245557E-2</v>
      </c>
      <c r="N12" s="117">
        <v>6.6694075190718008E-3</v>
      </c>
      <c r="O12" s="117">
        <v>-1.2508934953538208E-2</v>
      </c>
      <c r="P12" s="89">
        <v>-1.3639821758504615E-2</v>
      </c>
      <c r="R12" s="71">
        <v>37680</v>
      </c>
      <c r="S12" s="99">
        <f>+I12-[1]Data!W10</f>
        <v>4.9243956428151638E-3</v>
      </c>
    </row>
    <row r="13" spans="1:19">
      <c r="A13" s="100"/>
      <c r="B13" s="101"/>
      <c r="C13" s="71">
        <v>37687</v>
      </c>
      <c r="D13" s="118">
        <f t="shared" si="0"/>
        <v>7.2083412170878853</v>
      </c>
      <c r="E13" s="92">
        <f t="shared" si="1"/>
        <v>95.406502891521285</v>
      </c>
      <c r="F13" s="92">
        <f t="shared" si="2"/>
        <v>0</v>
      </c>
      <c r="G13" s="92">
        <f t="shared" si="4"/>
        <v>102.61484410860918</v>
      </c>
      <c r="H13" s="92">
        <f t="shared" si="3"/>
        <v>102.56868819891967</v>
      </c>
      <c r="I13" s="91">
        <f t="shared" si="5"/>
        <v>5.9859304057923168E-3</v>
      </c>
      <c r="J13" s="115"/>
      <c r="K13" s="64"/>
      <c r="L13" s="119">
        <v>37687</v>
      </c>
      <c r="M13" s="117">
        <v>-1.9764630874266127E-2</v>
      </c>
      <c r="N13" s="117">
        <v>7.9865680446521339E-3</v>
      </c>
      <c r="O13" s="117">
        <v>-1.4235734105441027E-2</v>
      </c>
      <c r="P13" s="89">
        <v>-2.0494738581896307E-2</v>
      </c>
      <c r="R13" s="71">
        <v>37687</v>
      </c>
      <c r="S13" s="99">
        <f>+I13-[1]Data!W11</f>
        <v>5.7647765596384711E-3</v>
      </c>
    </row>
    <row r="14" spans="1:19">
      <c r="A14" s="100"/>
      <c r="B14" s="101"/>
      <c r="C14" s="71">
        <v>37694</v>
      </c>
      <c r="D14" s="118">
        <f t="shared" si="0"/>
        <v>7.2314905824968383</v>
      </c>
      <c r="E14" s="92">
        <f t="shared" si="1"/>
        <v>94.500242048316366</v>
      </c>
      <c r="F14" s="92">
        <f t="shared" si="2"/>
        <v>0</v>
      </c>
      <c r="G14" s="92">
        <f t="shared" si="4"/>
        <v>101.7317326308132</v>
      </c>
      <c r="H14" s="92">
        <f t="shared" si="3"/>
        <v>101.68597394253908</v>
      </c>
      <c r="I14" s="91">
        <f t="shared" si="5"/>
        <v>-8.6060792224297196E-3</v>
      </c>
      <c r="J14" s="115"/>
      <c r="K14" s="64"/>
      <c r="L14" s="119">
        <v>37694</v>
      </c>
      <c r="M14" s="117">
        <v>3.2114691455053042E-3</v>
      </c>
      <c r="N14" s="117">
        <v>-9.4989420609552302E-3</v>
      </c>
      <c r="O14" s="117">
        <v>-3.8306204870884784E-2</v>
      </c>
      <c r="P14" s="89">
        <v>3.2622757185444204E-3</v>
      </c>
      <c r="R14" s="71">
        <v>37694</v>
      </c>
      <c r="S14" s="99">
        <f>+I14-[1]Data!W12</f>
        <v>-8.8156946070451041E-3</v>
      </c>
    </row>
    <row r="15" spans="1:19">
      <c r="A15" s="100"/>
      <c r="B15" s="101"/>
      <c r="C15" s="71">
        <v>37701</v>
      </c>
      <c r="D15" s="118">
        <f t="shared" si="0"/>
        <v>7.6761146809843854</v>
      </c>
      <c r="E15" s="92">
        <f t="shared" si="1"/>
        <v>92.945424867083261</v>
      </c>
      <c r="F15" s="92">
        <f t="shared" si="2"/>
        <v>0</v>
      </c>
      <c r="G15" s="92">
        <f t="shared" si="4"/>
        <v>100.62153954806764</v>
      </c>
      <c r="H15" s="92">
        <f t="shared" si="3"/>
        <v>100.57628022196779</v>
      </c>
      <c r="I15" s="91">
        <f t="shared" si="5"/>
        <v>-1.0912947750280233E-2</v>
      </c>
      <c r="J15" s="115"/>
      <c r="K15" s="64"/>
      <c r="L15" s="119">
        <v>37701</v>
      </c>
      <c r="M15" s="117">
        <v>6.1484433038427745E-2</v>
      </c>
      <c r="N15" s="117">
        <v>-1.6453049722752498E-2</v>
      </c>
      <c r="O15" s="117">
        <v>4.2758971748536517E-2</v>
      </c>
      <c r="P15" s="89">
        <v>5.9931602848012543E-2</v>
      </c>
      <c r="R15" s="71">
        <v>37701</v>
      </c>
      <c r="S15" s="99">
        <f>+I15-[1]Data!W13</f>
        <v>-1.1132178519511001E-2</v>
      </c>
    </row>
    <row r="16" spans="1:19">
      <c r="A16" s="100"/>
      <c r="B16" s="101"/>
      <c r="C16" s="71">
        <v>37708</v>
      </c>
      <c r="D16" s="118">
        <f t="shared" si="0"/>
        <v>7.4522398053838899</v>
      </c>
      <c r="E16" s="92">
        <f t="shared" si="1"/>
        <v>94.075029614774706</v>
      </c>
      <c r="F16" s="92">
        <f t="shared" si="2"/>
        <v>0</v>
      </c>
      <c r="G16" s="92">
        <f t="shared" si="4"/>
        <v>101.5272694201586</v>
      </c>
      <c r="H16" s="92">
        <f t="shared" si="3"/>
        <v>101.4816026989441</v>
      </c>
      <c r="I16" s="91">
        <f t="shared" si="5"/>
        <v>9.0013517598612602E-3</v>
      </c>
      <c r="J16" s="115"/>
      <c r="K16" s="64"/>
      <c r="L16" s="119">
        <v>37708</v>
      </c>
      <c r="M16" s="117">
        <v>-2.9165129092597959E-2</v>
      </c>
      <c r="N16" s="117">
        <v>1.2153419593345635E-2</v>
      </c>
      <c r="O16" s="117">
        <v>-9.0309982914326941E-3</v>
      </c>
      <c r="P16" s="89">
        <v>-2.8615254416587309E-2</v>
      </c>
      <c r="R16" s="71">
        <v>37708</v>
      </c>
      <c r="S16" s="99">
        <f>+I16-[1]Data!W14</f>
        <v>8.7801979137074136E-3</v>
      </c>
    </row>
    <row r="17" spans="1:19">
      <c r="A17" s="100"/>
      <c r="B17" s="101"/>
      <c r="C17" s="71">
        <v>37715</v>
      </c>
      <c r="D17" s="118">
        <f t="shared" si="0"/>
        <v>7.5685726923124195</v>
      </c>
      <c r="E17" s="92">
        <f t="shared" si="1"/>
        <v>94.03207886391192</v>
      </c>
      <c r="F17" s="92">
        <f t="shared" si="2"/>
        <v>0</v>
      </c>
      <c r="G17" s="92">
        <f t="shared" si="4"/>
        <v>101.60065155622434</v>
      </c>
      <c r="H17" s="92">
        <f t="shared" si="3"/>
        <v>101.5549518279018</v>
      </c>
      <c r="I17" s="91">
        <f t="shared" si="5"/>
        <v>7.2278252419110561E-4</v>
      </c>
      <c r="J17" s="115"/>
      <c r="K17" s="64"/>
      <c r="L17" s="119">
        <v>37715</v>
      </c>
      <c r="M17" s="117">
        <v>1.5610459401009198E-2</v>
      </c>
      <c r="N17" s="117">
        <v>-4.5655846231107297E-4</v>
      </c>
      <c r="O17" s="117">
        <v>-1.3177339901477923E-2</v>
      </c>
      <c r="P17" s="89">
        <v>1.5518649605227303E-2</v>
      </c>
      <c r="R17" s="71">
        <v>37715</v>
      </c>
      <c r="S17" s="99">
        <f>+I17-[1]Data!W15</f>
        <v>5.1124406265264403E-4</v>
      </c>
    </row>
    <row r="18" spans="1:19">
      <c r="A18" s="100"/>
      <c r="B18" s="101"/>
      <c r="C18" s="71">
        <v>37722</v>
      </c>
      <c r="D18" s="118">
        <f t="shared" si="0"/>
        <v>7.5240321411458275</v>
      </c>
      <c r="E18" s="92">
        <f t="shared" si="1"/>
        <v>94.105095140378651</v>
      </c>
      <c r="F18" s="92">
        <f t="shared" si="2"/>
        <v>0</v>
      </c>
      <c r="G18" s="92">
        <f t="shared" si="4"/>
        <v>101.62912728152448</v>
      </c>
      <c r="H18" s="92">
        <f t="shared" si="3"/>
        <v>101.58341474488932</v>
      </c>
      <c r="I18" s="91">
        <f t="shared" si="5"/>
        <v>2.8027108944678376E-4</v>
      </c>
      <c r="J18" s="115"/>
      <c r="K18" s="64"/>
      <c r="L18" s="119">
        <v>37722</v>
      </c>
      <c r="M18" s="117">
        <v>-5.8849340526031272E-3</v>
      </c>
      <c r="N18" s="117">
        <v>7.7650390535781975E-4</v>
      </c>
      <c r="O18" s="117">
        <v>-1.2978909272432199E-2</v>
      </c>
      <c r="P18" s="89">
        <v>-5.2546916890079884E-3</v>
      </c>
      <c r="R18" s="71">
        <v>37722</v>
      </c>
      <c r="S18" s="99">
        <f>+I18-[1]Data!W16</f>
        <v>6.2963397139091469E-5</v>
      </c>
    </row>
    <row r="19" spans="1:19">
      <c r="A19" s="100"/>
      <c r="B19" s="101"/>
      <c r="C19" s="71">
        <v>37729</v>
      </c>
      <c r="D19" s="118">
        <f t="shared" si="0"/>
        <v>7.7435115676180422</v>
      </c>
      <c r="E19" s="92">
        <f t="shared" si="1"/>
        <v>94.633389375991001</v>
      </c>
      <c r="F19" s="92">
        <f t="shared" si="2"/>
        <v>0</v>
      </c>
      <c r="G19" s="92">
        <f t="shared" si="4"/>
        <v>102.37690094360904</v>
      </c>
      <c r="H19" s="92">
        <f t="shared" si="3"/>
        <v>102.33085206018202</v>
      </c>
      <c r="I19" s="91">
        <f t="shared" si="5"/>
        <v>7.3578675925570197E-3</v>
      </c>
      <c r="J19" s="115"/>
      <c r="K19" s="64"/>
      <c r="L19" s="119">
        <v>37729</v>
      </c>
      <c r="M19" s="117">
        <v>2.9170453070232413E-2</v>
      </c>
      <c r="N19" s="117">
        <v>5.6138749429485088E-3</v>
      </c>
      <c r="O19" s="117">
        <v>1.4793273485902158E-2</v>
      </c>
      <c r="P19" s="89">
        <v>2.9862009486847734E-2</v>
      </c>
      <c r="R19" s="71">
        <v>37729</v>
      </c>
      <c r="S19" s="99">
        <f>+I19-[1]Data!W17</f>
        <v>7.1347906694800966E-3</v>
      </c>
    </row>
    <row r="20" spans="1:19">
      <c r="A20" s="100"/>
      <c r="B20" s="101"/>
      <c r="C20" s="71">
        <v>37736</v>
      </c>
      <c r="D20" s="118">
        <f t="shared" si="0"/>
        <v>7.7595305377744479</v>
      </c>
      <c r="E20" s="92">
        <f t="shared" si="1"/>
        <v>95.165978686689627</v>
      </c>
      <c r="F20" s="92">
        <f t="shared" si="2"/>
        <v>0</v>
      </c>
      <c r="G20" s="92">
        <f t="shared" si="4"/>
        <v>102.92550922446408</v>
      </c>
      <c r="H20" s="92">
        <f t="shared" si="3"/>
        <v>102.87921357835388</v>
      </c>
      <c r="I20" s="91">
        <f t="shared" si="5"/>
        <v>5.3587115433120893E-3</v>
      </c>
      <c r="J20" s="115"/>
      <c r="K20" s="64"/>
      <c r="L20" s="119">
        <v>37736</v>
      </c>
      <c r="M20" s="117">
        <v>2.0686958386417075E-3</v>
      </c>
      <c r="N20" s="117">
        <v>5.6279217537329486E-3</v>
      </c>
      <c r="O20" s="117">
        <v>4.2362322452029555E-3</v>
      </c>
      <c r="P20" s="89">
        <v>4.1871663351818319E-4</v>
      </c>
      <c r="R20" s="71">
        <v>37736</v>
      </c>
      <c r="S20" s="99">
        <f>+I20-[1]Data!W18</f>
        <v>5.13948077408132E-3</v>
      </c>
    </row>
    <row r="21" spans="1:19">
      <c r="A21" s="100"/>
      <c r="B21" s="101"/>
      <c r="C21" s="71">
        <v>37743</v>
      </c>
      <c r="D21" s="118">
        <f t="shared" si="0"/>
        <v>8.0339042400265388</v>
      </c>
      <c r="E21" s="92">
        <f t="shared" si="1"/>
        <v>95.724338447905936</v>
      </c>
      <c r="F21" s="92">
        <f t="shared" si="2"/>
        <v>0</v>
      </c>
      <c r="G21" s="92">
        <f t="shared" si="4"/>
        <v>103.75824268793248</v>
      </c>
      <c r="H21" s="92">
        <f t="shared" si="3"/>
        <v>103.71157248031641</v>
      </c>
      <c r="I21" s="91">
        <f t="shared" si="5"/>
        <v>8.0906421522029658E-3</v>
      </c>
      <c r="J21" s="115"/>
      <c r="K21" s="64"/>
      <c r="L21" s="119">
        <v>37743</v>
      </c>
      <c r="M21" s="117">
        <v>3.5359575030525843E-2</v>
      </c>
      <c r="N21" s="117">
        <v>5.8672202915557676E-3</v>
      </c>
      <c r="O21" s="117">
        <v>2.9156327543424426E-2</v>
      </c>
      <c r="P21" s="89">
        <v>3.5680652924558035E-2</v>
      </c>
      <c r="R21" s="71">
        <v>37743</v>
      </c>
      <c r="S21" s="99">
        <f>+I21-[1]Data!W19</f>
        <v>7.8771806137414267E-3</v>
      </c>
    </row>
    <row r="22" spans="1:19">
      <c r="A22" s="100"/>
      <c r="B22" s="101"/>
      <c r="C22" s="71">
        <v>37750</v>
      </c>
      <c r="D22" s="118">
        <f t="shared" si="0"/>
        <v>8.1207387794719317</v>
      </c>
      <c r="E22" s="92">
        <f t="shared" si="1"/>
        <v>96.952729922581796</v>
      </c>
      <c r="F22" s="92">
        <f t="shared" si="2"/>
        <v>0</v>
      </c>
      <c r="G22" s="92">
        <f t="shared" si="4"/>
        <v>105.07346870205373</v>
      </c>
      <c r="H22" s="92">
        <f t="shared" si="3"/>
        <v>105.02620690894479</v>
      </c>
      <c r="I22" s="91">
        <f t="shared" si="5"/>
        <v>1.2675870177148142E-2</v>
      </c>
      <c r="J22" s="115"/>
      <c r="K22" s="64"/>
      <c r="L22" s="119">
        <v>37750</v>
      </c>
      <c r="M22" s="117">
        <v>1.0808510638297856E-2</v>
      </c>
      <c r="N22" s="117">
        <v>1.2832592991429914E-2</v>
      </c>
      <c r="O22" s="117">
        <v>3.0500301386377347E-2</v>
      </c>
      <c r="P22" s="89">
        <v>1.0961810466760898E-2</v>
      </c>
      <c r="R22" s="71">
        <v>37750</v>
      </c>
      <c r="S22" s="99">
        <f>+I22-[1]Data!W20</f>
        <v>1.2466254792532758E-2</v>
      </c>
    </row>
    <row r="23" spans="1:19">
      <c r="A23" s="100"/>
      <c r="B23" s="101"/>
      <c r="C23" s="71">
        <v>37757</v>
      </c>
      <c r="D23" s="118">
        <f t="shared" si="0"/>
        <v>8.2467416544826815</v>
      </c>
      <c r="E23" s="92">
        <f t="shared" si="1"/>
        <v>97.811744939837638</v>
      </c>
      <c r="F23" s="92">
        <f t="shared" si="2"/>
        <v>0</v>
      </c>
      <c r="G23" s="92">
        <f t="shared" si="4"/>
        <v>106.05848659432031</v>
      </c>
      <c r="H23" s="92">
        <f t="shared" si="3"/>
        <v>106.01078174253627</v>
      </c>
      <c r="I23" s="91">
        <f t="shared" si="5"/>
        <v>9.3745633834523175E-3</v>
      </c>
      <c r="J23" s="115"/>
      <c r="K23" s="64"/>
      <c r="L23" s="119">
        <v>37757</v>
      </c>
      <c r="M23" s="117">
        <v>1.5516183740482779E-2</v>
      </c>
      <c r="N23" s="117">
        <v>8.8601426482966383E-3</v>
      </c>
      <c r="O23" s="117">
        <v>1.731399157697695E-2</v>
      </c>
      <c r="P23" s="89">
        <v>1.4940288812272069E-2</v>
      </c>
      <c r="R23" s="71">
        <v>37757</v>
      </c>
      <c r="S23" s="99">
        <f>+I23-[1]Data!W21</f>
        <v>9.1726403065292405E-3</v>
      </c>
    </row>
    <row r="24" spans="1:19">
      <c r="A24" s="100"/>
      <c r="B24" s="101"/>
      <c r="C24" s="71">
        <v>37764</v>
      </c>
      <c r="D24" s="118">
        <f t="shared" si="0"/>
        <v>8.1749493187207438</v>
      </c>
      <c r="E24" s="92">
        <f t="shared" si="1"/>
        <v>98.438825902434417</v>
      </c>
      <c r="F24" s="92">
        <f t="shared" si="2"/>
        <v>0</v>
      </c>
      <c r="G24" s="92">
        <f t="shared" si="4"/>
        <v>106.61377522115517</v>
      </c>
      <c r="H24" s="92">
        <f t="shared" si="3"/>
        <v>106.5658206018844</v>
      </c>
      <c r="I24" s="91">
        <f t="shared" si="5"/>
        <v>5.2356831090645921E-3</v>
      </c>
      <c r="J24" s="115"/>
      <c r="K24" s="64"/>
      <c r="L24" s="119">
        <v>37764</v>
      </c>
      <c r="M24" s="117">
        <v>-8.7055395657888984E-3</v>
      </c>
      <c r="N24" s="117">
        <v>6.4111008650595356E-3</v>
      </c>
      <c r="O24" s="117">
        <v>1.8399264029438922E-2</v>
      </c>
      <c r="P24" s="89">
        <v>-7.8278849940921786E-3</v>
      </c>
      <c r="R24" s="71">
        <v>37764</v>
      </c>
      <c r="S24" s="99">
        <f>+I24-[1]Data!W22</f>
        <v>5.0356831090645924E-3</v>
      </c>
    </row>
    <row r="25" spans="1:19" s="102" customFormat="1">
      <c r="C25" s="71">
        <v>37771</v>
      </c>
      <c r="D25" s="118">
        <f t="shared" si="0"/>
        <v>8.3772376552690098</v>
      </c>
      <c r="E25" s="92">
        <f t="shared" si="1"/>
        <v>98.198301697602773</v>
      </c>
      <c r="F25" s="92">
        <f t="shared" si="2"/>
        <v>0</v>
      </c>
      <c r="G25" s="92">
        <f t="shared" si="4"/>
        <v>106.57553935287179</v>
      </c>
      <c r="H25" s="92">
        <f t="shared" si="3"/>
        <v>106.52760193200247</v>
      </c>
      <c r="I25" s="91">
        <f t="shared" si="5"/>
        <v>-3.5863909897253129E-4</v>
      </c>
      <c r="J25" s="115"/>
      <c r="K25" s="64"/>
      <c r="L25" s="119">
        <v>37771</v>
      </c>
      <c r="M25" s="117">
        <v>2.474490405524879E-2</v>
      </c>
      <c r="N25" s="117">
        <v>-2.4433875823552612E-3</v>
      </c>
      <c r="O25" s="117">
        <v>-5.6458897922309344E-4</v>
      </c>
      <c r="P25" s="89">
        <v>2.4859822358953957E-2</v>
      </c>
      <c r="R25" s="71">
        <v>37771</v>
      </c>
      <c r="S25" s="99">
        <f>+I25-[1]Data!W23</f>
        <v>-5.6825448358791594E-4</v>
      </c>
    </row>
    <row r="26" spans="1:19">
      <c r="C26" s="71">
        <v>37778</v>
      </c>
      <c r="D26" s="118">
        <f t="shared" si="0"/>
        <v>8.6276805789337878</v>
      </c>
      <c r="E26" s="92">
        <f t="shared" si="1"/>
        <v>98.335744100363712</v>
      </c>
      <c r="F26" s="92">
        <f t="shared" si="2"/>
        <v>0</v>
      </c>
      <c r="G26" s="92">
        <f t="shared" si="4"/>
        <v>106.9634246792975</v>
      </c>
      <c r="H26" s="92">
        <f t="shared" si="3"/>
        <v>106.91531278854274</v>
      </c>
      <c r="I26" s="91">
        <f t="shared" si="5"/>
        <v>3.6395342569313241E-3</v>
      </c>
      <c r="J26" s="115"/>
      <c r="K26" s="64"/>
      <c r="L26" s="119">
        <v>37778</v>
      </c>
      <c r="M26" s="117">
        <v>2.9895645076662959E-2</v>
      </c>
      <c r="N26" s="117">
        <v>1.3996413419061068E-3</v>
      </c>
      <c r="O26" s="117">
        <v>3.1521861936504261E-2</v>
      </c>
      <c r="P26" s="89">
        <v>2.9824731286917774E-2</v>
      </c>
      <c r="R26" s="71">
        <v>37778</v>
      </c>
      <c r="S26" s="99">
        <f>+I26-[1]Data!W24</f>
        <v>3.4376111800082472E-3</v>
      </c>
    </row>
    <row r="27" spans="1:19">
      <c r="C27" s="71">
        <v>37785</v>
      </c>
      <c r="D27" s="118">
        <f t="shared" si="0"/>
        <v>8.6684117408558681</v>
      </c>
      <c r="E27" s="92">
        <f t="shared" si="1"/>
        <v>99.534070049435627</v>
      </c>
      <c r="F27" s="92">
        <f t="shared" si="2"/>
        <v>0</v>
      </c>
      <c r="G27" s="92">
        <f t="shared" si="4"/>
        <v>108.2024817902915</v>
      </c>
      <c r="H27" s="92">
        <f t="shared" si="3"/>
        <v>108.15381257463299</v>
      </c>
      <c r="I27" s="91">
        <f t="shared" si="5"/>
        <v>1.1583932682680969E-2</v>
      </c>
      <c r="J27" s="115"/>
      <c r="K27" s="64"/>
      <c r="L27" s="119">
        <v>37785</v>
      </c>
      <c r="M27" s="117">
        <v>4.7209863125361696E-3</v>
      </c>
      <c r="N27" s="117">
        <v>1.2186066826818172E-2</v>
      </c>
      <c r="O27" s="117">
        <v>8.4337349397589929E-3</v>
      </c>
      <c r="P27" s="89">
        <v>6.864127879642727E-3</v>
      </c>
      <c r="R27" s="71">
        <v>37785</v>
      </c>
      <c r="S27" s="99">
        <f>+I27-[1]Data!W25</f>
        <v>1.1407009605757893E-2</v>
      </c>
    </row>
    <row r="28" spans="1:19">
      <c r="C28" s="71">
        <v>37792</v>
      </c>
      <c r="D28" s="118">
        <f t="shared" si="0"/>
        <v>8.7341481244855093</v>
      </c>
      <c r="E28" s="92">
        <f t="shared" si="1"/>
        <v>98.32715395019116</v>
      </c>
      <c r="F28" s="92">
        <f t="shared" si="2"/>
        <v>0</v>
      </c>
      <c r="G28" s="92">
        <f t="shared" si="4"/>
        <v>107.06130207467668</v>
      </c>
      <c r="H28" s="92">
        <f t="shared" si="3"/>
        <v>107.01314615890524</v>
      </c>
      <c r="I28" s="91">
        <f t="shared" si="5"/>
        <v>-1.0546705553635644E-2</v>
      </c>
      <c r="J28" s="115"/>
      <c r="K28" s="64"/>
      <c r="L28" s="119">
        <v>37792</v>
      </c>
      <c r="M28" s="117">
        <v>7.5834403804115316E-3</v>
      </c>
      <c r="N28" s="117">
        <v>-1.2125658065072936E-2</v>
      </c>
      <c r="O28" s="117">
        <v>-3.2583903551631289E-4</v>
      </c>
      <c r="P28" s="89">
        <v>6.350392230108394E-3</v>
      </c>
      <c r="R28" s="71">
        <v>37792</v>
      </c>
      <c r="S28" s="99">
        <f>+I28-[1]Data!W26</f>
        <v>-1.0708244015174105E-2</v>
      </c>
    </row>
    <row r="29" spans="1:19">
      <c r="C29" s="71">
        <v>37799</v>
      </c>
      <c r="D29" s="118">
        <f t="shared" si="0"/>
        <v>8.5386971532479023</v>
      </c>
      <c r="E29" s="92">
        <f t="shared" si="1"/>
        <v>97.438073407331359</v>
      </c>
      <c r="F29" s="92">
        <f t="shared" si="2"/>
        <v>0</v>
      </c>
      <c r="G29" s="92">
        <f t="shared" si="4"/>
        <v>105.97677056057927</v>
      </c>
      <c r="H29" s="92">
        <f t="shared" si="3"/>
        <v>105.92910246447033</v>
      </c>
      <c r="I29" s="91">
        <f t="shared" si="5"/>
        <v>-1.0130004895148115E-2</v>
      </c>
      <c r="J29" s="115"/>
      <c r="K29" s="64"/>
      <c r="L29" s="119">
        <v>37799</v>
      </c>
      <c r="M29" s="117">
        <v>-2.2377794428477284E-2</v>
      </c>
      <c r="N29" s="117">
        <v>-9.0420652601231524E-3</v>
      </c>
      <c r="O29" s="117">
        <v>-2.303346371142986E-2</v>
      </c>
      <c r="P29" s="89">
        <v>-2.1807720861173056E-2</v>
      </c>
      <c r="R29" s="71">
        <v>37799</v>
      </c>
      <c r="S29" s="99">
        <f>+I29-[1]Data!W27</f>
        <v>-1.0295389510532731E-2</v>
      </c>
    </row>
    <row r="30" spans="1:19">
      <c r="C30" s="71">
        <v>37806</v>
      </c>
      <c r="D30" s="118">
        <f t="shared" si="0"/>
        <v>8.6312946148837106</v>
      </c>
      <c r="E30" s="92">
        <f t="shared" si="1"/>
        <v>97.403712806641124</v>
      </c>
      <c r="F30" s="92">
        <f t="shared" si="2"/>
        <v>0</v>
      </c>
      <c r="G30" s="92">
        <f t="shared" si="4"/>
        <v>106.03500742152484</v>
      </c>
      <c r="H30" s="92">
        <f t="shared" si="3"/>
        <v>105.98731313061614</v>
      </c>
      <c r="I30" s="91">
        <f t="shared" si="5"/>
        <v>5.4952477450977838E-4</v>
      </c>
      <c r="J30" s="115"/>
      <c r="K30" s="64"/>
      <c r="L30" s="119">
        <v>37806</v>
      </c>
      <c r="M30" s="117">
        <v>1.0844448511748175E-2</v>
      </c>
      <c r="N30" s="117">
        <v>-3.5264039495729743E-4</v>
      </c>
      <c r="O30" s="117">
        <v>1.979537366548044E-2</v>
      </c>
      <c r="P30" s="89">
        <v>1.1763589792239912E-2</v>
      </c>
      <c r="R30" s="71">
        <v>37806</v>
      </c>
      <c r="S30" s="99">
        <f>+I30-[1]Data!W28</f>
        <v>3.8221708220208608E-4</v>
      </c>
    </row>
    <row r="31" spans="1:19">
      <c r="C31" s="71">
        <v>37813</v>
      </c>
      <c r="D31" s="118">
        <f t="shared" si="0"/>
        <v>8.6886308068459659</v>
      </c>
      <c r="E31" s="92">
        <f t="shared" si="1"/>
        <v>97.334991605260655</v>
      </c>
      <c r="F31" s="92">
        <f t="shared" si="2"/>
        <v>0</v>
      </c>
      <c r="G31" s="92">
        <f t="shared" si="4"/>
        <v>106.02362241210662</v>
      </c>
      <c r="H31" s="92">
        <f t="shared" si="3"/>
        <v>105.97593324214775</v>
      </c>
      <c r="I31" s="91">
        <f t="shared" si="5"/>
        <v>-1.0737028925691353E-4</v>
      </c>
      <c r="J31" s="115"/>
      <c r="K31" s="64"/>
      <c r="L31" s="119">
        <v>37813</v>
      </c>
      <c r="M31" s="117">
        <v>6.6428264264536191E-3</v>
      </c>
      <c r="N31" s="117">
        <v>-7.0552958814708788E-4</v>
      </c>
      <c r="O31" s="117">
        <v>9.814612868048354E-4</v>
      </c>
      <c r="P31" s="89">
        <v>6.5635255508672162E-3</v>
      </c>
      <c r="R31" s="71">
        <v>37813</v>
      </c>
      <c r="S31" s="99">
        <f>+I31-[1]Data!W29</f>
        <v>-2.7660105848768276E-4</v>
      </c>
    </row>
    <row r="32" spans="1:19">
      <c r="C32" s="71">
        <v>37820</v>
      </c>
      <c r="D32" s="118">
        <f t="shared" si="0"/>
        <v>8.6118569620719736</v>
      </c>
      <c r="E32" s="92">
        <f t="shared" si="1"/>
        <v>96.218272082828051</v>
      </c>
      <c r="F32" s="92">
        <f t="shared" si="2"/>
        <v>0</v>
      </c>
      <c r="G32" s="92">
        <f t="shared" si="4"/>
        <v>104.83012904490002</v>
      </c>
      <c r="H32" s="92">
        <f t="shared" si="3"/>
        <v>104.78297670538269</v>
      </c>
      <c r="I32" s="91">
        <f t="shared" si="5"/>
        <v>-1.1256862763729843E-2</v>
      </c>
      <c r="J32" s="115"/>
      <c r="K32" s="64"/>
      <c r="L32" s="119">
        <v>37820</v>
      </c>
      <c r="M32" s="117">
        <v>-8.8361269434420586E-3</v>
      </c>
      <c r="N32" s="117">
        <v>-1.1472950313299772E-2</v>
      </c>
      <c r="O32" s="117">
        <v>-1.9609979300578145E-3</v>
      </c>
      <c r="P32" s="89">
        <v>-8.7098276665113009E-3</v>
      </c>
      <c r="R32" s="71">
        <v>37820</v>
      </c>
      <c r="S32" s="99">
        <f>+I32-[1]Data!W30</f>
        <v>-1.142801660988369E-2</v>
      </c>
    </row>
    <row r="33" spans="3:19">
      <c r="C33" s="71">
        <v>37827</v>
      </c>
      <c r="D33" s="118">
        <f t="shared" si="0"/>
        <v>8.7382505436719065</v>
      </c>
      <c r="E33" s="92">
        <f t="shared" si="1"/>
        <v>96.119485355843622</v>
      </c>
      <c r="F33" s="92">
        <f t="shared" si="2"/>
        <v>0</v>
      </c>
      <c r="G33" s="92">
        <f t="shared" si="4"/>
        <v>104.85773589951553</v>
      </c>
      <c r="H33" s="92">
        <f t="shared" si="3"/>
        <v>104.81057114250149</v>
      </c>
      <c r="I33" s="91">
        <f t="shared" si="5"/>
        <v>2.6334847497585699E-4</v>
      </c>
      <c r="J33" s="115"/>
      <c r="K33" s="64"/>
      <c r="L33" s="119">
        <v>37827</v>
      </c>
      <c r="M33" s="117">
        <v>1.4676693093787987E-2</v>
      </c>
      <c r="N33" s="117">
        <v>-1.0266940451746191E-3</v>
      </c>
      <c r="O33" s="117">
        <v>1.6810391878615941E-2</v>
      </c>
      <c r="P33" s="89">
        <v>1.4800545035944072E-2</v>
      </c>
      <c r="R33" s="71">
        <v>37827</v>
      </c>
      <c r="S33" s="99">
        <f>+I33-[1]Data!W31</f>
        <v>8.8348474975856987E-5</v>
      </c>
    </row>
    <row r="34" spans="3:19">
      <c r="C34" s="71">
        <v>37834</v>
      </c>
      <c r="D34" s="118">
        <f t="shared" si="0"/>
        <v>8.6032614171100015</v>
      </c>
      <c r="E34" s="92">
        <f t="shared" si="1"/>
        <v>94.465881447626117</v>
      </c>
      <c r="F34" s="92">
        <f t="shared" si="2"/>
        <v>0</v>
      </c>
      <c r="G34" s="92">
        <f t="shared" si="4"/>
        <v>103.06914286473612</v>
      </c>
      <c r="H34" s="92">
        <f t="shared" si="3"/>
        <v>103.02278261256055</v>
      </c>
      <c r="I34" s="91">
        <f t="shared" si="5"/>
        <v>-1.705733029076089E-2</v>
      </c>
      <c r="J34" s="115"/>
      <c r="K34" s="64"/>
      <c r="L34" s="119">
        <v>37834</v>
      </c>
      <c r="M34" s="117">
        <v>-1.5448072344373582E-2</v>
      </c>
      <c r="N34" s="117">
        <v>-1.7203628401626501E-2</v>
      </c>
      <c r="O34" s="117">
        <v>7.8368223295758425E-3</v>
      </c>
      <c r="P34" s="89">
        <v>-1.4492082600240742E-2</v>
      </c>
      <c r="R34" s="71">
        <v>37834</v>
      </c>
      <c r="S34" s="99">
        <f>+I34-[1]Data!W32</f>
        <v>-1.7240022598453197E-2</v>
      </c>
    </row>
    <row r="35" spans="3:19">
      <c r="C35" s="71">
        <v>37841</v>
      </c>
      <c r="D35" s="118">
        <f t="shared" si="0"/>
        <v>8.5799166984064588</v>
      </c>
      <c r="E35" s="92">
        <f t="shared" si="1"/>
        <v>95.569715744799879</v>
      </c>
      <c r="F35" s="92">
        <f t="shared" si="2"/>
        <v>0</v>
      </c>
      <c r="G35" s="92">
        <f t="shared" si="4"/>
        <v>104.14963244320634</v>
      </c>
      <c r="H35" s="92">
        <f t="shared" si="3"/>
        <v>104.10278618942118</v>
      </c>
      <c r="I35" s="91">
        <f t="shared" si="5"/>
        <v>1.0483152847096167E-2</v>
      </c>
      <c r="J35" s="115"/>
      <c r="K35" s="64"/>
      <c r="L35" s="119">
        <v>37841</v>
      </c>
      <c r="M35" s="117">
        <v>-2.7134731320745996E-3</v>
      </c>
      <c r="N35" s="117">
        <v>1.1685005001363977E-2</v>
      </c>
      <c r="O35" s="117">
        <v>-1.2143161482743935E-2</v>
      </c>
      <c r="P35" s="89">
        <v>-3.0068123091378266E-3</v>
      </c>
      <c r="R35" s="71">
        <v>37841</v>
      </c>
      <c r="S35" s="99">
        <f>+I35-[1]Data!W33</f>
        <v>1.0302383616326936E-2</v>
      </c>
    </row>
    <row r="36" spans="3:19">
      <c r="C36" s="71">
        <v>37848</v>
      </c>
      <c r="D36" s="118">
        <f t="shared" si="0"/>
        <v>8.7445995257460911</v>
      </c>
      <c r="E36" s="92">
        <f t="shared" si="1"/>
        <v>94.431520846935882</v>
      </c>
      <c r="F36" s="92">
        <f t="shared" si="2"/>
        <v>0</v>
      </c>
      <c r="G36" s="92">
        <f t="shared" si="4"/>
        <v>103.17612037268198</v>
      </c>
      <c r="H36" s="92">
        <f t="shared" si="3"/>
        <v>103.12971200228102</v>
      </c>
      <c r="I36" s="91">
        <f t="shared" si="5"/>
        <v>-9.3472444183154736E-3</v>
      </c>
      <c r="J36" s="115"/>
      <c r="K36" s="64"/>
      <c r="L36" s="119">
        <v>37848</v>
      </c>
      <c r="M36" s="117">
        <v>1.9193989071038267E-2</v>
      </c>
      <c r="N36" s="117">
        <v>-1.1909577097658431E-2</v>
      </c>
      <c r="O36" s="117">
        <v>2.0487384084537479E-2</v>
      </c>
      <c r="P36" s="89">
        <v>1.9885962018755001E-2</v>
      </c>
      <c r="R36" s="71">
        <v>37848</v>
      </c>
      <c r="S36" s="99">
        <f>+I36-[1]Data!W34</f>
        <v>-9.5280136490847045E-3</v>
      </c>
    </row>
    <row r="37" spans="3:19">
      <c r="C37" s="71">
        <v>37855</v>
      </c>
      <c r="D37" s="118">
        <f t="shared" si="0"/>
        <v>8.7688233342752895</v>
      </c>
      <c r="E37" s="92">
        <f t="shared" si="1"/>
        <v>94.410045471504489</v>
      </c>
      <c r="F37" s="92">
        <f t="shared" si="2"/>
        <v>0</v>
      </c>
      <c r="G37" s="92">
        <f t="shared" si="4"/>
        <v>103.17886880577979</v>
      </c>
      <c r="H37" s="92">
        <f t="shared" si="3"/>
        <v>103.13245919914023</v>
      </c>
      <c r="I37" s="91">
        <f t="shared" si="5"/>
        <v>2.6638267535772034E-5</v>
      </c>
      <c r="J37" s="115"/>
      <c r="K37" s="64"/>
      <c r="L37" s="119">
        <v>37855</v>
      </c>
      <c r="M37" s="117">
        <v>2.7701449858141972E-3</v>
      </c>
      <c r="N37" s="117">
        <v>-2.2741744746662134E-4</v>
      </c>
      <c r="O37" s="117">
        <v>2.6204564666103169E-2</v>
      </c>
      <c r="P37" s="89">
        <v>4.574227232823456E-3</v>
      </c>
      <c r="R37" s="71">
        <v>37855</v>
      </c>
      <c r="S37" s="99">
        <f>+I37-[1]Data!W35</f>
        <v>-1.5605404015653566E-4</v>
      </c>
    </row>
    <row r="38" spans="3:19">
      <c r="C38" s="71">
        <v>37862</v>
      </c>
      <c r="D38" s="118">
        <f t="shared" si="0"/>
        <v>8.8428622329250164</v>
      </c>
      <c r="E38" s="92">
        <f t="shared" si="1"/>
        <v>94.672045051767512</v>
      </c>
      <c r="F38" s="92">
        <f t="shared" si="2"/>
        <v>0</v>
      </c>
      <c r="G38" s="92">
        <f t="shared" si="4"/>
        <v>103.51490728469253</v>
      </c>
      <c r="H38" s="92">
        <f t="shared" si="3"/>
        <v>103.46834652875465</v>
      </c>
      <c r="I38" s="91">
        <f t="shared" si="5"/>
        <v>3.256853683337967E-3</v>
      </c>
      <c r="J38" s="115"/>
      <c r="K38" s="64"/>
      <c r="L38" s="119">
        <v>37862</v>
      </c>
      <c r="M38" s="117">
        <v>8.4434245995500274E-3</v>
      </c>
      <c r="N38" s="117">
        <v>2.7751239707019025E-3</v>
      </c>
      <c r="O38" s="117">
        <v>5.4571663920922686E-3</v>
      </c>
      <c r="P38" s="89">
        <v>7.7269800386349317E-3</v>
      </c>
      <c r="R38" s="71">
        <v>37862</v>
      </c>
      <c r="S38" s="99">
        <f>+I38-[1]Data!W36</f>
        <v>3.0683921448764286E-3</v>
      </c>
    </row>
    <row r="39" spans="3:19">
      <c r="C39" s="71">
        <v>37869</v>
      </c>
      <c r="D39" s="118">
        <f t="shared" si="0"/>
        <v>9.0142847489280147</v>
      </c>
      <c r="E39" s="92">
        <f t="shared" si="1"/>
        <v>94.431520846935882</v>
      </c>
      <c r="F39" s="92">
        <f t="shared" si="2"/>
        <v>0</v>
      </c>
      <c r="G39" s="92">
        <f t="shared" si="4"/>
        <v>103.4458055958639</v>
      </c>
      <c r="H39" s="92">
        <f t="shared" si="3"/>
        <v>103.3992759216992</v>
      </c>
      <c r="I39" s="91">
        <f t="shared" si="5"/>
        <v>-6.6755301860609083E-4</v>
      </c>
      <c r="J39" s="115"/>
      <c r="K39" s="64"/>
      <c r="L39" s="119">
        <v>37869</v>
      </c>
      <c r="M39" s="117">
        <v>1.938541068351517E-2</v>
      </c>
      <c r="N39" s="117">
        <v>-2.5406043008800194E-3</v>
      </c>
      <c r="O39" s="117">
        <v>1.5053763440860202E-2</v>
      </c>
      <c r="P39" s="89">
        <v>1.9580100410771302E-2</v>
      </c>
      <c r="R39" s="71">
        <v>37869</v>
      </c>
      <c r="S39" s="99">
        <f>+I39-[1]Data!W37</f>
        <v>-8.5024532629839858E-4</v>
      </c>
    </row>
    <row r="40" spans="3:19">
      <c r="C40" s="71">
        <v>37876</v>
      </c>
      <c r="D40" s="118">
        <f t="shared" si="0"/>
        <v>9.0154568686955567</v>
      </c>
      <c r="E40" s="92">
        <f t="shared" si="1"/>
        <v>95.535355144109658</v>
      </c>
      <c r="F40" s="92">
        <f t="shared" si="2"/>
        <v>0</v>
      </c>
      <c r="G40" s="92">
        <f t="shared" si="4"/>
        <v>104.55081201280521</v>
      </c>
      <c r="H40" s="92">
        <f t="shared" si="3"/>
        <v>104.50378530941605</v>
      </c>
      <c r="I40" s="91">
        <f t="shared" si="5"/>
        <v>1.0681983774753446E-2</v>
      </c>
      <c r="J40" s="115"/>
      <c r="K40" s="64"/>
      <c r="L40" s="119">
        <v>37876</v>
      </c>
      <c r="M40" s="117">
        <v>1.3002914820072658E-4</v>
      </c>
      <c r="N40" s="117">
        <v>1.1689256799781647E-2</v>
      </c>
      <c r="O40" s="117">
        <v>1.008878127522138E-3</v>
      </c>
      <c r="P40" s="89">
        <v>4.4764761180085624E-5</v>
      </c>
      <c r="R40" s="71">
        <v>37876</v>
      </c>
      <c r="S40" s="99">
        <f>+I40-[1]Data!W38</f>
        <v>1.0501214543984215E-2</v>
      </c>
    </row>
    <row r="41" spans="3:19">
      <c r="C41" s="71">
        <v>37883</v>
      </c>
      <c r="D41" s="118">
        <f t="shared" si="0"/>
        <v>9.2058286542738159</v>
      </c>
      <c r="E41" s="92">
        <f t="shared" si="1"/>
        <v>96.458796287659709</v>
      </c>
      <c r="F41" s="92">
        <f t="shared" si="2"/>
        <v>0</v>
      </c>
      <c r="G41" s="92">
        <f t="shared" si="4"/>
        <v>105.66462494193352</v>
      </c>
      <c r="H41" s="92">
        <f t="shared" si="3"/>
        <v>105.61709724817192</v>
      </c>
      <c r="I41" s="91">
        <f t="shared" si="5"/>
        <v>1.0653316867514067E-2</v>
      </c>
      <c r="J41" s="115"/>
      <c r="K41" s="64"/>
      <c r="L41" s="119">
        <v>37883</v>
      </c>
      <c r="M41" s="117">
        <v>2.1116155104605693E-2</v>
      </c>
      <c r="N41" s="117">
        <v>9.6659623252259384E-3</v>
      </c>
      <c r="O41" s="117">
        <v>1.3706913928643413E-2</v>
      </c>
      <c r="P41" s="89">
        <v>2.005371530886298E-2</v>
      </c>
      <c r="R41" s="71">
        <v>37883</v>
      </c>
      <c r="S41" s="99">
        <f>+I41-[1]Data!W39</f>
        <v>1.0474470713667913E-2</v>
      </c>
    </row>
    <row r="42" spans="3:19">
      <c r="C42" s="71">
        <v>37890</v>
      </c>
      <c r="D42" s="118">
        <f t="shared" si="0"/>
        <v>8.9099660896167912</v>
      </c>
      <c r="E42" s="92">
        <f t="shared" si="1"/>
        <v>97.48102415819416</v>
      </c>
      <c r="F42" s="92">
        <f t="shared" si="2"/>
        <v>0</v>
      </c>
      <c r="G42" s="92">
        <f t="shared" si="4"/>
        <v>106.39099024781095</v>
      </c>
      <c r="H42" s="92">
        <f t="shared" si="3"/>
        <v>106.34313583668452</v>
      </c>
      <c r="I42" s="91">
        <f t="shared" si="5"/>
        <v>6.874252440460582E-3</v>
      </c>
      <c r="J42" s="115"/>
      <c r="K42" s="64"/>
      <c r="L42" s="119">
        <v>37890</v>
      </c>
      <c r="M42" s="117">
        <v>-3.213861302096592E-2</v>
      </c>
      <c r="N42" s="117">
        <v>1.0597559889571624E-2</v>
      </c>
      <c r="O42" s="117">
        <v>5.4682839530721533E-3</v>
      </c>
      <c r="P42" s="89">
        <v>-3.1420045638055102E-2</v>
      </c>
      <c r="R42" s="71">
        <v>37890</v>
      </c>
      <c r="S42" s="99">
        <f>+I42-[1]Data!W40</f>
        <v>6.6954062866144285E-3</v>
      </c>
    </row>
    <row r="43" spans="3:19">
      <c r="C43" s="71">
        <v>37897</v>
      </c>
      <c r="D43" s="118">
        <f t="shared" si="0"/>
        <v>9.2229220675504688</v>
      </c>
      <c r="E43" s="92">
        <f t="shared" si="1"/>
        <v>98.069449445014413</v>
      </c>
      <c r="F43" s="92">
        <f t="shared" si="2"/>
        <v>0</v>
      </c>
      <c r="G43" s="92">
        <f t="shared" si="4"/>
        <v>107.29237151256488</v>
      </c>
      <c r="H43" s="92">
        <f t="shared" si="3"/>
        <v>107.24411166231693</v>
      </c>
      <c r="I43" s="91">
        <f t="shared" si="5"/>
        <v>8.4723458504746916E-3</v>
      </c>
      <c r="J43" s="115"/>
      <c r="K43" s="64"/>
      <c r="L43" s="119">
        <v>37897</v>
      </c>
      <c r="M43" s="117">
        <v>3.512426139291152E-2</v>
      </c>
      <c r="N43" s="117">
        <v>6.0363059569968477E-3</v>
      </c>
      <c r="O43" s="117">
        <v>4.7562543261149039E-2</v>
      </c>
      <c r="P43" s="89">
        <v>3.5157665820949577E-2</v>
      </c>
      <c r="R43" s="71">
        <v>37897</v>
      </c>
      <c r="S43" s="99">
        <f>+I43-[1]Data!W41</f>
        <v>8.2934996966285372E-3</v>
      </c>
    </row>
    <row r="44" spans="3:19">
      <c r="C44" s="71">
        <v>37904</v>
      </c>
      <c r="D44" s="118">
        <f t="shared" si="0"/>
        <v>9.3405247508938363</v>
      </c>
      <c r="E44" s="92">
        <f t="shared" si="1"/>
        <v>97.450958632590186</v>
      </c>
      <c r="F44" s="92">
        <f t="shared" si="2"/>
        <v>0</v>
      </c>
      <c r="G44" s="92">
        <f t="shared" si="4"/>
        <v>106.79148338348402</v>
      </c>
      <c r="H44" s="92">
        <f t="shared" si="3"/>
        <v>106.74344883150992</v>
      </c>
      <c r="I44" s="91">
        <f t="shared" si="5"/>
        <v>-4.6684412136626724E-3</v>
      </c>
      <c r="J44" s="115"/>
      <c r="K44" s="64"/>
      <c r="L44" s="119">
        <v>37904</v>
      </c>
      <c r="M44" s="117">
        <v>1.2751130550819147E-2</v>
      </c>
      <c r="N44" s="117">
        <v>-6.306661411115605E-3</v>
      </c>
      <c r="O44" s="117">
        <v>1.6518784217481593E-2</v>
      </c>
      <c r="P44" s="89">
        <v>1.4180672268907603E-2</v>
      </c>
      <c r="R44" s="71">
        <v>37904</v>
      </c>
      <c r="S44" s="99">
        <f>+I44-[1]Data!W42</f>
        <v>-4.8415181367395957E-3</v>
      </c>
    </row>
    <row r="45" spans="3:19">
      <c r="C45" s="71">
        <v>37911</v>
      </c>
      <c r="D45" s="118">
        <f t="shared" si="0"/>
        <v>9.3713905714391057</v>
      </c>
      <c r="E45" s="92">
        <f t="shared" si="1"/>
        <v>96.98709052327203</v>
      </c>
      <c r="F45" s="92">
        <f t="shared" si="2"/>
        <v>0</v>
      </c>
      <c r="G45" s="92">
        <f t="shared" si="4"/>
        <v>106.35848109471114</v>
      </c>
      <c r="H45" s="92">
        <f t="shared" si="3"/>
        <v>106.31064130612346</v>
      </c>
      <c r="I45" s="91">
        <f t="shared" si="5"/>
        <v>-4.0546518791015826E-3</v>
      </c>
      <c r="J45" s="115"/>
      <c r="K45" s="64"/>
      <c r="L45" s="119">
        <v>37911</v>
      </c>
      <c r="M45" s="117">
        <v>3.3045060495466429E-3</v>
      </c>
      <c r="N45" s="117">
        <v>-4.7600158667194855E-3</v>
      </c>
      <c r="O45" s="117">
        <v>-2.4143374500881316E-3</v>
      </c>
      <c r="P45" s="89">
        <v>3.3229760055239524E-3</v>
      </c>
      <c r="R45" s="71">
        <v>37911</v>
      </c>
      <c r="S45" s="99">
        <f>+I45-[1]Data!W43</f>
        <v>-4.2296518791015824E-3</v>
      </c>
    </row>
    <row r="46" spans="3:19">
      <c r="C46" s="71">
        <v>37918</v>
      </c>
      <c r="D46" s="118">
        <f t="shared" si="0"/>
        <v>9.2412852772419587</v>
      </c>
      <c r="E46" s="92">
        <f t="shared" si="1"/>
        <v>97.532565059229498</v>
      </c>
      <c r="F46" s="92">
        <f t="shared" si="2"/>
        <v>0</v>
      </c>
      <c r="G46" s="92">
        <f t="shared" si="4"/>
        <v>106.77385033647145</v>
      </c>
      <c r="H46" s="92">
        <f t="shared" si="3"/>
        <v>106.72582371579942</v>
      </c>
      <c r="I46" s="91">
        <f t="shared" si="5"/>
        <v>3.90537019225045E-3</v>
      </c>
      <c r="J46" s="115"/>
      <c r="K46" s="64"/>
      <c r="L46" s="119">
        <v>37918</v>
      </c>
      <c r="M46" s="117">
        <v>-1.3883243175635468E-2</v>
      </c>
      <c r="N46" s="117">
        <v>5.6241973340419391E-3</v>
      </c>
      <c r="O46" s="117">
        <v>-2.1502373638648441E-2</v>
      </c>
      <c r="P46" s="89">
        <v>-1.4237171491246944E-2</v>
      </c>
      <c r="R46" s="71">
        <v>37918</v>
      </c>
      <c r="S46" s="99">
        <f>+I46-[1]Data!W44</f>
        <v>3.726524038404296E-3</v>
      </c>
    </row>
    <row r="47" spans="3:19">
      <c r="C47" s="71">
        <v>37925</v>
      </c>
      <c r="D47" s="118">
        <f t="shared" si="0"/>
        <v>9.4034285117519172</v>
      </c>
      <c r="E47" s="92">
        <f t="shared" si="1"/>
        <v>97.519679833970656</v>
      </c>
      <c r="F47" s="92">
        <f t="shared" si="2"/>
        <v>0</v>
      </c>
      <c r="G47" s="92">
        <f t="shared" si="4"/>
        <v>106.92310834572257</v>
      </c>
      <c r="H47" s="92">
        <f t="shared" si="3"/>
        <v>106.87501458915754</v>
      </c>
      <c r="I47" s="91">
        <f t="shared" si="5"/>
        <v>1.3978891721220495E-3</v>
      </c>
      <c r="J47" s="115"/>
      <c r="K47" s="64"/>
      <c r="L47" s="119">
        <v>37925</v>
      </c>
      <c r="M47" s="117">
        <v>1.7545528532623079E-2</v>
      </c>
      <c r="N47" s="117">
        <v>-1.3211203100229495E-4</v>
      </c>
      <c r="O47" s="117">
        <v>6.373668188736698E-3</v>
      </c>
      <c r="P47" s="89">
        <v>1.771533292608431E-2</v>
      </c>
      <c r="R47" s="71">
        <v>37925</v>
      </c>
      <c r="S47" s="99">
        <f>+I47-[1]Data!W45</f>
        <v>1.2171199413528188E-3</v>
      </c>
    </row>
    <row r="48" spans="3:19">
      <c r="C48" s="71">
        <v>37932</v>
      </c>
      <c r="D48" s="118">
        <f t="shared" si="0"/>
        <v>9.4485551228022793</v>
      </c>
      <c r="E48" s="92">
        <f t="shared" si="1"/>
        <v>96.763746618785504</v>
      </c>
      <c r="F48" s="92">
        <f t="shared" si="2"/>
        <v>0</v>
      </c>
      <c r="G48" s="92">
        <f t="shared" si="4"/>
        <v>106.21230174158778</v>
      </c>
      <c r="H48" s="92">
        <f t="shared" si="3"/>
        <v>106.16452770412101</v>
      </c>
      <c r="I48" s="91">
        <f t="shared" si="5"/>
        <v>-6.6478295957922559E-3</v>
      </c>
      <c r="J48" s="115"/>
      <c r="K48" s="64"/>
      <c r="L48" s="119">
        <v>37932</v>
      </c>
      <c r="M48" s="117">
        <v>4.7989529557187572E-3</v>
      </c>
      <c r="N48" s="117">
        <v>-7.7515965646334254E-3</v>
      </c>
      <c r="O48" s="117">
        <v>6.9004631817751183E-3</v>
      </c>
      <c r="P48" s="89">
        <v>5.3592865717715654E-3</v>
      </c>
      <c r="R48" s="71">
        <v>37932</v>
      </c>
      <c r="S48" s="99">
        <f>+I48-[1]Data!W46</f>
        <v>-6.8285988265614867E-3</v>
      </c>
    </row>
    <row r="49" spans="3:19">
      <c r="C49" s="71">
        <v>37939</v>
      </c>
      <c r="D49" s="118">
        <f t="shared" si="0"/>
        <v>9.4748301409246771</v>
      </c>
      <c r="E49" s="92">
        <f t="shared" si="1"/>
        <v>97.863285840873004</v>
      </c>
      <c r="F49" s="92">
        <f t="shared" si="2"/>
        <v>0</v>
      </c>
      <c r="G49" s="92">
        <f t="shared" si="4"/>
        <v>107.33811598179769</v>
      </c>
      <c r="H49" s="92">
        <f t="shared" si="3"/>
        <v>107.28983555579765</v>
      </c>
      <c r="I49" s="91">
        <f t="shared" si="5"/>
        <v>1.0599659566261665E-2</v>
      </c>
      <c r="J49" s="115"/>
      <c r="K49" s="64"/>
      <c r="L49" s="119">
        <v>37939</v>
      </c>
      <c r="M49" s="117">
        <v>2.7808503819792014E-3</v>
      </c>
      <c r="N49" s="117">
        <v>1.136313196324738E-2</v>
      </c>
      <c r="O49" s="117">
        <v>-1.1265490048816217E-3</v>
      </c>
      <c r="P49" s="89">
        <v>2.8146189602967996E-3</v>
      </c>
      <c r="R49" s="71">
        <v>37939</v>
      </c>
      <c r="S49" s="99">
        <f>+I49-[1]Data!W47</f>
        <v>1.0420813412415511E-2</v>
      </c>
    </row>
    <row r="50" spans="3:19">
      <c r="C50" s="71">
        <v>37946</v>
      </c>
      <c r="D50" s="118">
        <f t="shared" si="0"/>
        <v>9.3376921281222796</v>
      </c>
      <c r="E50" s="92">
        <f t="shared" si="1"/>
        <v>98.623514131144447</v>
      </c>
      <c r="F50" s="92">
        <f t="shared" si="2"/>
        <v>0</v>
      </c>
      <c r="G50" s="92">
        <f t="shared" si="4"/>
        <v>107.96120625926673</v>
      </c>
      <c r="H50" s="92">
        <f t="shared" si="3"/>
        <v>107.91264556876087</v>
      </c>
      <c r="I50" s="91">
        <f t="shared" si="5"/>
        <v>5.8049302595800179E-3</v>
      </c>
      <c r="J50" s="115"/>
      <c r="K50" s="64"/>
      <c r="L50" s="119">
        <v>37946</v>
      </c>
      <c r="M50" s="117">
        <v>-1.4473928372610837E-2</v>
      </c>
      <c r="N50" s="117">
        <v>7.7682685977617308E-3</v>
      </c>
      <c r="O50" s="117">
        <v>-1.8327067669172959E-2</v>
      </c>
      <c r="P50" s="89">
        <v>-1.5351903040612432E-2</v>
      </c>
      <c r="R50" s="71">
        <v>37946</v>
      </c>
      <c r="S50" s="99">
        <f>+I50-[1]Data!W48</f>
        <v>5.6260841057338643E-3</v>
      </c>
    </row>
    <row r="51" spans="3:19">
      <c r="C51" s="71">
        <v>37953</v>
      </c>
      <c r="D51" s="118">
        <f t="shared" si="0"/>
        <v>9.5334361293017711</v>
      </c>
      <c r="E51" s="92">
        <f t="shared" si="1"/>
        <v>98.391580076485369</v>
      </c>
      <c r="F51" s="92">
        <f t="shared" si="2"/>
        <v>0</v>
      </c>
      <c r="G51" s="92">
        <f t="shared" si="4"/>
        <v>107.92501620578714</v>
      </c>
      <c r="H51" s="92">
        <f t="shared" si="3"/>
        <v>107.87647179348016</v>
      </c>
      <c r="I51" s="91">
        <f t="shared" si="5"/>
        <v>-3.352134968987678E-4</v>
      </c>
      <c r="J51" s="115"/>
      <c r="K51" s="64"/>
      <c r="L51" s="119">
        <v>37953</v>
      </c>
      <c r="M51" s="117">
        <v>2.0962781648151598E-2</v>
      </c>
      <c r="N51" s="117">
        <v>-2.3517115233864299E-3</v>
      </c>
      <c r="O51" s="117">
        <v>2.6424126376256494E-2</v>
      </c>
      <c r="P51" s="89">
        <v>2.1076271918458993E-2</v>
      </c>
      <c r="R51" s="71">
        <v>37953</v>
      </c>
      <c r="S51" s="99">
        <f>+I51-[1]Data!W49</f>
        <v>-5.1405965074492169E-4</v>
      </c>
    </row>
    <row r="52" spans="3:19">
      <c r="C52" s="71">
        <v>37960</v>
      </c>
      <c r="D52" s="118">
        <f t="shared" si="0"/>
        <v>9.6486945731100562</v>
      </c>
      <c r="E52" s="92">
        <f t="shared" si="1"/>
        <v>98.318563800018609</v>
      </c>
      <c r="F52" s="92">
        <f t="shared" si="2"/>
        <v>0</v>
      </c>
      <c r="G52" s="92">
        <f t="shared" si="4"/>
        <v>107.96725837312866</v>
      </c>
      <c r="H52" s="92">
        <f t="shared" si="3"/>
        <v>107.91869496039658</v>
      </c>
      <c r="I52" s="91">
        <f t="shared" si="5"/>
        <v>3.9140292794565326E-4</v>
      </c>
      <c r="J52" s="115"/>
      <c r="K52" s="64"/>
      <c r="L52" s="119">
        <v>37960</v>
      </c>
      <c r="M52" s="117">
        <v>1.2089916190242073E-2</v>
      </c>
      <c r="N52" s="117">
        <v>-7.4209883010309017E-4</v>
      </c>
      <c r="O52" s="117">
        <v>1.5390355377296949E-2</v>
      </c>
      <c r="P52" s="89">
        <v>1.2266305727095871E-2</v>
      </c>
      <c r="R52" s="71">
        <v>37960</v>
      </c>
      <c r="S52" s="99">
        <f>+I52-[1]Data!W50</f>
        <v>2.1447985102257633E-4</v>
      </c>
    </row>
    <row r="53" spans="3:19">
      <c r="C53" s="71">
        <v>37967</v>
      </c>
      <c r="D53" s="118">
        <f t="shared" si="0"/>
        <v>9.72097529210847</v>
      </c>
      <c r="E53" s="92">
        <f t="shared" si="1"/>
        <v>99.070201940117485</v>
      </c>
      <c r="F53" s="92">
        <f t="shared" si="2"/>
        <v>0</v>
      </c>
      <c r="G53" s="92">
        <f t="shared" si="4"/>
        <v>108.79117723222595</v>
      </c>
      <c r="H53" s="92">
        <f t="shared" si="3"/>
        <v>108.7422432227758</v>
      </c>
      <c r="I53" s="91">
        <f t="shared" si="5"/>
        <v>7.6311918215971825E-3</v>
      </c>
      <c r="J53" s="115"/>
      <c r="K53" s="64"/>
      <c r="L53" s="119">
        <v>37967</v>
      </c>
      <c r="M53" s="117">
        <v>7.4912433439290327E-3</v>
      </c>
      <c r="N53" s="117">
        <v>7.6449259534314799E-3</v>
      </c>
      <c r="O53" s="117">
        <v>1.0012860554841112E-2</v>
      </c>
      <c r="P53" s="89">
        <v>7.8555908407153419E-3</v>
      </c>
      <c r="R53" s="71">
        <v>37967</v>
      </c>
      <c r="S53" s="99">
        <f>+I53-[1]Data!W51</f>
        <v>7.4581148985202591E-3</v>
      </c>
    </row>
    <row r="54" spans="3:19">
      <c r="C54" s="71">
        <v>37974</v>
      </c>
      <c r="D54" s="118">
        <f t="shared" si="0"/>
        <v>9.8508852330110255</v>
      </c>
      <c r="E54" s="92">
        <f t="shared" si="1"/>
        <v>99.873380981251714</v>
      </c>
      <c r="F54" s="92">
        <f t="shared" si="2"/>
        <v>0</v>
      </c>
      <c r="G54" s="92">
        <f t="shared" si="4"/>
        <v>109.72426621426274</v>
      </c>
      <c r="H54" s="92">
        <f t="shared" si="3"/>
        <v>109.67491250363619</v>
      </c>
      <c r="I54" s="91">
        <f t="shared" si="5"/>
        <v>8.5768810097992341E-3</v>
      </c>
      <c r="J54" s="115"/>
      <c r="K54" s="64"/>
      <c r="L54" s="119">
        <v>37974</v>
      </c>
      <c r="M54" s="117">
        <v>1.336387934326074E-2</v>
      </c>
      <c r="N54" s="117">
        <v>8.107170727477693E-3</v>
      </c>
      <c r="O54" s="117">
        <v>7.27603456116401E-4</v>
      </c>
      <c r="P54" s="89">
        <v>1.2893864013267056E-2</v>
      </c>
      <c r="R54" s="71">
        <v>37974</v>
      </c>
      <c r="S54" s="99">
        <f>+I54-[1]Data!W52</f>
        <v>8.4076502405684653E-3</v>
      </c>
    </row>
    <row r="55" spans="3:19">
      <c r="C55" s="71">
        <v>37981</v>
      </c>
      <c r="D55" s="118">
        <f t="shared" si="0"/>
        <v>9.946510670712982</v>
      </c>
      <c r="E55" s="92">
        <f t="shared" si="1"/>
        <v>99.980757858408694</v>
      </c>
      <c r="F55" s="92">
        <f t="shared" si="2"/>
        <v>0</v>
      </c>
      <c r="G55" s="92">
        <f t="shared" si="4"/>
        <v>109.92726852912168</v>
      </c>
      <c r="H55" s="92">
        <f t="shared" si="3"/>
        <v>109.87782350854293</v>
      </c>
      <c r="I55" s="91">
        <f t="shared" si="5"/>
        <v>1.8501132143598569E-3</v>
      </c>
      <c r="J55" s="115"/>
      <c r="K55" s="64"/>
      <c r="L55" s="119">
        <v>37981</v>
      </c>
      <c r="M55" s="117">
        <v>9.707293856343913E-3</v>
      </c>
      <c r="N55" s="117">
        <v>1.0751300907409797E-3</v>
      </c>
      <c r="O55" s="117">
        <v>8.3613559938198832E-3</v>
      </c>
      <c r="P55" s="89">
        <v>9.8645163931071044E-3</v>
      </c>
      <c r="R55" s="71">
        <v>37981</v>
      </c>
      <c r="S55" s="99">
        <f>+I55-[1]Data!W53</f>
        <v>1.6808824451290877E-3</v>
      </c>
    </row>
    <row r="56" spans="3:19">
      <c r="C56" s="71">
        <v>37988</v>
      </c>
      <c r="D56" s="118">
        <f t="shared" si="0"/>
        <v>10.139422049120915</v>
      </c>
      <c r="E56" s="92">
        <f t="shared" si="1"/>
        <v>100.08383966047941</v>
      </c>
      <c r="F56" s="92">
        <f t="shared" si="2"/>
        <v>0</v>
      </c>
      <c r="G56" s="92">
        <f t="shared" si="4"/>
        <v>110.22326170960032</v>
      </c>
      <c r="H56" s="92">
        <f t="shared" si="3"/>
        <v>110.17368355200202</v>
      </c>
      <c r="I56" s="91">
        <f t="shared" si="5"/>
        <v>2.6926274475766571E-3</v>
      </c>
      <c r="J56" s="115"/>
      <c r="K56" s="64"/>
      <c r="L56" s="119">
        <v>37988</v>
      </c>
      <c r="M56" s="117">
        <v>1.9394879751745541E-2</v>
      </c>
      <c r="N56" s="117">
        <v>1.0310164103445704E-3</v>
      </c>
      <c r="O56" s="117">
        <v>1.892744479495263E-2</v>
      </c>
      <c r="P56" s="89">
        <v>2.0346952010376177E-2</v>
      </c>
      <c r="R56" s="71">
        <v>37988</v>
      </c>
      <c r="S56" s="99">
        <f>+I56-[1]Data!W54</f>
        <v>2.5176274475766573E-3</v>
      </c>
    </row>
    <row r="57" spans="3:19">
      <c r="C57" s="71">
        <v>37995</v>
      </c>
      <c r="D57" s="118">
        <f t="shared" si="0"/>
        <v>10.322272732857446</v>
      </c>
      <c r="E57" s="92">
        <f t="shared" si="1"/>
        <v>100.5219373192799</v>
      </c>
      <c r="F57" s="92">
        <f t="shared" si="2"/>
        <v>0</v>
      </c>
      <c r="G57" s="92">
        <f t="shared" si="4"/>
        <v>110.84421005213734</v>
      </c>
      <c r="H57" s="92">
        <f t="shared" si="3"/>
        <v>110.79435259347035</v>
      </c>
      <c r="I57" s="91">
        <f t="shared" si="5"/>
        <v>5.6335507850690698E-3</v>
      </c>
      <c r="J57" s="115"/>
      <c r="K57" s="64"/>
      <c r="L57" s="119">
        <v>37995</v>
      </c>
      <c r="M57" s="117">
        <v>1.8033639674007309E-2</v>
      </c>
      <c r="N57" s="117">
        <v>4.3773066689553764E-3</v>
      </c>
      <c r="O57" s="117">
        <v>3.7151702786377735E-2</v>
      </c>
      <c r="P57" s="89">
        <v>1.8987844601572941E-2</v>
      </c>
      <c r="R57" s="71">
        <v>37995</v>
      </c>
      <c r="S57" s="99">
        <f>+I57-[1]Data!W55</f>
        <v>5.4643200158383002E-3</v>
      </c>
    </row>
    <row r="58" spans="3:19">
      <c r="C58" s="71">
        <v>38002</v>
      </c>
      <c r="D58" s="118">
        <f t="shared" si="0"/>
        <v>10.350110577336567</v>
      </c>
      <c r="E58" s="92">
        <f t="shared" si="1"/>
        <v>101.40672278705344</v>
      </c>
      <c r="F58" s="92">
        <f t="shared" si="2"/>
        <v>0</v>
      </c>
      <c r="G58" s="92">
        <f t="shared" si="4"/>
        <v>111.75683336439</v>
      </c>
      <c r="H58" s="92">
        <f t="shared" si="3"/>
        <v>111.70656540995557</v>
      </c>
      <c r="I58" s="91">
        <f t="shared" si="5"/>
        <v>8.2333873083977379E-3</v>
      </c>
      <c r="J58" s="115"/>
      <c r="K58" s="64"/>
      <c r="L58" s="119">
        <v>38002</v>
      </c>
      <c r="M58" s="117">
        <v>2.6968716289105929E-3</v>
      </c>
      <c r="N58" s="117">
        <v>8.8019142027004026E-3</v>
      </c>
      <c r="O58" s="117">
        <v>-1.4498933901919123E-3</v>
      </c>
      <c r="P58" s="89">
        <v>1.6372992359270854E-3</v>
      </c>
      <c r="R58" s="71">
        <v>38002</v>
      </c>
      <c r="S58" s="99">
        <f>+I58-[1]Data!W56</f>
        <v>8.0660796160900456E-3</v>
      </c>
    </row>
    <row r="59" spans="3:19">
      <c r="C59" s="71">
        <v>38009</v>
      </c>
      <c r="D59" s="118">
        <f t="shared" si="0"/>
        <v>10.467908613974524</v>
      </c>
      <c r="E59" s="92">
        <f t="shared" si="1"/>
        <v>101.21773948325715</v>
      </c>
      <c r="F59" s="92">
        <f t="shared" si="2"/>
        <v>0</v>
      </c>
      <c r="G59" s="92">
        <f t="shared" si="4"/>
        <v>111.68564809723168</v>
      </c>
      <c r="H59" s="92">
        <f t="shared" si="3"/>
        <v>111.63541216175894</v>
      </c>
      <c r="I59" s="91">
        <f t="shared" si="5"/>
        <v>-6.3696567820798746E-4</v>
      </c>
      <c r="J59" s="115"/>
      <c r="K59" s="64"/>
      <c r="L59" s="119">
        <v>38009</v>
      </c>
      <c r="M59" s="117">
        <v>1.1381331219387846E-2</v>
      </c>
      <c r="N59" s="117">
        <v>-1.8636171113934677E-3</v>
      </c>
      <c r="O59" s="117">
        <v>3.1004441407584519E-2</v>
      </c>
      <c r="P59" s="89">
        <v>1.1753716821047644E-2</v>
      </c>
      <c r="R59" s="71">
        <v>38009</v>
      </c>
      <c r="S59" s="99">
        <f>+I59-[1]Data!W57</f>
        <v>-8.0427337051567976E-4</v>
      </c>
    </row>
    <row r="60" spans="3:19">
      <c r="C60" s="71">
        <v>38016</v>
      </c>
      <c r="D60" s="118">
        <f t="shared" si="0"/>
        <v>10.278415918221921</v>
      </c>
      <c r="E60" s="92">
        <f t="shared" si="1"/>
        <v>100.45751119298571</v>
      </c>
      <c r="F60" s="92">
        <f t="shared" si="2"/>
        <v>0</v>
      </c>
      <c r="G60" s="92">
        <f t="shared" si="4"/>
        <v>110.73592711120763</v>
      </c>
      <c r="H60" s="92">
        <f t="shared" si="3"/>
        <v>110.68611835794661</v>
      </c>
      <c r="I60" s="91">
        <f t="shared" si="5"/>
        <v>-8.5035186006820491E-3</v>
      </c>
      <c r="J60" s="115"/>
      <c r="K60" s="64"/>
      <c r="L60" s="119">
        <v>38016</v>
      </c>
      <c r="M60" s="117">
        <v>-1.8102249717735622E-2</v>
      </c>
      <c r="N60" s="117">
        <v>-7.5108206738522037E-3</v>
      </c>
      <c r="O60" s="117">
        <v>-1.6982851462182067E-2</v>
      </c>
      <c r="P60" s="89">
        <v>-1.8310509309124447E-2</v>
      </c>
      <c r="R60" s="71">
        <v>38016</v>
      </c>
      <c r="S60" s="99">
        <f>+I60-[1]Data!W58</f>
        <v>-8.6765955237589724E-3</v>
      </c>
    </row>
    <row r="61" spans="3:19">
      <c r="C61" s="71">
        <v>38023</v>
      </c>
      <c r="D61" s="118">
        <f t="shared" si="0"/>
        <v>10.394748805150453</v>
      </c>
      <c r="E61" s="92">
        <f t="shared" si="1"/>
        <v>100.97721527842549</v>
      </c>
      <c r="F61" s="92">
        <f t="shared" si="2"/>
        <v>0</v>
      </c>
      <c r="G61" s="92">
        <f t="shared" si="4"/>
        <v>111.37196408357595</v>
      </c>
      <c r="H61" s="92">
        <f t="shared" si="3"/>
        <v>111.32186924241694</v>
      </c>
      <c r="I61" s="91">
        <f t="shared" si="5"/>
        <v>5.7437273427041538E-3</v>
      </c>
      <c r="J61" s="115"/>
      <c r="K61" s="64"/>
      <c r="L61" s="119">
        <v>38023</v>
      </c>
      <c r="M61" s="117">
        <v>1.1318172747056498E-2</v>
      </c>
      <c r="N61" s="117">
        <v>5.1733720979948179E-3</v>
      </c>
      <c r="O61" s="117">
        <v>1.9635934603067576E-2</v>
      </c>
      <c r="P61" s="89">
        <v>1.1050156739811886E-2</v>
      </c>
      <c r="R61" s="71">
        <v>38023</v>
      </c>
      <c r="S61" s="99">
        <f>+I61-[1]Data!W59</f>
        <v>5.5668042657810767E-3</v>
      </c>
    </row>
    <row r="62" spans="3:19">
      <c r="C62" s="71">
        <v>38030</v>
      </c>
      <c r="D62" s="118">
        <f t="shared" si="0"/>
        <v>10.493597572213149</v>
      </c>
      <c r="E62" s="92">
        <f t="shared" si="1"/>
        <v>101.84052537076762</v>
      </c>
      <c r="F62" s="92">
        <f t="shared" si="2"/>
        <v>0</v>
      </c>
      <c r="G62" s="92">
        <f t="shared" si="4"/>
        <v>112.33412294298077</v>
      </c>
      <c r="H62" s="92">
        <f t="shared" si="3"/>
        <v>112.28359532508456</v>
      </c>
      <c r="I62" s="91">
        <f t="shared" si="5"/>
        <v>8.6391478081754864E-3</v>
      </c>
      <c r="J62" s="115"/>
      <c r="K62" s="64"/>
      <c r="L62" s="119">
        <v>38030</v>
      </c>
      <c r="M62" s="117">
        <v>9.5094906972372582E-3</v>
      </c>
      <c r="N62" s="117">
        <v>8.5495533815398532E-3</v>
      </c>
      <c r="O62" s="117">
        <v>1.3968096536903975E-2</v>
      </c>
      <c r="P62" s="89">
        <v>1.108441206108059E-2</v>
      </c>
      <c r="R62" s="71">
        <v>38030</v>
      </c>
      <c r="S62" s="99">
        <f>+I62-[1]Data!W60</f>
        <v>8.4622247312524101E-3</v>
      </c>
    </row>
    <row r="63" spans="3:19">
      <c r="C63" s="71">
        <v>38037</v>
      </c>
      <c r="D63" s="118">
        <f t="shared" si="0"/>
        <v>10.458531655834189</v>
      </c>
      <c r="E63" s="92">
        <f t="shared" si="1"/>
        <v>101.97796777352855</v>
      </c>
      <c r="F63" s="92">
        <f t="shared" si="2"/>
        <v>0</v>
      </c>
      <c r="G63" s="92">
        <f t="shared" si="4"/>
        <v>112.43649942936274</v>
      </c>
      <c r="H63" s="92">
        <f t="shared" si="3"/>
        <v>112.38592576276957</v>
      </c>
      <c r="I63" s="91">
        <f t="shared" si="5"/>
        <v>9.1135697417547021E-4</v>
      </c>
      <c r="J63" s="115"/>
      <c r="K63" s="64"/>
      <c r="L63" s="119">
        <v>38037</v>
      </c>
      <c r="M63" s="117">
        <v>-3.3416486707870266E-3</v>
      </c>
      <c r="N63" s="117">
        <v>1.3495845809961332E-3</v>
      </c>
      <c r="O63" s="117">
        <v>-6.2764916856864212E-3</v>
      </c>
      <c r="P63" s="89">
        <v>-3.6415210058263901E-3</v>
      </c>
      <c r="R63" s="71">
        <v>38037</v>
      </c>
      <c r="S63" s="99">
        <f>+I63-[1]Data!W61</f>
        <v>7.3443389725239331E-4</v>
      </c>
    </row>
    <row r="64" spans="3:19">
      <c r="C64" s="71">
        <v>38044</v>
      </c>
      <c r="D64" s="118">
        <f t="shared" si="0"/>
        <v>10.438214913196799</v>
      </c>
      <c r="E64" s="92">
        <f t="shared" si="1"/>
        <v>101.24350993377479</v>
      </c>
      <c r="F64" s="92">
        <f t="shared" si="2"/>
        <v>0</v>
      </c>
      <c r="G64" s="92">
        <f t="shared" si="4"/>
        <v>111.68172484697159</v>
      </c>
      <c r="H64" s="92">
        <f t="shared" si="3"/>
        <v>111.6314906761674</v>
      </c>
      <c r="I64" s="91">
        <f t="shared" si="5"/>
        <v>-6.7128964902124395E-3</v>
      </c>
      <c r="J64" s="115"/>
      <c r="K64" s="64"/>
      <c r="L64" s="119">
        <v>38044</v>
      </c>
      <c r="M64" s="117">
        <v>-1.9425999084735901E-3</v>
      </c>
      <c r="N64" s="117">
        <v>-7.2021227309101961E-3</v>
      </c>
      <c r="O64" s="117">
        <v>5.1677466983841335E-3</v>
      </c>
      <c r="P64" s="89">
        <v>-1.6158196437503017E-3</v>
      </c>
      <c r="R64" s="71">
        <v>38044</v>
      </c>
      <c r="S64" s="99">
        <f>+I64-[1]Data!W62</f>
        <v>-6.8936657209816704E-3</v>
      </c>
    </row>
    <row r="65" spans="3:19">
      <c r="C65" s="71">
        <v>38051</v>
      </c>
      <c r="D65" s="118">
        <f t="shared" si="0"/>
        <v>10.570176063692553</v>
      </c>
      <c r="E65" s="92">
        <f t="shared" si="1"/>
        <v>100.91278915213128</v>
      </c>
      <c r="F65" s="92">
        <f t="shared" si="2"/>
        <v>0</v>
      </c>
      <c r="G65" s="92">
        <f t="shared" si="4"/>
        <v>111.48296521582384</v>
      </c>
      <c r="H65" s="92">
        <f t="shared" si="3"/>
        <v>111.43282044662294</v>
      </c>
      <c r="I65" s="91">
        <f t="shared" si="5"/>
        <v>-1.7796970043227809E-3</v>
      </c>
      <c r="J65" s="115"/>
      <c r="K65" s="64"/>
      <c r="L65" s="119">
        <v>38051</v>
      </c>
      <c r="M65" s="117">
        <v>1.2642118560801E-2</v>
      </c>
      <c r="N65" s="117">
        <v>-3.2665874766672756E-3</v>
      </c>
      <c r="O65" s="117">
        <v>2.007507752570584E-2</v>
      </c>
      <c r="P65" s="89">
        <v>1.3101614581326478E-2</v>
      </c>
      <c r="R65" s="71">
        <v>38051</v>
      </c>
      <c r="S65" s="99">
        <f>+I65-[1]Data!W63</f>
        <v>-1.9604662350920115E-3</v>
      </c>
    </row>
    <row r="66" spans="3:19">
      <c r="C66" s="71">
        <v>38058</v>
      </c>
      <c r="D66" s="118">
        <f t="shared" si="0"/>
        <v>10.177222911624142</v>
      </c>
      <c r="E66" s="92">
        <f t="shared" si="1"/>
        <v>102.02950867456389</v>
      </c>
      <c r="F66" s="92">
        <f t="shared" si="2"/>
        <v>0</v>
      </c>
      <c r="G66" s="92">
        <f t="shared" si="4"/>
        <v>112.20673158618803</v>
      </c>
      <c r="H66" s="92">
        <f t="shared" si="3"/>
        <v>112.15626126861726</v>
      </c>
      <c r="I66" s="91">
        <f t="shared" si="5"/>
        <v>6.4921700724684533E-3</v>
      </c>
      <c r="J66" s="115"/>
      <c r="K66" s="64"/>
      <c r="L66" s="119">
        <v>38058</v>
      </c>
      <c r="M66" s="117">
        <v>-3.7175648702594821E-2</v>
      </c>
      <c r="N66" s="117">
        <v>1.1066184294530849E-2</v>
      </c>
      <c r="O66" s="117">
        <v>-3.4720000000000029E-2</v>
      </c>
      <c r="P66" s="89">
        <v>-3.7503328135103313E-2</v>
      </c>
      <c r="R66" s="71">
        <v>38058</v>
      </c>
      <c r="S66" s="99">
        <f>+I66-[1]Data!W64</f>
        <v>6.3114008416992225E-3</v>
      </c>
    </row>
    <row r="67" spans="3:19">
      <c r="C67" s="71">
        <v>38065</v>
      </c>
      <c r="D67" s="118">
        <f t="shared" si="0"/>
        <v>10.197051271025058</v>
      </c>
      <c r="E67" s="92">
        <f t="shared" si="1"/>
        <v>102.6050487361253</v>
      </c>
      <c r="F67" s="92">
        <f t="shared" si="2"/>
        <v>0</v>
      </c>
      <c r="G67" s="92">
        <f t="shared" si="4"/>
        <v>112.80210000715036</v>
      </c>
      <c r="H67" s="92">
        <f t="shared" si="3"/>
        <v>112.75136189429803</v>
      </c>
      <c r="I67" s="91">
        <f t="shared" si="5"/>
        <v>5.3059955721552598E-3</v>
      </c>
      <c r="J67" s="115"/>
      <c r="K67" s="64"/>
      <c r="L67" s="119">
        <v>38065</v>
      </c>
      <c r="M67" s="117">
        <v>1.9483074678720957E-3</v>
      </c>
      <c r="N67" s="117">
        <v>5.6409177015364128E-3</v>
      </c>
      <c r="O67" s="117">
        <v>2.6935189789491134E-2</v>
      </c>
      <c r="P67" s="89">
        <v>2.8848053744318898E-3</v>
      </c>
      <c r="R67" s="71">
        <v>38065</v>
      </c>
      <c r="S67" s="99">
        <f>+I67-[1]Data!W65</f>
        <v>5.1271494183091062E-3</v>
      </c>
    </row>
    <row r="68" spans="3:19">
      <c r="C68" s="71">
        <v>38072</v>
      </c>
      <c r="D68" s="118">
        <f t="shared" si="0"/>
        <v>10.158175965401586</v>
      </c>
      <c r="E68" s="92">
        <f t="shared" si="1"/>
        <v>102.55780291017622</v>
      </c>
      <c r="F68" s="92">
        <f t="shared" si="2"/>
        <v>0</v>
      </c>
      <c r="G68" s="92">
        <f t="shared" si="4"/>
        <v>112.7159788755778</v>
      </c>
      <c r="H68" s="92">
        <f t="shared" si="3"/>
        <v>112.66527949980302</v>
      </c>
      <c r="I68" s="91">
        <f t="shared" si="5"/>
        <v>-7.6347099537217849E-4</v>
      </c>
      <c r="J68" s="115"/>
      <c r="K68" s="64"/>
      <c r="L68" s="119">
        <v>38072</v>
      </c>
      <c r="M68" s="117">
        <v>-3.8124066056170907E-3</v>
      </c>
      <c r="N68" s="117">
        <v>-4.6046297459075404E-4</v>
      </c>
      <c r="O68" s="117">
        <v>-3.8737793559840998E-3</v>
      </c>
      <c r="P68" s="89">
        <v>-4.6496965875955825E-3</v>
      </c>
      <c r="R68" s="71">
        <v>38072</v>
      </c>
      <c r="S68" s="99">
        <f>+I68-[1]Data!W66</f>
        <v>-9.4231714921833238E-4</v>
      </c>
    </row>
    <row r="69" spans="3:19">
      <c r="C69" s="71">
        <v>38079</v>
      </c>
      <c r="D69" s="118">
        <f t="shared" ref="D69:D132" si="6">+D68*(1+M69)</f>
        <v>10.48392758413093</v>
      </c>
      <c r="E69" s="92">
        <f t="shared" ref="E69:E132" si="7">+E68*(1+N69)</f>
        <v>102.4804915586232</v>
      </c>
      <c r="F69" s="92">
        <f t="shared" ref="F69:F132" si="8">+F68*(1+O69)</f>
        <v>0</v>
      </c>
      <c r="G69" s="92">
        <f t="shared" si="4"/>
        <v>112.96441914275412</v>
      </c>
      <c r="H69" s="92">
        <f t="shared" ref="H69:H132" si="9">+H68*(1+(((D68/G68)*M69)+((E68/G68)*N69)+((F68/G68)*O69)))</f>
        <v>112.91360801914563</v>
      </c>
      <c r="I69" s="91">
        <f t="shared" si="5"/>
        <v>2.2041264216012637E-3</v>
      </c>
      <c r="J69" s="115"/>
      <c r="K69" s="64"/>
      <c r="L69" s="119">
        <v>38079</v>
      </c>
      <c r="M69" s="117">
        <v>3.2067924383161125E-2</v>
      </c>
      <c r="N69" s="117">
        <v>-7.5383197922776956E-4</v>
      </c>
      <c r="O69" s="117">
        <v>2.4710362148586219E-2</v>
      </c>
      <c r="P69" s="89">
        <v>3.2620744259699054E-2</v>
      </c>
      <c r="R69" s="71">
        <v>38079</v>
      </c>
      <c r="S69" s="99">
        <f>+I69-[1]Data!W67</f>
        <v>2.0252802677551097E-3</v>
      </c>
    </row>
    <row r="70" spans="3:19">
      <c r="C70" s="71">
        <v>38086</v>
      </c>
      <c r="D70" s="118">
        <f t="shared" si="6"/>
        <v>10.467810937327231</v>
      </c>
      <c r="E70" s="92">
        <f t="shared" si="7"/>
        <v>101.05882170506476</v>
      </c>
      <c r="F70" s="92">
        <f t="shared" si="8"/>
        <v>0</v>
      </c>
      <c r="G70" s="92">
        <f t="shared" ref="G70:G133" si="10">+SUM(D70:F70)</f>
        <v>111.52663264239199</v>
      </c>
      <c r="H70" s="92">
        <f t="shared" si="9"/>
        <v>111.47646823168785</v>
      </c>
      <c r="I70" s="91">
        <f t="shared" si="5"/>
        <v>-1.2727781997844755E-2</v>
      </c>
      <c r="J70" s="115"/>
      <c r="K70" s="64"/>
      <c r="L70" s="119">
        <v>38086</v>
      </c>
      <c r="M70" s="117">
        <v>-1.5372718548814098E-3</v>
      </c>
      <c r="N70" s="117">
        <v>-1.3872590108968996E-2</v>
      </c>
      <c r="O70" s="117">
        <v>-2.3640101201771103E-2</v>
      </c>
      <c r="P70" s="89">
        <v>-7.6675356540403567E-4</v>
      </c>
      <c r="R70" s="71">
        <v>38086</v>
      </c>
      <c r="S70" s="99">
        <f>+I70-[1]Data!W68</f>
        <v>-1.290662815169091E-2</v>
      </c>
    </row>
    <row r="71" spans="3:19">
      <c r="C71" s="71">
        <v>38093</v>
      </c>
      <c r="D71" s="118">
        <f t="shared" si="6"/>
        <v>10.379022864935932</v>
      </c>
      <c r="E71" s="92">
        <f t="shared" si="7"/>
        <v>99.851905605820292</v>
      </c>
      <c r="F71" s="92">
        <f t="shared" si="8"/>
        <v>0</v>
      </c>
      <c r="G71" s="92">
        <f t="shared" si="10"/>
        <v>110.23092847075623</v>
      </c>
      <c r="H71" s="92">
        <f t="shared" si="9"/>
        <v>110.18134686466723</v>
      </c>
      <c r="I71" s="91">
        <f t="shared" ref="I71:I134" si="11">+(H71-H70)/H70</f>
        <v>-1.1617890193012655E-2</v>
      </c>
      <c r="J71" s="115"/>
      <c r="K71" s="64"/>
      <c r="L71" s="119">
        <v>38093</v>
      </c>
      <c r="M71" s="117">
        <v>-8.4820095550912078E-3</v>
      </c>
      <c r="N71" s="117">
        <v>-1.1942708997407465E-2</v>
      </c>
      <c r="O71" s="117">
        <v>-3.6602154020568434E-2</v>
      </c>
      <c r="P71" s="89">
        <v>-9.2464702271330881E-3</v>
      </c>
      <c r="R71" s="71">
        <v>38093</v>
      </c>
      <c r="S71" s="99">
        <f>+I71-[1]Data!W69</f>
        <v>-1.1796736346858809E-2</v>
      </c>
    </row>
    <row r="72" spans="3:19">
      <c r="C72" s="71">
        <v>38100</v>
      </c>
      <c r="D72" s="118">
        <f t="shared" si="6"/>
        <v>10.3897672961384</v>
      </c>
      <c r="E72" s="92">
        <f t="shared" si="7"/>
        <v>99.774594254267271</v>
      </c>
      <c r="F72" s="92">
        <f t="shared" si="8"/>
        <v>0</v>
      </c>
      <c r="G72" s="92">
        <f t="shared" si="10"/>
        <v>110.16436155040567</v>
      </c>
      <c r="H72" s="92">
        <f t="shared" si="9"/>
        <v>110.1148098859571</v>
      </c>
      <c r="I72" s="91">
        <f t="shared" si="11"/>
        <v>-6.0388605334311452E-4</v>
      </c>
      <c r="J72" s="115"/>
      <c r="K72" s="64"/>
      <c r="L72" s="119">
        <v>38100</v>
      </c>
      <c r="M72" s="117">
        <v>1.035206429573153E-3</v>
      </c>
      <c r="N72" s="117">
        <v>-7.7426015141078119E-4</v>
      </c>
      <c r="O72" s="117">
        <v>-2.3199125830041231E-2</v>
      </c>
      <c r="P72" s="89">
        <v>5.8087751229515263E-4</v>
      </c>
      <c r="R72" s="71">
        <v>38100</v>
      </c>
      <c r="S72" s="99">
        <f>+I72-[1]Data!W70</f>
        <v>-7.8850143795849916E-4</v>
      </c>
    </row>
    <row r="73" spans="3:19">
      <c r="C73" s="71">
        <v>38107</v>
      </c>
      <c r="D73" s="118">
        <f t="shared" si="6"/>
        <v>10.115979653770079</v>
      </c>
      <c r="E73" s="92">
        <f t="shared" si="7"/>
        <v>99.216234493050962</v>
      </c>
      <c r="F73" s="92">
        <f t="shared" si="8"/>
        <v>0</v>
      </c>
      <c r="G73" s="92">
        <f t="shared" si="10"/>
        <v>109.33221414682104</v>
      </c>
      <c r="H73" s="92">
        <f t="shared" si="9"/>
        <v>109.28303678027002</v>
      </c>
      <c r="I73" s="91">
        <f t="shared" si="11"/>
        <v>-7.5536897039419279E-3</v>
      </c>
      <c r="J73" s="115"/>
      <c r="K73" s="64"/>
      <c r="L73" s="119">
        <v>38107</v>
      </c>
      <c r="M73" s="117">
        <v>-2.6351662608466726E-2</v>
      </c>
      <c r="N73" s="117">
        <v>-5.5962117950926014E-3</v>
      </c>
      <c r="O73" s="117">
        <v>-1.8587040702177066E-2</v>
      </c>
      <c r="P73" s="89">
        <v>-2.8833501044972478E-2</v>
      </c>
      <c r="R73" s="71">
        <v>38107</v>
      </c>
      <c r="S73" s="99">
        <f>+I73-[1]Data!W71</f>
        <v>-7.7383050885573125E-3</v>
      </c>
    </row>
    <row r="74" spans="3:19">
      <c r="C74" s="71">
        <v>38114</v>
      </c>
      <c r="D74" s="118">
        <f t="shared" si="6"/>
        <v>10.013126144168281</v>
      </c>
      <c r="E74" s="92">
        <f t="shared" si="7"/>
        <v>99.409512871933529</v>
      </c>
      <c r="F74" s="92">
        <f t="shared" si="8"/>
        <v>0</v>
      </c>
      <c r="G74" s="92">
        <f t="shared" si="10"/>
        <v>109.42263901610181</v>
      </c>
      <c r="H74" s="92">
        <f t="shared" si="9"/>
        <v>109.37342097666242</v>
      </c>
      <c r="I74" s="91">
        <f t="shared" si="11"/>
        <v>8.2706519744801181E-4</v>
      </c>
      <c r="J74" s="115"/>
      <c r="K74" s="64"/>
      <c r="L74" s="119">
        <v>38114</v>
      </c>
      <c r="M74" s="117">
        <v>-1.0167429465268498E-2</v>
      </c>
      <c r="N74" s="117">
        <v>1.9480519480518988E-3</v>
      </c>
      <c r="O74" s="117">
        <v>-2.1569487067075791E-2</v>
      </c>
      <c r="P74" s="89">
        <v>-1.0481010640417628E-2</v>
      </c>
      <c r="R74" s="71">
        <v>38114</v>
      </c>
      <c r="S74" s="99">
        <f>+I74-[1]Data!W72</f>
        <v>6.3475750514031945E-4</v>
      </c>
    </row>
    <row r="75" spans="3:19">
      <c r="C75" s="71">
        <v>38121</v>
      </c>
      <c r="D75" s="118">
        <f t="shared" si="6"/>
        <v>9.8354523227383925</v>
      </c>
      <c r="E75" s="92">
        <f t="shared" si="7"/>
        <v>97.51967983397067</v>
      </c>
      <c r="F75" s="92">
        <f t="shared" si="8"/>
        <v>0</v>
      </c>
      <c r="G75" s="92">
        <f t="shared" si="10"/>
        <v>107.35513215670906</v>
      </c>
      <c r="H75" s="92">
        <f t="shared" si="9"/>
        <v>107.30684407687457</v>
      </c>
      <c r="I75" s="91">
        <f t="shared" si="11"/>
        <v>-1.8894690148064434E-2</v>
      </c>
      <c r="J75" s="115"/>
      <c r="K75" s="64"/>
      <c r="L75" s="119">
        <v>38121</v>
      </c>
      <c r="M75" s="117">
        <v>-1.7744090993337482E-2</v>
      </c>
      <c r="N75" s="117">
        <v>-1.9010585439619691E-2</v>
      </c>
      <c r="O75" s="117">
        <v>-2.9662156107178081E-2</v>
      </c>
      <c r="P75" s="89">
        <v>-1.9532823197744756E-2</v>
      </c>
      <c r="R75" s="71">
        <v>38121</v>
      </c>
      <c r="S75" s="99">
        <f>+I75-[1]Data!W73</f>
        <v>-1.909084399421828E-2</v>
      </c>
    </row>
    <row r="76" spans="3:19">
      <c r="C76" s="71">
        <v>38128</v>
      </c>
      <c r="D76" s="118">
        <f t="shared" si="6"/>
        <v>9.9270730179012485</v>
      </c>
      <c r="E76" s="92">
        <f t="shared" si="7"/>
        <v>98.219777073034194</v>
      </c>
      <c r="F76" s="92">
        <f t="shared" si="8"/>
        <v>0</v>
      </c>
      <c r="G76" s="92">
        <f t="shared" si="10"/>
        <v>108.14685009093544</v>
      </c>
      <c r="H76" s="92">
        <f t="shared" si="9"/>
        <v>108.09820589828132</v>
      </c>
      <c r="I76" s="91">
        <f t="shared" si="11"/>
        <v>7.374756272207776E-3</v>
      </c>
      <c r="J76" s="115"/>
      <c r="K76" s="64"/>
      <c r="L76" s="119">
        <v>38128</v>
      </c>
      <c r="M76" s="117">
        <v>9.3153514608616157E-3</v>
      </c>
      <c r="N76" s="117">
        <v>7.1790354547456303E-3</v>
      </c>
      <c r="O76" s="117">
        <v>3.4724787587735548E-2</v>
      </c>
      <c r="P76" s="89">
        <v>1.0022591907989311E-2</v>
      </c>
      <c r="R76" s="71">
        <v>38128</v>
      </c>
      <c r="S76" s="99">
        <f>+I76-[1]Data!W74</f>
        <v>7.1766793491308527E-3</v>
      </c>
    </row>
    <row r="77" spans="3:19">
      <c r="C77" s="71">
        <v>38135</v>
      </c>
      <c r="D77" s="118">
        <f t="shared" si="6"/>
        <v>10.176441498445779</v>
      </c>
      <c r="E77" s="92">
        <f t="shared" si="7"/>
        <v>99.534070049435655</v>
      </c>
      <c r="F77" s="92">
        <f t="shared" si="8"/>
        <v>0</v>
      </c>
      <c r="G77" s="92">
        <f t="shared" si="10"/>
        <v>109.71051154788144</v>
      </c>
      <c r="H77" s="92">
        <f t="shared" si="9"/>
        <v>109.66116402407071</v>
      </c>
      <c r="I77" s="91">
        <f t="shared" si="11"/>
        <v>1.445868701336368E-2</v>
      </c>
      <c r="J77" s="115"/>
      <c r="K77" s="64"/>
      <c r="L77" s="119">
        <v>38135</v>
      </c>
      <c r="M77" s="117">
        <v>2.5120040931989784E-2</v>
      </c>
      <c r="N77" s="117">
        <v>1.3381143956620614E-2</v>
      </c>
      <c r="O77" s="117">
        <v>5.3016779721528004E-2</v>
      </c>
      <c r="P77" s="89">
        <v>2.5539875554109567E-2</v>
      </c>
      <c r="R77" s="71">
        <v>38135</v>
      </c>
      <c r="S77" s="99">
        <f>+I77-[1]Data!W75</f>
        <v>1.4254840859517526E-2</v>
      </c>
    </row>
    <row r="78" spans="3:19">
      <c r="C78" s="71">
        <v>38142</v>
      </c>
      <c r="D78" s="118">
        <f t="shared" si="6"/>
        <v>10.191874408718416</v>
      </c>
      <c r="E78" s="92">
        <f t="shared" si="7"/>
        <v>98.99718566365074</v>
      </c>
      <c r="F78" s="92">
        <f t="shared" si="8"/>
        <v>0</v>
      </c>
      <c r="G78" s="92">
        <f t="shared" si="10"/>
        <v>109.18906007236916</v>
      </c>
      <c r="H78" s="92">
        <f t="shared" si="9"/>
        <v>109.139947096176</v>
      </c>
      <c r="I78" s="91">
        <f t="shared" si="11"/>
        <v>-4.7529764300176993E-3</v>
      </c>
      <c r="J78" s="115"/>
      <c r="K78" s="64"/>
      <c r="L78" s="119">
        <v>38142</v>
      </c>
      <c r="M78" s="117">
        <v>1.5165330901762775E-3</v>
      </c>
      <c r="N78" s="117">
        <v>-5.3939760075947182E-3</v>
      </c>
      <c r="O78" s="117">
        <v>-1.3646380742498724E-2</v>
      </c>
      <c r="P78" s="89">
        <v>2.379347265733524E-4</v>
      </c>
      <c r="R78" s="71">
        <v>38142</v>
      </c>
      <c r="S78" s="99">
        <f>+I78-[1]Data!W76</f>
        <v>-4.9760533530946224E-3</v>
      </c>
    </row>
    <row r="79" spans="3:19">
      <c r="C79" s="71">
        <v>38149</v>
      </c>
      <c r="D79" s="118">
        <f t="shared" si="6"/>
        <v>10.277341475101677</v>
      </c>
      <c r="E79" s="92">
        <f t="shared" si="7"/>
        <v>98.700825482697468</v>
      </c>
      <c r="F79" s="92">
        <f t="shared" si="8"/>
        <v>0</v>
      </c>
      <c r="G79" s="92">
        <f t="shared" si="10"/>
        <v>108.97816695779915</v>
      </c>
      <c r="H79" s="92">
        <f t="shared" si="9"/>
        <v>108.9291488408209</v>
      </c>
      <c r="I79" s="91">
        <f t="shared" si="11"/>
        <v>-1.93144912530828E-3</v>
      </c>
      <c r="J79" s="115"/>
      <c r="K79" s="64"/>
      <c r="L79" s="119">
        <v>38149</v>
      </c>
      <c r="M79" s="117">
        <v>8.3858045101252599E-3</v>
      </c>
      <c r="N79" s="117">
        <v>-2.9936222829623745E-3</v>
      </c>
      <c r="O79" s="117">
        <v>1.1514995273695877E-2</v>
      </c>
      <c r="P79" s="89">
        <v>7.6517464219165322E-3</v>
      </c>
      <c r="R79" s="71">
        <v>38149</v>
      </c>
      <c r="S79" s="99">
        <f>+I79-[1]Data!W77</f>
        <v>-2.1718337406928957E-3</v>
      </c>
    </row>
    <row r="80" spans="3:19">
      <c r="C80" s="71">
        <v>38156</v>
      </c>
      <c r="D80" s="118">
        <f t="shared" si="6"/>
        <v>10.3211982897372</v>
      </c>
      <c r="E80" s="92">
        <f t="shared" si="7"/>
        <v>98.980005363305608</v>
      </c>
      <c r="F80" s="92">
        <f t="shared" si="8"/>
        <v>0</v>
      </c>
      <c r="G80" s="92">
        <f t="shared" si="10"/>
        <v>109.3012036530428</v>
      </c>
      <c r="H80" s="92">
        <f t="shared" si="9"/>
        <v>109.25204023493723</v>
      </c>
      <c r="I80" s="91">
        <f t="shared" si="11"/>
        <v>2.9642331511115505E-3</v>
      </c>
      <c r="J80" s="115"/>
      <c r="K80" s="64"/>
      <c r="L80" s="119">
        <v>38156</v>
      </c>
      <c r="M80" s="117">
        <v>4.2673306848638147E-3</v>
      </c>
      <c r="N80" s="117">
        <v>2.8285465622279252E-3</v>
      </c>
      <c r="O80" s="117">
        <v>-1.6141364370061825E-3</v>
      </c>
      <c r="P80" s="89">
        <v>3.8558388416744956E-3</v>
      </c>
      <c r="R80" s="71">
        <v>38156</v>
      </c>
      <c r="S80" s="99">
        <f>+I80-[1]Data!W78</f>
        <v>2.7142331511115503E-3</v>
      </c>
    </row>
    <row r="81" spans="3:19">
      <c r="C81" s="71">
        <v>38163</v>
      </c>
      <c r="D81" s="118">
        <f t="shared" si="6"/>
        <v>10.350305930631157</v>
      </c>
      <c r="E81" s="92">
        <f t="shared" si="7"/>
        <v>99.69728290271425</v>
      </c>
      <c r="F81" s="92">
        <f t="shared" si="8"/>
        <v>0</v>
      </c>
      <c r="G81" s="92">
        <f t="shared" si="10"/>
        <v>110.0475888333454</v>
      </c>
      <c r="H81" s="92">
        <f t="shared" si="9"/>
        <v>109.99808969298371</v>
      </c>
      <c r="I81" s="91">
        <f t="shared" si="11"/>
        <v>6.8287004658418226E-3</v>
      </c>
      <c r="J81" s="115"/>
      <c r="K81" s="64"/>
      <c r="L81" s="119">
        <v>38163</v>
      </c>
      <c r="M81" s="117">
        <v>2.8201803779798972E-3</v>
      </c>
      <c r="N81" s="117">
        <v>7.2466912562378647E-3</v>
      </c>
      <c r="O81" s="117">
        <v>7.2328114363513323E-3</v>
      </c>
      <c r="P81" s="89">
        <v>4.1937759661362121E-3</v>
      </c>
      <c r="R81" s="71">
        <v>38163</v>
      </c>
      <c r="S81" s="99">
        <f>+I81-[1]Data!W79</f>
        <v>6.5806235427648997E-3</v>
      </c>
    </row>
    <row r="82" spans="3:19">
      <c r="C82" s="71">
        <v>38170</v>
      </c>
      <c r="D82" s="118">
        <f t="shared" si="6"/>
        <v>10.302444373456529</v>
      </c>
      <c r="E82" s="92">
        <f t="shared" si="7"/>
        <v>99.731643503404484</v>
      </c>
      <c r="F82" s="92">
        <f t="shared" si="8"/>
        <v>0</v>
      </c>
      <c r="G82" s="92">
        <f t="shared" si="10"/>
        <v>110.03408787686101</v>
      </c>
      <c r="H82" s="92">
        <f t="shared" si="9"/>
        <v>109.98459480919701</v>
      </c>
      <c r="I82" s="91">
        <f t="shared" si="11"/>
        <v>-1.2268289226086888E-4</v>
      </c>
      <c r="J82" s="115"/>
      <c r="K82" s="64"/>
      <c r="L82" s="119">
        <v>38170</v>
      </c>
      <c r="M82" s="117">
        <v>-4.6241683574766105E-3</v>
      </c>
      <c r="N82" s="117">
        <v>3.4464931931752575E-4</v>
      </c>
      <c r="O82" s="117">
        <v>1.6473768691391302E-2</v>
      </c>
      <c r="P82" s="89">
        <v>-4.5665664884274133E-3</v>
      </c>
      <c r="R82" s="71">
        <v>38170</v>
      </c>
      <c r="S82" s="99">
        <f>+I82-[1]Data!W80</f>
        <v>-3.7268289226086886E-4</v>
      </c>
    </row>
    <row r="83" spans="3:19">
      <c r="C83" s="71">
        <v>38177</v>
      </c>
      <c r="D83" s="118">
        <f t="shared" si="6"/>
        <v>10.23387536705533</v>
      </c>
      <c r="E83" s="92">
        <f t="shared" si="7"/>
        <v>100.723805848335</v>
      </c>
      <c r="F83" s="92">
        <f t="shared" si="8"/>
        <v>0</v>
      </c>
      <c r="G83" s="92">
        <f t="shared" si="10"/>
        <v>110.95768121539034</v>
      </c>
      <c r="H83" s="92">
        <f t="shared" si="9"/>
        <v>110.9077727176675</v>
      </c>
      <c r="I83" s="91">
        <f t="shared" si="11"/>
        <v>8.3937019550059354E-3</v>
      </c>
      <c r="J83" s="115"/>
      <c r="K83" s="64"/>
      <c r="L83" s="119">
        <v>38177</v>
      </c>
      <c r="M83" s="117">
        <v>-6.6556055937425761E-3</v>
      </c>
      <c r="N83" s="117">
        <v>9.9483204134367034E-3</v>
      </c>
      <c r="O83" s="117">
        <v>6.6489361702128606E-3</v>
      </c>
      <c r="P83" s="89">
        <v>-6.4303638644917912E-3</v>
      </c>
      <c r="R83" s="71">
        <v>38177</v>
      </c>
      <c r="S83" s="99">
        <f>+I83-[1]Data!W81</f>
        <v>8.1475481088520898E-3</v>
      </c>
    </row>
    <row r="84" spans="3:19">
      <c r="C84" s="71">
        <v>38184</v>
      </c>
      <c r="D84" s="118">
        <f t="shared" si="6"/>
        <v>10.150557186912561</v>
      </c>
      <c r="E84" s="92">
        <f t="shared" si="7"/>
        <v>100.54770776979755</v>
      </c>
      <c r="F84" s="92">
        <f t="shared" si="8"/>
        <v>0</v>
      </c>
      <c r="G84" s="92">
        <f t="shared" si="10"/>
        <v>110.69826495671012</v>
      </c>
      <c r="H84" s="92">
        <f t="shared" si="9"/>
        <v>110.64847314379553</v>
      </c>
      <c r="I84" s="91">
        <f t="shared" si="11"/>
        <v>-2.3379747651416376E-3</v>
      </c>
      <c r="J84" s="115"/>
      <c r="K84" s="64"/>
      <c r="L84" s="119">
        <v>38184</v>
      </c>
      <c r="M84" s="117">
        <v>-8.1414104778902707E-3</v>
      </c>
      <c r="N84" s="117">
        <v>-1.7483262973860246E-3</v>
      </c>
      <c r="O84" s="117">
        <v>1.0485468956406835E-2</v>
      </c>
      <c r="P84" s="89">
        <v>-7.8531965272297128E-3</v>
      </c>
      <c r="R84" s="71">
        <v>38184</v>
      </c>
      <c r="S84" s="99">
        <f>+I84-[1]Data!W82</f>
        <v>-2.5918209189877916E-3</v>
      </c>
    </row>
    <row r="85" spans="3:19">
      <c r="C85" s="71">
        <v>38191</v>
      </c>
      <c r="D85" s="118">
        <f t="shared" si="6"/>
        <v>9.9315661436768217</v>
      </c>
      <c r="E85" s="92">
        <f t="shared" si="7"/>
        <v>100.60354374591918</v>
      </c>
      <c r="F85" s="92">
        <f t="shared" si="8"/>
        <v>0</v>
      </c>
      <c r="G85" s="92">
        <f t="shared" si="10"/>
        <v>110.535109889596</v>
      </c>
      <c r="H85" s="92">
        <f t="shared" si="9"/>
        <v>110.48539146343758</v>
      </c>
      <c r="I85" s="91">
        <f t="shared" si="11"/>
        <v>-1.4738719453092823E-3</v>
      </c>
      <c r="J85" s="115"/>
      <c r="K85" s="64"/>
      <c r="L85" s="119">
        <v>38191</v>
      </c>
      <c r="M85" s="117">
        <v>-2.15742879137799E-2</v>
      </c>
      <c r="N85" s="117">
        <v>5.5531824006832748E-4</v>
      </c>
      <c r="O85" s="117">
        <v>-2.4838630607075793E-2</v>
      </c>
      <c r="P85" s="89">
        <v>-2.1319756572928623E-2</v>
      </c>
      <c r="R85" s="71">
        <v>38191</v>
      </c>
      <c r="S85" s="99">
        <f>+I85-[1]Data!W83</f>
        <v>-1.7315642530015901E-3</v>
      </c>
    </row>
    <row r="86" spans="3:19">
      <c r="C86" s="71">
        <v>38198</v>
      </c>
      <c r="D86" s="118">
        <f t="shared" si="6"/>
        <v>10.031294000565175</v>
      </c>
      <c r="E86" s="92">
        <f t="shared" si="7"/>
        <v>99.839020380561479</v>
      </c>
      <c r="F86" s="92">
        <f t="shared" si="8"/>
        <v>0</v>
      </c>
      <c r="G86" s="92">
        <f t="shared" si="10"/>
        <v>109.87031438112666</v>
      </c>
      <c r="H86" s="92">
        <f t="shared" si="9"/>
        <v>109.82089497838649</v>
      </c>
      <c r="I86" s="91">
        <f t="shared" si="11"/>
        <v>-6.0143379703821529E-3</v>
      </c>
      <c r="J86" s="115"/>
      <c r="K86" s="64"/>
      <c r="L86" s="119">
        <v>38198</v>
      </c>
      <c r="M86" s="117">
        <v>1.0041503570093861E-2</v>
      </c>
      <c r="N86" s="117">
        <v>-7.5993681424241181E-3</v>
      </c>
      <c r="O86" s="117">
        <v>-3.3514872224542976E-4</v>
      </c>
      <c r="P86" s="89">
        <v>9.7541150172728193E-3</v>
      </c>
      <c r="R86" s="71">
        <v>38198</v>
      </c>
      <c r="S86" s="99">
        <f>+I86-[1]Data!W84</f>
        <v>-6.289337970382153E-3</v>
      </c>
    </row>
    <row r="87" spans="3:19">
      <c r="C87" s="71">
        <v>38205</v>
      </c>
      <c r="D87" s="118">
        <f t="shared" si="6"/>
        <v>9.8048795321350042</v>
      </c>
      <c r="E87" s="92">
        <f t="shared" si="7"/>
        <v>100.64649449678198</v>
      </c>
      <c r="F87" s="92">
        <f t="shared" si="8"/>
        <v>0</v>
      </c>
      <c r="G87" s="92">
        <f t="shared" si="10"/>
        <v>110.45137402891699</v>
      </c>
      <c r="H87" s="92">
        <f t="shared" si="9"/>
        <v>110.40169326694698</v>
      </c>
      <c r="I87" s="91">
        <f t="shared" si="11"/>
        <v>5.2885954778896342E-3</v>
      </c>
      <c r="J87" s="115"/>
      <c r="K87" s="64"/>
      <c r="L87" s="119">
        <v>38205</v>
      </c>
      <c r="M87" s="117">
        <v>-2.2570813737232166E-2</v>
      </c>
      <c r="N87" s="117">
        <v>8.0877608087761843E-3</v>
      </c>
      <c r="O87" s="117">
        <v>1.3997150280781172E-2</v>
      </c>
      <c r="P87" s="89">
        <v>-2.1734755484000716E-2</v>
      </c>
      <c r="R87" s="71">
        <v>38205</v>
      </c>
      <c r="S87" s="99">
        <f>+I87-[1]Data!W85</f>
        <v>5.0097493240434804E-3</v>
      </c>
    </row>
    <row r="88" spans="3:19">
      <c r="C88" s="71">
        <v>38212</v>
      </c>
      <c r="D88" s="118">
        <f t="shared" si="6"/>
        <v>9.7610227174994808</v>
      </c>
      <c r="E88" s="92">
        <f t="shared" si="7"/>
        <v>101.53557503964178</v>
      </c>
      <c r="F88" s="92">
        <f t="shared" si="8"/>
        <v>0</v>
      </c>
      <c r="G88" s="92">
        <f t="shared" si="10"/>
        <v>111.29659775714127</v>
      </c>
      <c r="H88" s="92">
        <f t="shared" si="9"/>
        <v>111.24653681557437</v>
      </c>
      <c r="I88" s="91">
        <f t="shared" si="11"/>
        <v>7.6524510052993159E-3</v>
      </c>
      <c r="J88" s="115"/>
      <c r="K88" s="64"/>
      <c r="L88" s="119">
        <v>38212</v>
      </c>
      <c r="M88" s="117">
        <v>-4.4729580299059536E-3</v>
      </c>
      <c r="N88" s="117">
        <v>8.8336960696453418E-3</v>
      </c>
      <c r="O88" s="117">
        <v>-6.1167135063647637E-3</v>
      </c>
      <c r="P88" s="89">
        <v>-4.1966673523966677E-3</v>
      </c>
      <c r="R88" s="71">
        <v>38212</v>
      </c>
      <c r="S88" s="99">
        <f>+I88-[1]Data!W86</f>
        <v>7.3755279283762394E-3</v>
      </c>
    </row>
    <row r="89" spans="3:19">
      <c r="C89" s="71">
        <v>38219</v>
      </c>
      <c r="D89" s="118">
        <f t="shared" si="6"/>
        <v>9.9956420243024446</v>
      </c>
      <c r="E89" s="92">
        <f t="shared" si="7"/>
        <v>102.16265600223855</v>
      </c>
      <c r="F89" s="92">
        <f t="shared" si="8"/>
        <v>0</v>
      </c>
      <c r="G89" s="92">
        <f t="shared" si="10"/>
        <v>112.15829802654099</v>
      </c>
      <c r="H89" s="92">
        <f t="shared" si="9"/>
        <v>112.10784949426869</v>
      </c>
      <c r="I89" s="91">
        <f t="shared" si="11"/>
        <v>7.7423774559581228E-3</v>
      </c>
      <c r="J89" s="115"/>
      <c r="K89" s="64"/>
      <c r="L89" s="119">
        <v>38219</v>
      </c>
      <c r="M89" s="117">
        <v>2.4036344714405775E-2</v>
      </c>
      <c r="N89" s="117">
        <v>6.1759729272419959E-3</v>
      </c>
      <c r="O89" s="117">
        <v>2.6280771789753916E-2</v>
      </c>
      <c r="P89" s="89">
        <v>2.4046605792670303E-2</v>
      </c>
      <c r="R89" s="71">
        <v>38219</v>
      </c>
      <c r="S89" s="99">
        <f>+I89-[1]Data!W87</f>
        <v>7.4616082251888916E-3</v>
      </c>
    </row>
    <row r="90" spans="3:19">
      <c r="C90" s="71">
        <v>38226</v>
      </c>
      <c r="D90" s="118">
        <f t="shared" si="6"/>
        <v>10.086090599697759</v>
      </c>
      <c r="E90" s="92">
        <f t="shared" si="7"/>
        <v>101.84482044585388</v>
      </c>
      <c r="F90" s="92">
        <f t="shared" si="8"/>
        <v>0</v>
      </c>
      <c r="G90" s="92">
        <f t="shared" si="10"/>
        <v>111.93091104555164</v>
      </c>
      <c r="H90" s="92">
        <f t="shared" si="9"/>
        <v>111.88056479139563</v>
      </c>
      <c r="I90" s="91">
        <f t="shared" si="11"/>
        <v>-2.0273754594202905E-3</v>
      </c>
      <c r="J90" s="115"/>
      <c r="K90" s="64"/>
      <c r="L90" s="119">
        <v>38226</v>
      </c>
      <c r="M90" s="117">
        <v>9.0488009850097501E-3</v>
      </c>
      <c r="N90" s="117">
        <v>-3.1110737408560039E-3</v>
      </c>
      <c r="O90" s="117">
        <v>1.5235008103727677E-2</v>
      </c>
      <c r="P90" s="89">
        <v>9.2798063344765435E-3</v>
      </c>
      <c r="R90" s="71">
        <v>38226</v>
      </c>
      <c r="S90" s="99">
        <f>+I90-[1]Data!W88</f>
        <v>-2.3196831517279829E-3</v>
      </c>
    </row>
    <row r="91" spans="3:19">
      <c r="C91" s="71">
        <v>38233</v>
      </c>
      <c r="D91" s="118">
        <f t="shared" si="6"/>
        <v>10.121644899313196</v>
      </c>
      <c r="E91" s="92">
        <f t="shared" si="7"/>
        <v>102.20131167801506</v>
      </c>
      <c r="F91" s="92">
        <f t="shared" si="8"/>
        <v>0</v>
      </c>
      <c r="G91" s="92">
        <f t="shared" si="10"/>
        <v>112.32295657732826</v>
      </c>
      <c r="H91" s="92">
        <f t="shared" si="9"/>
        <v>112.27243398203645</v>
      </c>
      <c r="I91" s="91">
        <f t="shared" si="11"/>
        <v>3.5025671471311331E-3</v>
      </c>
      <c r="J91" s="115"/>
      <c r="K91" s="64"/>
      <c r="L91" s="119">
        <v>38233</v>
      </c>
      <c r="M91" s="117">
        <v>3.5250823164827624E-3</v>
      </c>
      <c r="N91" s="117">
        <v>3.5003373819162621E-3</v>
      </c>
      <c r="O91" s="117">
        <v>1.2292464878671711E-2</v>
      </c>
      <c r="P91" s="89">
        <v>3.8376973815710891E-3</v>
      </c>
      <c r="R91" s="71">
        <v>38233</v>
      </c>
      <c r="S91" s="99">
        <f>+I91-[1]Data!W89</f>
        <v>3.198720993284979E-3</v>
      </c>
    </row>
    <row r="92" spans="3:19">
      <c r="C92" s="71">
        <v>38240</v>
      </c>
      <c r="D92" s="118">
        <f t="shared" si="6"/>
        <v>10.251359486921162</v>
      </c>
      <c r="E92" s="92">
        <f t="shared" si="7"/>
        <v>102.22708212853274</v>
      </c>
      <c r="F92" s="92">
        <f t="shared" si="8"/>
        <v>0</v>
      </c>
      <c r="G92" s="92">
        <f t="shared" si="10"/>
        <v>112.4784416154539</v>
      </c>
      <c r="H92" s="92">
        <f t="shared" si="9"/>
        <v>112.42784908336648</v>
      </c>
      <c r="I92" s="91">
        <f t="shared" si="11"/>
        <v>1.384267676559875E-3</v>
      </c>
      <c r="J92" s="115"/>
      <c r="K92" s="64"/>
      <c r="L92" s="119">
        <v>38240</v>
      </c>
      <c r="M92" s="117">
        <v>1.2815563962016495E-2</v>
      </c>
      <c r="N92" s="117">
        <v>2.521538138264437E-4</v>
      </c>
      <c r="O92" s="117">
        <v>1.0250749093203055E-2</v>
      </c>
      <c r="P92" s="89">
        <v>1.3062004699135727E-2</v>
      </c>
      <c r="R92" s="71">
        <v>38240</v>
      </c>
      <c r="S92" s="99">
        <f>+I92-[1]Data!W90</f>
        <v>1.0708061380983365E-3</v>
      </c>
    </row>
    <row r="93" spans="3:19">
      <c r="C93" s="71">
        <v>38247</v>
      </c>
      <c r="D93" s="118">
        <f t="shared" si="6"/>
        <v>10.271871582853143</v>
      </c>
      <c r="E93" s="92">
        <f t="shared" si="7"/>
        <v>102.76396651431766</v>
      </c>
      <c r="F93" s="92">
        <f t="shared" si="8"/>
        <v>0</v>
      </c>
      <c r="G93" s="92">
        <f t="shared" si="10"/>
        <v>113.0358380971708</v>
      </c>
      <c r="H93" s="92">
        <f t="shared" si="9"/>
        <v>112.9849948494886</v>
      </c>
      <c r="I93" s="91">
        <f t="shared" si="11"/>
        <v>4.9555850322191008E-3</v>
      </c>
      <c r="J93" s="115"/>
      <c r="K93" s="64"/>
      <c r="L93" s="119">
        <v>38247</v>
      </c>
      <c r="M93" s="117">
        <v>2.0009147038645373E-3</v>
      </c>
      <c r="N93" s="117">
        <v>5.2518801731019707E-3</v>
      </c>
      <c r="O93" s="117">
        <v>-2.8879175772713434E-3</v>
      </c>
      <c r="P93" s="89">
        <v>2.9875388183498541E-3</v>
      </c>
      <c r="R93" s="71">
        <v>38247</v>
      </c>
      <c r="S93" s="99">
        <f>+I93-[1]Data!W91</f>
        <v>4.6382773399114086E-3</v>
      </c>
    </row>
    <row r="94" spans="3:19">
      <c r="C94" s="71">
        <v>38254</v>
      </c>
      <c r="D94" s="118">
        <f t="shared" si="6"/>
        <v>10.173315845732331</v>
      </c>
      <c r="E94" s="92">
        <f t="shared" si="7"/>
        <v>103.09468729596118</v>
      </c>
      <c r="F94" s="92">
        <f t="shared" si="8"/>
        <v>0</v>
      </c>
      <c r="G94" s="92">
        <f t="shared" si="10"/>
        <v>113.26800314169351</v>
      </c>
      <c r="H94" s="92">
        <f t="shared" si="9"/>
        <v>113.21705546673353</v>
      </c>
      <c r="I94" s="91">
        <f t="shared" si="11"/>
        <v>2.0539065170030969E-3</v>
      </c>
      <c r="J94" s="115"/>
      <c r="K94" s="64"/>
      <c r="L94" s="119">
        <v>38254</v>
      </c>
      <c r="M94" s="117">
        <v>-9.5947205264258189E-3</v>
      </c>
      <c r="N94" s="117">
        <v>3.2182562902282465E-3</v>
      </c>
      <c r="O94" s="117">
        <v>-1.1663405088062581E-2</v>
      </c>
      <c r="P94" s="89">
        <v>-9.0926905741720281E-3</v>
      </c>
      <c r="R94" s="71">
        <v>38254</v>
      </c>
      <c r="S94" s="99">
        <f>+I94-[1]Data!W92</f>
        <v>1.7289065170030969E-3</v>
      </c>
    </row>
    <row r="95" spans="3:19">
      <c r="C95" s="71">
        <v>38261</v>
      </c>
      <c r="D95" s="118">
        <f t="shared" si="6"/>
        <v>10.381562457765602</v>
      </c>
      <c r="E95" s="92">
        <f t="shared" si="7"/>
        <v>103.00449071914932</v>
      </c>
      <c r="F95" s="92">
        <f t="shared" si="8"/>
        <v>0</v>
      </c>
      <c r="G95" s="92">
        <f t="shared" si="10"/>
        <v>113.38605317691491</v>
      </c>
      <c r="H95" s="92">
        <f t="shared" si="9"/>
        <v>113.33505240333345</v>
      </c>
      <c r="I95" s="91">
        <f t="shared" si="11"/>
        <v>1.042218737393269E-3</v>
      </c>
      <c r="J95" s="115"/>
      <c r="K95" s="64"/>
      <c r="L95" s="119">
        <v>38261</v>
      </c>
      <c r="M95" s="117">
        <v>2.0469885648997089E-2</v>
      </c>
      <c r="N95" s="117">
        <v>-8.7489063867019943E-4</v>
      </c>
      <c r="O95" s="117">
        <v>1.1880247109139869E-2</v>
      </c>
      <c r="P95" s="89">
        <v>2.0448522722778101E-2</v>
      </c>
      <c r="R95" s="71">
        <v>38261</v>
      </c>
      <c r="S95" s="99">
        <f>+I95-[1]Data!W93</f>
        <v>7.1721873739326899E-4</v>
      </c>
    </row>
    <row r="96" spans="3:19">
      <c r="C96" s="71">
        <v>38268</v>
      </c>
      <c r="D96" s="118">
        <f t="shared" si="6"/>
        <v>10.393772038677497</v>
      </c>
      <c r="E96" s="92">
        <f t="shared" si="7"/>
        <v>102.39029498181138</v>
      </c>
      <c r="F96" s="92">
        <f t="shared" si="8"/>
        <v>0</v>
      </c>
      <c r="G96" s="92">
        <f t="shared" si="10"/>
        <v>112.78406702048888</v>
      </c>
      <c r="H96" s="92">
        <f t="shared" si="9"/>
        <v>112.73333701883043</v>
      </c>
      <c r="I96" s="91">
        <f t="shared" si="11"/>
        <v>-5.3091728617343965E-3</v>
      </c>
      <c r="J96" s="115"/>
      <c r="K96" s="64"/>
      <c r="L96" s="119">
        <v>38268</v>
      </c>
      <c r="M96" s="117">
        <v>1.1760831726019664E-3</v>
      </c>
      <c r="N96" s="117">
        <v>-5.9628054374114203E-3</v>
      </c>
      <c r="O96" s="117">
        <v>1.0801502817783196E-2</v>
      </c>
      <c r="P96" s="89">
        <v>2.3255813953489252E-3</v>
      </c>
      <c r="R96" s="71">
        <v>38268</v>
      </c>
      <c r="S96" s="99">
        <f>+I96-[1]Data!W94</f>
        <v>-5.6322497848113199E-3</v>
      </c>
    </row>
    <row r="97" spans="3:19">
      <c r="C97" s="71">
        <v>38275</v>
      </c>
      <c r="D97" s="118">
        <f t="shared" si="6"/>
        <v>10.267964516961339</v>
      </c>
      <c r="E97" s="92">
        <f t="shared" si="7"/>
        <v>103.68740765786772</v>
      </c>
      <c r="F97" s="92">
        <f t="shared" si="8"/>
        <v>0</v>
      </c>
      <c r="G97" s="92">
        <f t="shared" si="10"/>
        <v>113.95537217482907</v>
      </c>
      <c r="H97" s="92">
        <f t="shared" si="9"/>
        <v>113.90411532293375</v>
      </c>
      <c r="I97" s="91">
        <f t="shared" si="11"/>
        <v>1.0385377875470513E-2</v>
      </c>
      <c r="J97" s="115"/>
      <c r="K97" s="64"/>
      <c r="L97" s="119">
        <v>38275</v>
      </c>
      <c r="M97" s="117">
        <v>-1.2104125552109653E-2</v>
      </c>
      <c r="N97" s="117">
        <v>1.2668316624019507E-2</v>
      </c>
      <c r="O97" s="117">
        <v>2.9425429766147121E-3</v>
      </c>
      <c r="P97" s="89">
        <v>-1.3109048723897967E-2</v>
      </c>
      <c r="R97" s="71">
        <v>38275</v>
      </c>
      <c r="S97" s="99">
        <f>+I97-[1]Data!W95</f>
        <v>1.0058454798547436E-2</v>
      </c>
    </row>
    <row r="98" spans="3:19">
      <c r="C98" s="71">
        <v>38282</v>
      </c>
      <c r="D98" s="118">
        <f t="shared" si="6"/>
        <v>10.254289786340015</v>
      </c>
      <c r="E98" s="92">
        <f t="shared" si="7"/>
        <v>104.26724279451543</v>
      </c>
      <c r="F98" s="92">
        <f t="shared" si="8"/>
        <v>0</v>
      </c>
      <c r="G98" s="92">
        <f t="shared" si="10"/>
        <v>114.52153258085544</v>
      </c>
      <c r="H98" s="92">
        <f t="shared" si="9"/>
        <v>114.47002107137332</v>
      </c>
      <c r="I98" s="91">
        <f t="shared" si="11"/>
        <v>4.9682642882143083E-3</v>
      </c>
      <c r="J98" s="115"/>
      <c r="K98" s="64"/>
      <c r="L98" s="119">
        <v>38282</v>
      </c>
      <c r="M98" s="117">
        <v>-1.3317859249254113E-3</v>
      </c>
      <c r="N98" s="117">
        <v>5.5921461414191386E-3</v>
      </c>
      <c r="O98" s="117">
        <v>-6.1766522544790382E-4</v>
      </c>
      <c r="P98" s="89">
        <v>-1.0971356921750759E-3</v>
      </c>
      <c r="R98" s="71">
        <v>38282</v>
      </c>
      <c r="S98" s="99">
        <f>+I98-[1]Data!W96</f>
        <v>4.6221104420604625E-3</v>
      </c>
    </row>
    <row r="99" spans="3:19">
      <c r="C99" s="71">
        <v>38289</v>
      </c>
      <c r="D99" s="118">
        <f t="shared" si="6"/>
        <v>10.477773955351333</v>
      </c>
      <c r="E99" s="92">
        <f t="shared" si="7"/>
        <v>104.3789147467587</v>
      </c>
      <c r="F99" s="92">
        <f t="shared" si="8"/>
        <v>0</v>
      </c>
      <c r="G99" s="92">
        <f t="shared" si="10"/>
        <v>114.85668870211003</v>
      </c>
      <c r="H99" s="92">
        <f t="shared" si="9"/>
        <v>114.80502644021192</v>
      </c>
      <c r="I99" s="91">
        <f t="shared" si="11"/>
        <v>2.9265773318038839E-3</v>
      </c>
      <c r="J99" s="115"/>
      <c r="K99" s="64"/>
      <c r="L99" s="119">
        <v>38289</v>
      </c>
      <c r="M99" s="117">
        <v>2.1794212341163351E-2</v>
      </c>
      <c r="N99" s="117">
        <v>1.0710166419509776E-3</v>
      </c>
      <c r="O99" s="117">
        <v>1.2901730531520519E-2</v>
      </c>
      <c r="P99" s="89">
        <v>2.1378417604832653E-2</v>
      </c>
      <c r="R99" s="71">
        <v>38289</v>
      </c>
      <c r="S99" s="99">
        <f>+I99-[1]Data!W97</f>
        <v>2.5669619471884991E-3</v>
      </c>
    </row>
    <row r="100" spans="3:19">
      <c r="C100" s="71">
        <v>38296</v>
      </c>
      <c r="D100" s="118">
        <f t="shared" si="6"/>
        <v>10.827456352667991</v>
      </c>
      <c r="E100" s="92">
        <f t="shared" si="7"/>
        <v>104.6065537263315</v>
      </c>
      <c r="F100" s="92">
        <f t="shared" si="8"/>
        <v>0</v>
      </c>
      <c r="G100" s="92">
        <f t="shared" si="10"/>
        <v>115.43401007899949</v>
      </c>
      <c r="H100" s="92">
        <f t="shared" si="9"/>
        <v>115.38208813933677</v>
      </c>
      <c r="I100" s="91">
        <f t="shared" si="11"/>
        <v>5.02644977330654E-3</v>
      </c>
      <c r="J100" s="115"/>
      <c r="K100" s="64"/>
      <c r="L100" s="119">
        <v>38296</v>
      </c>
      <c r="M100" s="117">
        <v>3.3373729840589124E-2</v>
      </c>
      <c r="N100" s="117">
        <v>2.1808904616904003E-3</v>
      </c>
      <c r="O100" s="117">
        <v>2.4483258332697575E-2</v>
      </c>
      <c r="P100" s="89">
        <v>3.3412704508794792E-2</v>
      </c>
      <c r="R100" s="71">
        <v>38296</v>
      </c>
      <c r="S100" s="99">
        <f>+I100-[1]Data!W98</f>
        <v>4.6514497733065397E-3</v>
      </c>
    </row>
    <row r="101" spans="3:19">
      <c r="C101" s="71">
        <v>38303</v>
      </c>
      <c r="D101" s="118">
        <f t="shared" si="6"/>
        <v>10.967524664889243</v>
      </c>
      <c r="E101" s="92">
        <f t="shared" si="7"/>
        <v>104.2328821938252</v>
      </c>
      <c r="F101" s="92">
        <f t="shared" si="8"/>
        <v>0</v>
      </c>
      <c r="G101" s="92">
        <f t="shared" si="10"/>
        <v>115.20040685871444</v>
      </c>
      <c r="H101" s="92">
        <f t="shared" si="9"/>
        <v>115.14858999321748</v>
      </c>
      <c r="I101" s="91">
        <f t="shared" si="11"/>
        <v>-2.0236949242703347E-3</v>
      </c>
      <c r="J101" s="115"/>
      <c r="K101" s="64"/>
      <c r="L101" s="119">
        <v>38303</v>
      </c>
      <c r="M101" s="117">
        <v>1.2936400541271915E-2</v>
      </c>
      <c r="N101" s="117">
        <v>-3.572161773763106E-3</v>
      </c>
      <c r="O101" s="117">
        <v>2.5982727814175172E-2</v>
      </c>
      <c r="P101" s="89">
        <v>1.3044447747881638E-2</v>
      </c>
      <c r="R101" s="71">
        <v>38303</v>
      </c>
      <c r="S101" s="99">
        <f>+I101-[1]Data!W99</f>
        <v>-2.4160026165780269E-3</v>
      </c>
    </row>
    <row r="102" spans="3:19">
      <c r="C102" s="71">
        <v>38310</v>
      </c>
      <c r="D102" s="118">
        <f t="shared" si="6"/>
        <v>10.951505694732839</v>
      </c>
      <c r="E102" s="92">
        <f t="shared" si="7"/>
        <v>105.13484796194383</v>
      </c>
      <c r="F102" s="92">
        <f t="shared" si="8"/>
        <v>0</v>
      </c>
      <c r="G102" s="92">
        <f t="shared" si="10"/>
        <v>116.08635365667668</v>
      </c>
      <c r="H102" s="92">
        <f t="shared" si="9"/>
        <v>116.03413829444416</v>
      </c>
      <c r="I102" s="91">
        <f t="shared" si="11"/>
        <v>7.6904832380391124E-3</v>
      </c>
      <c r="J102" s="115"/>
      <c r="K102" s="64"/>
      <c r="L102" s="119">
        <v>38310</v>
      </c>
      <c r="M102" s="117">
        <v>-1.4605820954008344E-3</v>
      </c>
      <c r="N102" s="117">
        <v>8.6533706939178924E-3</v>
      </c>
      <c r="O102" s="117">
        <v>-1.5238371671142004E-3</v>
      </c>
      <c r="P102" s="89">
        <v>-5.8696210425902709E-4</v>
      </c>
      <c r="R102" s="71">
        <v>38310</v>
      </c>
      <c r="S102" s="99">
        <f>+I102-[1]Data!W100</f>
        <v>7.2885601611160358E-3</v>
      </c>
    </row>
    <row r="103" spans="3:19">
      <c r="C103" s="71">
        <v>38317</v>
      </c>
      <c r="D103" s="118">
        <f t="shared" si="6"/>
        <v>11.065201312184399</v>
      </c>
      <c r="E103" s="92">
        <f t="shared" si="7"/>
        <v>105.41402784255199</v>
      </c>
      <c r="F103" s="92">
        <f t="shared" si="8"/>
        <v>0</v>
      </c>
      <c r="G103" s="92">
        <f t="shared" si="10"/>
        <v>116.47922915473639</v>
      </c>
      <c r="H103" s="92">
        <f t="shared" si="9"/>
        <v>116.42683707805125</v>
      </c>
      <c r="I103" s="91">
        <f t="shared" si="11"/>
        <v>3.3843383454151155E-3</v>
      </c>
      <c r="J103" s="115"/>
      <c r="K103" s="64"/>
      <c r="L103" s="119">
        <v>38317</v>
      </c>
      <c r="M103" s="117">
        <v>1.038173385658212E-2</v>
      </c>
      <c r="N103" s="117">
        <v>2.655445706348581E-3</v>
      </c>
      <c r="O103" s="117">
        <v>2.3909883720930176E-2</v>
      </c>
      <c r="P103" s="89">
        <v>1.0424696252248192E-2</v>
      </c>
      <c r="R103" s="71">
        <v>38317</v>
      </c>
      <c r="S103" s="99">
        <f>+I103-[1]Data!W101</f>
        <v>2.9708768069535772E-3</v>
      </c>
    </row>
    <row r="104" spans="3:19">
      <c r="C104" s="71">
        <v>38324</v>
      </c>
      <c r="D104" s="118">
        <f t="shared" si="6"/>
        <v>11.177334103279238</v>
      </c>
      <c r="E104" s="92">
        <f t="shared" si="7"/>
        <v>104.98452033392405</v>
      </c>
      <c r="F104" s="92">
        <f t="shared" si="8"/>
        <v>0</v>
      </c>
      <c r="G104" s="92">
        <f t="shared" si="10"/>
        <v>116.16185443720329</v>
      </c>
      <c r="H104" s="92">
        <f t="shared" si="9"/>
        <v>116.10960511490158</v>
      </c>
      <c r="I104" s="91">
        <f t="shared" si="11"/>
        <v>-2.7247322963604818E-3</v>
      </c>
      <c r="J104" s="115"/>
      <c r="K104" s="64"/>
      <c r="L104" s="119">
        <v>38324</v>
      </c>
      <c r="M104" s="117">
        <v>1.0133822958228893E-2</v>
      </c>
      <c r="N104" s="117">
        <v>-4.0744815222262965E-3</v>
      </c>
      <c r="O104" s="117">
        <v>1.8028248988572793E-2</v>
      </c>
      <c r="P104" s="89">
        <v>1.0535110981945124E-2</v>
      </c>
      <c r="R104" s="71">
        <v>38324</v>
      </c>
      <c r="S104" s="99">
        <f>+I104-[1]Data!W102</f>
        <v>-3.1458861425143281E-3</v>
      </c>
    </row>
    <row r="105" spans="3:19">
      <c r="C105" s="71">
        <v>38331</v>
      </c>
      <c r="D105" s="118">
        <f t="shared" si="6"/>
        <v>11.0188049047192</v>
      </c>
      <c r="E105" s="92">
        <f t="shared" si="7"/>
        <v>105.83494520100734</v>
      </c>
      <c r="F105" s="92">
        <f t="shared" si="8"/>
        <v>0</v>
      </c>
      <c r="G105" s="92">
        <f t="shared" si="10"/>
        <v>116.85375010572655</v>
      </c>
      <c r="H105" s="92">
        <f t="shared" si="9"/>
        <v>116.80118957041985</v>
      </c>
      <c r="I105" s="91">
        <f t="shared" si="11"/>
        <v>5.9563070155468894E-3</v>
      </c>
      <c r="J105" s="115"/>
      <c r="K105" s="64"/>
      <c r="L105" s="119">
        <v>38331</v>
      </c>
      <c r="M105" s="117">
        <v>-1.4183095637583909E-2</v>
      </c>
      <c r="N105" s="117">
        <v>8.1004786646483237E-3</v>
      </c>
      <c r="O105" s="117">
        <v>-1.3316600432266587E-2</v>
      </c>
      <c r="P105" s="89">
        <v>-1.513462990257769E-2</v>
      </c>
      <c r="R105" s="71">
        <v>38331</v>
      </c>
      <c r="S105" s="99">
        <f>+I105-[1]Data!W103</f>
        <v>5.5313070155468894E-3</v>
      </c>
    </row>
    <row r="106" spans="3:19">
      <c r="C106" s="71">
        <v>38338</v>
      </c>
      <c r="D106" s="118">
        <f t="shared" si="6"/>
        <v>11.128202749689775</v>
      </c>
      <c r="E106" s="92">
        <f t="shared" si="7"/>
        <v>105.96379745359573</v>
      </c>
      <c r="F106" s="92">
        <f t="shared" si="8"/>
        <v>0</v>
      </c>
      <c r="G106" s="92">
        <f t="shared" si="10"/>
        <v>117.09200020328551</v>
      </c>
      <c r="H106" s="92">
        <f t="shared" si="9"/>
        <v>117.03933250365885</v>
      </c>
      <c r="I106" s="91">
        <f t="shared" si="11"/>
        <v>2.0388742110835005E-3</v>
      </c>
      <c r="J106" s="115"/>
      <c r="K106" s="64"/>
      <c r="L106" s="119">
        <v>38338</v>
      </c>
      <c r="M106" s="117">
        <v>9.9282858637165881E-3</v>
      </c>
      <c r="N106" s="117">
        <v>1.2174830566941738E-3</v>
      </c>
      <c r="O106" s="117">
        <v>1.1023176936122118E-2</v>
      </c>
      <c r="P106" s="89">
        <v>1.1133012118557497E-2</v>
      </c>
      <c r="R106" s="71">
        <v>38338</v>
      </c>
      <c r="S106" s="99">
        <f>+I106-[1]Data!W104</f>
        <v>1.6196434418527313E-3</v>
      </c>
    </row>
    <row r="107" spans="3:19">
      <c r="C107" s="71">
        <v>38345</v>
      </c>
      <c r="D107" s="118">
        <f t="shared" si="6"/>
        <v>11.360282463663063</v>
      </c>
      <c r="E107" s="92">
        <f t="shared" si="7"/>
        <v>105.80917475048967</v>
      </c>
      <c r="F107" s="92">
        <f t="shared" si="8"/>
        <v>0</v>
      </c>
      <c r="G107" s="92">
        <f t="shared" si="10"/>
        <v>117.16945721415274</v>
      </c>
      <c r="H107" s="92">
        <f t="shared" si="9"/>
        <v>117.1167546745492</v>
      </c>
      <c r="I107" s="91">
        <f t="shared" si="11"/>
        <v>6.6150557452917483E-4</v>
      </c>
      <c r="J107" s="115"/>
      <c r="K107" s="64"/>
      <c r="L107" s="119">
        <v>38345</v>
      </c>
      <c r="M107" s="117">
        <v>2.0855093962028975E-2</v>
      </c>
      <c r="N107" s="117">
        <v>-1.4592031129666962E-3</v>
      </c>
      <c r="O107" s="117">
        <v>1.8870561923399417E-2</v>
      </c>
      <c r="P107" s="89">
        <v>2.0829572939605003E-2</v>
      </c>
      <c r="R107" s="71">
        <v>38345</v>
      </c>
      <c r="S107" s="99">
        <f>+I107-[1]Data!W105</f>
        <v>2.4419788222148253E-4</v>
      </c>
    </row>
    <row r="108" spans="3:19">
      <c r="C108" s="71">
        <v>38352</v>
      </c>
      <c r="D108" s="118">
        <f t="shared" si="6"/>
        <v>11.421721074811714</v>
      </c>
      <c r="E108" s="92">
        <f t="shared" si="7"/>
        <v>105.80917475048967</v>
      </c>
      <c r="F108" s="92">
        <f t="shared" si="8"/>
        <v>0</v>
      </c>
      <c r="G108" s="92">
        <f t="shared" si="10"/>
        <v>117.23089582530139</v>
      </c>
      <c r="H108" s="92">
        <f t="shared" si="9"/>
        <v>117.17816565075856</v>
      </c>
      <c r="I108" s="91">
        <f t="shared" si="11"/>
        <v>5.2435688113123917E-4</v>
      </c>
      <c r="J108" s="115"/>
      <c r="K108" s="64"/>
      <c r="L108" s="119">
        <v>38352</v>
      </c>
      <c r="M108" s="117">
        <v>5.4081939727440471E-3</v>
      </c>
      <c r="N108" s="117">
        <v>0</v>
      </c>
      <c r="O108" s="117">
        <v>1.4336671697077811E-2</v>
      </c>
      <c r="P108" s="89">
        <v>6.1531932951411315E-3</v>
      </c>
      <c r="R108" s="71">
        <v>38352</v>
      </c>
      <c r="S108" s="99">
        <f>+I108-[1]Data!W106</f>
        <v>1.0127995805431607E-4</v>
      </c>
    </row>
    <row r="109" spans="3:19">
      <c r="C109" s="71">
        <v>38359</v>
      </c>
      <c r="D109" s="118">
        <f t="shared" si="6"/>
        <v>11.134258701822073</v>
      </c>
      <c r="E109" s="92">
        <f t="shared" si="7"/>
        <v>105.57294562074432</v>
      </c>
      <c r="F109" s="92">
        <f t="shared" si="8"/>
        <v>0</v>
      </c>
      <c r="G109" s="92">
        <f t="shared" si="10"/>
        <v>116.7072043225664</v>
      </c>
      <c r="H109" s="92">
        <f t="shared" si="9"/>
        <v>116.65470970319997</v>
      </c>
      <c r="I109" s="91">
        <f t="shared" si="11"/>
        <v>-4.467179910621853E-3</v>
      </c>
      <c r="J109" s="115"/>
      <c r="K109" s="64"/>
      <c r="L109" s="119">
        <v>38359</v>
      </c>
      <c r="M109" s="117">
        <v>-2.5168043511724424E-2</v>
      </c>
      <c r="N109" s="117">
        <v>-2.2325959001420052E-3</v>
      </c>
      <c r="O109" s="117">
        <v>-4.4363292080881869E-2</v>
      </c>
      <c r="P109" s="89">
        <v>-2.6079010262898775E-2</v>
      </c>
      <c r="R109" s="71">
        <v>38359</v>
      </c>
      <c r="S109" s="99">
        <f>+I109-[1]Data!W107</f>
        <v>-4.9075645260064681E-3</v>
      </c>
    </row>
    <row r="110" spans="3:19">
      <c r="C110" s="71">
        <v>38366</v>
      </c>
      <c r="D110" s="118">
        <f t="shared" si="6"/>
        <v>11.145589192908309</v>
      </c>
      <c r="E110" s="92">
        <f t="shared" si="7"/>
        <v>106.37182958679227</v>
      </c>
      <c r="F110" s="92">
        <f t="shared" si="8"/>
        <v>0</v>
      </c>
      <c r="G110" s="92">
        <f t="shared" si="10"/>
        <v>117.51741877970058</v>
      </c>
      <c r="H110" s="92">
        <f t="shared" si="9"/>
        <v>117.46455972782306</v>
      </c>
      <c r="I110" s="91">
        <f t="shared" si="11"/>
        <v>6.9422831421342372E-3</v>
      </c>
      <c r="J110" s="115"/>
      <c r="K110" s="64"/>
      <c r="L110" s="119">
        <v>38366</v>
      </c>
      <c r="M110" s="117">
        <v>1.0176241984015005E-3</v>
      </c>
      <c r="N110" s="117">
        <v>7.5671277461350087E-3</v>
      </c>
      <c r="O110" s="117">
        <v>5.2367136083788061E-3</v>
      </c>
      <c r="P110" s="89">
        <v>1.8765788523997899E-3</v>
      </c>
      <c r="R110" s="71">
        <v>38366</v>
      </c>
      <c r="S110" s="99">
        <f>+I110-[1]Data!W108</f>
        <v>6.4980523729034683E-3</v>
      </c>
    </row>
    <row r="111" spans="3:19">
      <c r="C111" s="71">
        <v>38373</v>
      </c>
      <c r="D111" s="118">
        <f t="shared" si="6"/>
        <v>11.020074701134035</v>
      </c>
      <c r="E111" s="92">
        <f t="shared" si="7"/>
        <v>106.13130538196063</v>
      </c>
      <c r="F111" s="92">
        <f t="shared" si="8"/>
        <v>0</v>
      </c>
      <c r="G111" s="92">
        <f t="shared" si="10"/>
        <v>117.15138008309466</v>
      </c>
      <c r="H111" s="92">
        <f t="shared" si="9"/>
        <v>117.09868567454113</v>
      </c>
      <c r="I111" s="91">
        <f t="shared" si="11"/>
        <v>-3.1147612022698096E-3</v>
      </c>
      <c r="J111" s="115"/>
      <c r="K111" s="64"/>
      <c r="L111" s="119">
        <v>38373</v>
      </c>
      <c r="M111" s="117">
        <v>-1.1261359951624273E-2</v>
      </c>
      <c r="N111" s="117">
        <v>-2.2611644997173638E-3</v>
      </c>
      <c r="O111" s="117">
        <v>7.0397747272083291E-4</v>
      </c>
      <c r="P111" s="89">
        <v>-1.0950219724803763E-2</v>
      </c>
      <c r="R111" s="71">
        <v>38373</v>
      </c>
      <c r="S111" s="99">
        <f>+I111-[1]Data!W109</f>
        <v>-3.5628381253467326E-3</v>
      </c>
    </row>
    <row r="112" spans="3:19">
      <c r="C112" s="71">
        <v>38380</v>
      </c>
      <c r="D112" s="118">
        <f t="shared" si="6"/>
        <v>11.07057352778563</v>
      </c>
      <c r="E112" s="92">
        <f t="shared" si="7"/>
        <v>106.16996105773715</v>
      </c>
      <c r="F112" s="92">
        <f t="shared" si="8"/>
        <v>0</v>
      </c>
      <c r="G112" s="92">
        <f t="shared" si="10"/>
        <v>117.24053458552278</v>
      </c>
      <c r="H112" s="92">
        <f t="shared" si="9"/>
        <v>117.18780007548881</v>
      </c>
      <c r="I112" s="91">
        <f t="shared" si="11"/>
        <v>7.6101965136790323E-4</v>
      </c>
      <c r="J112" s="115"/>
      <c r="K112" s="64"/>
      <c r="L112" s="119">
        <v>38380</v>
      </c>
      <c r="M112" s="117">
        <v>4.5824395951144922E-3</v>
      </c>
      <c r="N112" s="117">
        <v>3.6422501011737523E-4</v>
      </c>
      <c r="O112" s="117">
        <v>-5.6982061202954784E-3</v>
      </c>
      <c r="P112" s="89">
        <v>5.3536310000729384E-3</v>
      </c>
      <c r="R112" s="71">
        <v>38380</v>
      </c>
      <c r="S112" s="99">
        <f>+I112-[1]Data!W110</f>
        <v>3.0332734367559557E-4</v>
      </c>
    </row>
    <row r="113" spans="3:19">
      <c r="C113" s="71">
        <v>38387</v>
      </c>
      <c r="D113" s="118">
        <f t="shared" si="6"/>
        <v>11.310662726837123</v>
      </c>
      <c r="E113" s="92">
        <f t="shared" si="7"/>
        <v>106.16996105773715</v>
      </c>
      <c r="F113" s="92">
        <f t="shared" si="8"/>
        <v>0</v>
      </c>
      <c r="G113" s="92">
        <f t="shared" si="10"/>
        <v>117.48062378457428</v>
      </c>
      <c r="H113" s="92">
        <f t="shared" si="9"/>
        <v>117.42778128299693</v>
      </c>
      <c r="I113" s="91">
        <f t="shared" si="11"/>
        <v>2.0478343936274454E-3</v>
      </c>
      <c r="J113" s="115"/>
      <c r="K113" s="64"/>
      <c r="L113" s="119">
        <v>38387</v>
      </c>
      <c r="M113" s="117">
        <v>2.1687150936570754E-2</v>
      </c>
      <c r="N113" s="117">
        <v>0</v>
      </c>
      <c r="O113" s="117">
        <v>1.0117447290222207E-2</v>
      </c>
      <c r="P113" s="89">
        <v>2.1916319507335667E-2</v>
      </c>
      <c r="R113" s="71">
        <v>38387</v>
      </c>
      <c r="S113" s="99">
        <f>+I113-[1]Data!W111</f>
        <v>1.5747574705505224E-3</v>
      </c>
    </row>
    <row r="114" spans="3:19">
      <c r="C114" s="71">
        <v>38394</v>
      </c>
      <c r="D114" s="118">
        <f t="shared" si="6"/>
        <v>11.362724379845439</v>
      </c>
      <c r="E114" s="92">
        <f t="shared" si="7"/>
        <v>106.45773108851787</v>
      </c>
      <c r="F114" s="92">
        <f t="shared" si="8"/>
        <v>0</v>
      </c>
      <c r="G114" s="92">
        <f t="shared" si="10"/>
        <v>117.82045546836332</v>
      </c>
      <c r="H114" s="92">
        <f t="shared" si="9"/>
        <v>117.76746011131323</v>
      </c>
      <c r="I114" s="91">
        <f t="shared" si="11"/>
        <v>2.8926615542337504E-3</v>
      </c>
      <c r="J114" s="115"/>
      <c r="K114" s="64"/>
      <c r="L114" s="119">
        <v>38394</v>
      </c>
      <c r="M114" s="117">
        <v>4.6028826308107526E-3</v>
      </c>
      <c r="N114" s="117">
        <v>2.7104656337231113E-3</v>
      </c>
      <c r="O114" s="117">
        <v>1.3728374308327936E-2</v>
      </c>
      <c r="P114" s="89">
        <v>4.7855370436014387E-3</v>
      </c>
      <c r="R114" s="71">
        <v>38394</v>
      </c>
      <c r="S114" s="99">
        <f>+I114-[1]Data!W112</f>
        <v>2.4157384773106734E-3</v>
      </c>
    </row>
    <row r="115" spans="3:19">
      <c r="C115" s="71">
        <v>38401</v>
      </c>
      <c r="D115" s="118">
        <f t="shared" si="6"/>
        <v>11.419962895160403</v>
      </c>
      <c r="E115" s="92">
        <f t="shared" si="7"/>
        <v>106.2859280850667</v>
      </c>
      <c r="F115" s="92">
        <f t="shared" si="8"/>
        <v>0</v>
      </c>
      <c r="G115" s="92">
        <f t="shared" si="10"/>
        <v>117.70589098022711</v>
      </c>
      <c r="H115" s="92">
        <f t="shared" si="9"/>
        <v>117.6529471540078</v>
      </c>
      <c r="I115" s="91">
        <f t="shared" si="11"/>
        <v>-9.7236500810312884E-4</v>
      </c>
      <c r="J115" s="115"/>
      <c r="K115" s="64"/>
      <c r="L115" s="119">
        <v>38401</v>
      </c>
      <c r="M115" s="117">
        <v>5.0373936215938513E-3</v>
      </c>
      <c r="N115" s="117">
        <v>-1.6138142499798501E-3</v>
      </c>
      <c r="O115" s="117">
        <v>5.6657223796035489E-3</v>
      </c>
      <c r="P115" s="89">
        <v>5.9975304286469877E-3</v>
      </c>
      <c r="R115" s="71">
        <v>38401</v>
      </c>
      <c r="S115" s="99">
        <f>+I115-[1]Data!W113</f>
        <v>-1.4608265465646674E-3</v>
      </c>
    </row>
    <row r="116" spans="3:19">
      <c r="C116" s="71">
        <v>38408</v>
      </c>
      <c r="D116" s="118">
        <f t="shared" si="6"/>
        <v>11.497908859701937</v>
      </c>
      <c r="E116" s="92">
        <f t="shared" si="7"/>
        <v>106.03251865497622</v>
      </c>
      <c r="F116" s="92">
        <f t="shared" si="8"/>
        <v>0</v>
      </c>
      <c r="G116" s="92">
        <f t="shared" si="10"/>
        <v>117.53042751467815</v>
      </c>
      <c r="H116" s="92">
        <f t="shared" si="9"/>
        <v>117.47756261150299</v>
      </c>
      <c r="I116" s="91">
        <f t="shared" si="11"/>
        <v>-1.4906940008501189E-3</v>
      </c>
      <c r="J116" s="115"/>
      <c r="K116" s="64"/>
      <c r="L116" s="119">
        <v>38408</v>
      </c>
      <c r="M116" s="117">
        <v>6.8254131171097349E-3</v>
      </c>
      <c r="N116" s="117">
        <v>-2.3842237129233146E-3</v>
      </c>
      <c r="O116" s="117">
        <v>-1.5733424939883341E-2</v>
      </c>
      <c r="P116" s="89">
        <v>7.8905839032088389E-3</v>
      </c>
      <c r="R116" s="71">
        <v>38408</v>
      </c>
      <c r="S116" s="99">
        <f>+I116-[1]Data!W114</f>
        <v>-2.0003093854655037E-3</v>
      </c>
    </row>
    <row r="117" spans="3:19">
      <c r="C117" s="71">
        <v>38415</v>
      </c>
      <c r="D117" s="118">
        <f t="shared" si="6"/>
        <v>11.64725645341623</v>
      </c>
      <c r="E117" s="92">
        <f t="shared" si="7"/>
        <v>106.19573150825482</v>
      </c>
      <c r="F117" s="92">
        <f t="shared" si="8"/>
        <v>0</v>
      </c>
      <c r="G117" s="92">
        <f t="shared" si="10"/>
        <v>117.84298796167106</v>
      </c>
      <c r="H117" s="92">
        <f t="shared" si="9"/>
        <v>117.78998246955977</v>
      </c>
      <c r="I117" s="91">
        <f t="shared" si="11"/>
        <v>2.6594002387498794E-3</v>
      </c>
      <c r="J117" s="115"/>
      <c r="K117" s="64"/>
      <c r="L117" s="119">
        <v>38415</v>
      </c>
      <c r="M117" s="117">
        <v>1.298910919686695E-2</v>
      </c>
      <c r="N117" s="117">
        <v>1.5392716814517577E-3</v>
      </c>
      <c r="O117" s="117">
        <v>1.0540276420494342E-2</v>
      </c>
      <c r="P117" s="89">
        <v>1.26304801670146E-2</v>
      </c>
      <c r="R117" s="71">
        <v>38415</v>
      </c>
      <c r="S117" s="99">
        <f>+I117-[1]Data!W115</f>
        <v>2.1401694695191101E-3</v>
      </c>
    </row>
    <row r="118" spans="3:19">
      <c r="C118" s="71">
        <v>38422</v>
      </c>
      <c r="D118" s="118">
        <f t="shared" si="6"/>
        <v>11.541179614453689</v>
      </c>
      <c r="E118" s="92">
        <f t="shared" si="7"/>
        <v>105.84353535117992</v>
      </c>
      <c r="F118" s="92">
        <f t="shared" si="8"/>
        <v>0</v>
      </c>
      <c r="G118" s="92">
        <f t="shared" si="10"/>
        <v>117.38471496563361</v>
      </c>
      <c r="H118" s="92">
        <f t="shared" si="9"/>
        <v>117.331915603612</v>
      </c>
      <c r="I118" s="91">
        <f t="shared" si="11"/>
        <v>-3.8888439945743958E-3</v>
      </c>
      <c r="J118" s="115"/>
      <c r="K118" s="64"/>
      <c r="L118" s="119">
        <v>38422</v>
      </c>
      <c r="M118" s="117">
        <v>-9.1074528483853362E-3</v>
      </c>
      <c r="N118" s="117">
        <v>-3.3164812942365752E-3</v>
      </c>
      <c r="O118" s="117">
        <v>-7.3910340540168651E-3</v>
      </c>
      <c r="P118" s="89">
        <v>-8.6245404253856694E-3</v>
      </c>
      <c r="R118" s="71">
        <v>38422</v>
      </c>
      <c r="S118" s="99">
        <f>+I118-[1]Data!W116</f>
        <v>-4.4080747638051655E-3</v>
      </c>
    </row>
    <row r="119" spans="3:19">
      <c r="C119" s="71">
        <v>38429</v>
      </c>
      <c r="D119" s="118">
        <f t="shared" si="6"/>
        <v>11.420255925102287</v>
      </c>
      <c r="E119" s="92">
        <f t="shared" si="7"/>
        <v>105.56865054565804</v>
      </c>
      <c r="F119" s="92">
        <f t="shared" si="8"/>
        <v>0</v>
      </c>
      <c r="G119" s="92">
        <f t="shared" si="10"/>
        <v>116.98890647076033</v>
      </c>
      <c r="H119" s="92">
        <f t="shared" si="9"/>
        <v>116.93628514244624</v>
      </c>
      <c r="I119" s="91">
        <f t="shared" si="11"/>
        <v>-3.3718912636042093E-3</v>
      </c>
      <c r="J119" s="115"/>
      <c r="K119" s="64"/>
      <c r="L119" s="119">
        <v>38429</v>
      </c>
      <c r="M119" s="117">
        <v>-1.0477584908215241E-2</v>
      </c>
      <c r="N119" s="117">
        <v>-2.5970863937021253E-3</v>
      </c>
      <c r="O119" s="117">
        <v>-6.263048016699721E-4</v>
      </c>
      <c r="P119" s="89">
        <v>-1.1922916955497012E-2</v>
      </c>
      <c r="R119" s="71">
        <v>38429</v>
      </c>
      <c r="S119" s="99">
        <f>+I119-[1]Data!W117</f>
        <v>-3.8988143405272865E-3</v>
      </c>
    </row>
    <row r="120" spans="3:19">
      <c r="C120" s="71">
        <v>38436</v>
      </c>
      <c r="D120" s="118">
        <f t="shared" si="6"/>
        <v>11.203902151343518</v>
      </c>
      <c r="E120" s="92">
        <f t="shared" si="7"/>
        <v>104.71393060348848</v>
      </c>
      <c r="F120" s="92">
        <f t="shared" si="8"/>
        <v>0</v>
      </c>
      <c r="G120" s="92">
        <f t="shared" si="10"/>
        <v>115.91783275483199</v>
      </c>
      <c r="H120" s="92">
        <f t="shared" si="9"/>
        <v>115.86569319289521</v>
      </c>
      <c r="I120" s="91">
        <f t="shared" si="11"/>
        <v>-9.1553442821181268E-3</v>
      </c>
      <c r="J120" s="115"/>
      <c r="K120" s="64"/>
      <c r="L120" s="119">
        <v>38436</v>
      </c>
      <c r="M120" s="117">
        <v>-1.8944739520522832E-2</v>
      </c>
      <c r="N120" s="117">
        <v>-8.096342406118966E-3</v>
      </c>
      <c r="O120" s="117">
        <v>-3.0011837615764932E-2</v>
      </c>
      <c r="P120" s="89">
        <v>-1.9398063701417053E-2</v>
      </c>
      <c r="R120" s="71">
        <v>38436</v>
      </c>
      <c r="S120" s="99">
        <f>+I120-[1]Data!W118</f>
        <v>-9.6938058205796648E-3</v>
      </c>
    </row>
    <row r="121" spans="3:19">
      <c r="C121" s="71">
        <v>38443</v>
      </c>
      <c r="D121" s="118">
        <f t="shared" si="6"/>
        <v>11.214841935840576</v>
      </c>
      <c r="E121" s="92">
        <f t="shared" si="7"/>
        <v>105.22504453875571</v>
      </c>
      <c r="F121" s="92">
        <f t="shared" si="8"/>
        <v>0</v>
      </c>
      <c r="G121" s="92">
        <f t="shared" si="10"/>
        <v>116.43988647459629</v>
      </c>
      <c r="H121" s="92">
        <f t="shared" si="9"/>
        <v>116.38751209415393</v>
      </c>
      <c r="I121" s="91">
        <f t="shared" si="11"/>
        <v>4.5036532115679219E-3</v>
      </c>
      <c r="J121" s="115"/>
      <c r="K121" s="64"/>
      <c r="L121" s="119">
        <v>38443</v>
      </c>
      <c r="M121" s="117">
        <v>9.7642627981597699E-4</v>
      </c>
      <c r="N121" s="117">
        <v>4.8810500410172179E-3</v>
      </c>
      <c r="O121" s="117">
        <v>-1.2203876525485708E-3</v>
      </c>
      <c r="P121" s="89">
        <v>1.6455016991592901E-3</v>
      </c>
      <c r="R121" s="71">
        <v>38443</v>
      </c>
      <c r="S121" s="99">
        <f>+I121-[1]Data!W119</f>
        <v>3.9728839807986914E-3</v>
      </c>
    </row>
    <row r="122" spans="3:19">
      <c r="C122" s="71">
        <v>38450</v>
      </c>
      <c r="D122" s="118">
        <f t="shared" si="6"/>
        <v>11.268466415205616</v>
      </c>
      <c r="E122" s="92">
        <f t="shared" si="7"/>
        <v>105.04894646021826</v>
      </c>
      <c r="F122" s="92">
        <f t="shared" si="8"/>
        <v>0</v>
      </c>
      <c r="G122" s="92">
        <f t="shared" si="10"/>
        <v>116.31741287542388</v>
      </c>
      <c r="H122" s="92">
        <f t="shared" si="9"/>
        <v>116.2650935833114</v>
      </c>
      <c r="I122" s="91">
        <f t="shared" si="11"/>
        <v>-1.0518182633159402E-3</v>
      </c>
      <c r="J122" s="115"/>
      <c r="K122" s="64"/>
      <c r="L122" s="119">
        <v>38450</v>
      </c>
      <c r="M122" s="117">
        <v>4.7815635451505089E-3</v>
      </c>
      <c r="N122" s="117">
        <v>-1.6735376954161254E-3</v>
      </c>
      <c r="O122" s="117">
        <v>2.5875080859628667E-3</v>
      </c>
      <c r="P122" s="89">
        <v>4.499839291453844E-3</v>
      </c>
      <c r="R122" s="71">
        <v>38450</v>
      </c>
      <c r="S122" s="99">
        <f>+I122-[1]Data!W120</f>
        <v>-1.5768182633159402E-3</v>
      </c>
    </row>
    <row r="123" spans="3:19">
      <c r="C123" s="71">
        <v>38457</v>
      </c>
      <c r="D123" s="118">
        <f t="shared" si="6"/>
        <v>10.977096976324166</v>
      </c>
      <c r="E123" s="92">
        <f t="shared" si="7"/>
        <v>105.79628952523083</v>
      </c>
      <c r="F123" s="92">
        <f t="shared" si="8"/>
        <v>0</v>
      </c>
      <c r="G123" s="92">
        <f t="shared" si="10"/>
        <v>116.773386501555</v>
      </c>
      <c r="H123" s="92">
        <f t="shared" si="9"/>
        <v>116.72086211360389</v>
      </c>
      <c r="I123" s="91">
        <f t="shared" si="11"/>
        <v>3.9200805353147607E-3</v>
      </c>
      <c r="J123" s="115"/>
      <c r="K123" s="64"/>
      <c r="L123" s="119">
        <v>38457</v>
      </c>
      <c r="M123" s="117">
        <v>-2.5857062367269236E-2</v>
      </c>
      <c r="N123" s="117">
        <v>7.1142366505845961E-3</v>
      </c>
      <c r="O123" s="117">
        <v>7.8858699548344121E-4</v>
      </c>
      <c r="P123" s="89">
        <v>-2.638034628648615E-2</v>
      </c>
      <c r="R123" s="71">
        <v>38457</v>
      </c>
      <c r="S123" s="99">
        <f>+I123-[1]Data!W121</f>
        <v>3.3970036122378377E-3</v>
      </c>
    </row>
    <row r="124" spans="3:19">
      <c r="C124" s="71">
        <v>38464</v>
      </c>
      <c r="D124" s="118">
        <f t="shared" si="6"/>
        <v>11.036093671290438</v>
      </c>
      <c r="E124" s="92">
        <f t="shared" si="7"/>
        <v>106.41048526256877</v>
      </c>
      <c r="F124" s="92">
        <f t="shared" si="8"/>
        <v>0</v>
      </c>
      <c r="G124" s="92">
        <f t="shared" si="10"/>
        <v>117.4465789338592</v>
      </c>
      <c r="H124" s="92">
        <f t="shared" si="9"/>
        <v>117.39375174557371</v>
      </c>
      <c r="I124" s="91">
        <f t="shared" si="11"/>
        <v>5.764947412013657E-3</v>
      </c>
      <c r="J124" s="115"/>
      <c r="K124" s="64"/>
      <c r="L124" s="119">
        <v>38464</v>
      </c>
      <c r="M124" s="117">
        <v>5.3745261696712676E-3</v>
      </c>
      <c r="N124" s="117">
        <v>5.805456316986062E-3</v>
      </c>
      <c r="O124" s="117">
        <v>1.1174785100286549E-2</v>
      </c>
      <c r="P124" s="89">
        <v>5.2583531130180666E-3</v>
      </c>
      <c r="R124" s="71">
        <v>38464</v>
      </c>
      <c r="S124" s="99">
        <f>+I124-[1]Data!W122</f>
        <v>5.2187935658598106E-3</v>
      </c>
    </row>
    <row r="125" spans="3:19">
      <c r="C125" s="71">
        <v>38471</v>
      </c>
      <c r="D125" s="118">
        <f t="shared" si="6"/>
        <v>10.975338796672853</v>
      </c>
      <c r="E125" s="92">
        <f t="shared" si="7"/>
        <v>106.56081289058854</v>
      </c>
      <c r="F125" s="92">
        <f t="shared" si="8"/>
        <v>0</v>
      </c>
      <c r="G125" s="92">
        <f t="shared" si="10"/>
        <v>117.53615168726139</v>
      </c>
      <c r="H125" s="92">
        <f t="shared" si="9"/>
        <v>117.4832842093672</v>
      </c>
      <c r="I125" s="91">
        <f t="shared" si="11"/>
        <v>7.6266805057505888E-4</v>
      </c>
      <c r="J125" s="115"/>
      <c r="K125" s="64"/>
      <c r="L125" s="119">
        <v>38471</v>
      </c>
      <c r="M125" s="117">
        <v>-5.5051068273943675E-3</v>
      </c>
      <c r="N125" s="117">
        <v>1.4127144298687964E-3</v>
      </c>
      <c r="O125" s="117">
        <v>1.5089260413714901E-2</v>
      </c>
      <c r="P125" s="89">
        <v>-5.7757274147264039E-3</v>
      </c>
      <c r="R125" s="71">
        <v>38471</v>
      </c>
      <c r="S125" s="99">
        <f>+I125-[1]Data!W123</f>
        <v>2.1459112749813583E-4</v>
      </c>
    </row>
    <row r="126" spans="3:19">
      <c r="C126" s="71">
        <v>38478</v>
      </c>
      <c r="D126" s="118">
        <f t="shared" si="6"/>
        <v>11.141096067132729</v>
      </c>
      <c r="E126" s="92">
        <f t="shared" si="7"/>
        <v>106.8614681466281</v>
      </c>
      <c r="F126" s="92">
        <f t="shared" si="8"/>
        <v>0</v>
      </c>
      <c r="G126" s="92">
        <f t="shared" si="10"/>
        <v>118.00256421376082</v>
      </c>
      <c r="H126" s="92">
        <f t="shared" si="9"/>
        <v>117.94948694463575</v>
      </c>
      <c r="I126" s="91">
        <f t="shared" si="11"/>
        <v>3.9682473843490095E-3</v>
      </c>
      <c r="J126" s="115"/>
      <c r="K126" s="64"/>
      <c r="L126" s="119">
        <v>38478</v>
      </c>
      <c r="M126" s="117">
        <v>1.5102701933003273E-2</v>
      </c>
      <c r="N126" s="117">
        <v>2.8214429665458164E-3</v>
      </c>
      <c r="O126" s="117">
        <v>2.3728103845348835E-3</v>
      </c>
      <c r="P126" s="89">
        <v>1.6185604676653295E-2</v>
      </c>
      <c r="R126" s="71">
        <v>38478</v>
      </c>
      <c r="S126" s="99">
        <f>+I126-[1]Data!W124</f>
        <v>3.4259396920413173E-3</v>
      </c>
    </row>
    <row r="127" spans="3:19">
      <c r="C127" s="71">
        <v>38485</v>
      </c>
      <c r="D127" s="118">
        <f t="shared" si="6"/>
        <v>10.924156233490189</v>
      </c>
      <c r="E127" s="92">
        <f t="shared" si="7"/>
        <v>106.29451823523922</v>
      </c>
      <c r="F127" s="92">
        <f t="shared" si="8"/>
        <v>0</v>
      </c>
      <c r="G127" s="92">
        <f t="shared" si="10"/>
        <v>117.21867446872942</v>
      </c>
      <c r="H127" s="92">
        <f t="shared" si="9"/>
        <v>117.16594979132333</v>
      </c>
      <c r="I127" s="91">
        <f t="shared" si="11"/>
        <v>-6.6429890761645046E-3</v>
      </c>
      <c r="J127" s="115"/>
      <c r="K127" s="64"/>
      <c r="L127" s="119">
        <v>38485</v>
      </c>
      <c r="M127" s="117">
        <v>-1.947203689253979E-2</v>
      </c>
      <c r="N127" s="117">
        <v>-5.3054662379422085E-3</v>
      </c>
      <c r="O127" s="117">
        <v>-8.4940472046229811E-3</v>
      </c>
      <c r="P127" s="89">
        <v>-1.9738970984791316E-2</v>
      </c>
      <c r="R127" s="71">
        <v>38485</v>
      </c>
      <c r="S127" s="99">
        <f>+I127-[1]Data!W125</f>
        <v>-7.1852967684721972E-3</v>
      </c>
    </row>
    <row r="128" spans="3:19">
      <c r="C128" s="71">
        <v>38492</v>
      </c>
      <c r="D128" s="118">
        <f t="shared" si="6"/>
        <v>11.114918725657628</v>
      </c>
      <c r="E128" s="92">
        <f t="shared" si="7"/>
        <v>106.12271523178806</v>
      </c>
      <c r="F128" s="92">
        <f t="shared" si="8"/>
        <v>0</v>
      </c>
      <c r="G128" s="92">
        <f t="shared" si="10"/>
        <v>117.23763395744569</v>
      </c>
      <c r="H128" s="92">
        <f t="shared" si="9"/>
        <v>117.18490075210725</v>
      </c>
      <c r="I128" s="91">
        <f t="shared" si="11"/>
        <v>1.6174460939955576E-4</v>
      </c>
      <c r="J128" s="115"/>
      <c r="K128" s="64"/>
      <c r="L128" s="119">
        <v>38492</v>
      </c>
      <c r="M128" s="117">
        <v>1.7462446351931303E-2</v>
      </c>
      <c r="N128" s="117">
        <v>-1.616292225634303E-3</v>
      </c>
      <c r="O128" s="117">
        <v>1.2148023312969523E-2</v>
      </c>
      <c r="P128" s="89">
        <v>1.7238849765258177E-2</v>
      </c>
      <c r="R128" s="71">
        <v>38492</v>
      </c>
      <c r="S128" s="99">
        <f>+I128-[1]Data!W126</f>
        <v>-3.8056308290813651E-4</v>
      </c>
    </row>
    <row r="129" spans="3:19">
      <c r="C129" s="71">
        <v>38499</v>
      </c>
      <c r="D129" s="118">
        <f t="shared" si="6"/>
        <v>11.21005578012311</v>
      </c>
      <c r="E129" s="92">
        <f t="shared" si="7"/>
        <v>106.52215721481203</v>
      </c>
      <c r="F129" s="92">
        <f t="shared" si="8"/>
        <v>0</v>
      </c>
      <c r="G129" s="92">
        <f t="shared" si="10"/>
        <v>117.73221299493514</v>
      </c>
      <c r="H129" s="92">
        <f t="shared" si="9"/>
        <v>117.67925732913704</v>
      </c>
      <c r="I129" s="91">
        <f t="shared" si="11"/>
        <v>4.2186030269851229E-3</v>
      </c>
      <c r="J129" s="115"/>
      <c r="K129" s="64"/>
      <c r="L129" s="119">
        <v>38499</v>
      </c>
      <c r="M129" s="117">
        <v>8.5594017206682381E-3</v>
      </c>
      <c r="N129" s="117">
        <v>3.7639630888780086E-3</v>
      </c>
      <c r="O129" s="117">
        <v>-4.3707506590814175E-3</v>
      </c>
      <c r="P129" s="89">
        <v>8.6896949592558774E-3</v>
      </c>
      <c r="R129" s="71">
        <v>38499</v>
      </c>
      <c r="S129" s="99">
        <f>+I129-[1]Data!W127</f>
        <v>3.6628337962158922E-3</v>
      </c>
    </row>
    <row r="130" spans="3:19">
      <c r="C130" s="71">
        <v>38506</v>
      </c>
      <c r="D130" s="118">
        <f t="shared" si="6"/>
        <v>11.200092762099004</v>
      </c>
      <c r="E130" s="92">
        <f t="shared" si="7"/>
        <v>106.85287799645555</v>
      </c>
      <c r="F130" s="92">
        <f t="shared" si="8"/>
        <v>0</v>
      </c>
      <c r="G130" s="92">
        <f t="shared" si="10"/>
        <v>118.05297075855455</v>
      </c>
      <c r="H130" s="92">
        <f t="shared" si="9"/>
        <v>117.99987081668704</v>
      </c>
      <c r="I130" s="91">
        <f t="shared" si="11"/>
        <v>2.724468991619038E-3</v>
      </c>
      <c r="J130" s="115"/>
      <c r="K130" s="64"/>
      <c r="L130" s="119">
        <v>38506</v>
      </c>
      <c r="M130" s="117">
        <v>-8.8875722115240596E-4</v>
      </c>
      <c r="N130" s="117">
        <v>3.1047135196161858E-3</v>
      </c>
      <c r="O130" s="117">
        <v>1.3796947947878325E-2</v>
      </c>
      <c r="P130" s="89">
        <v>-2.8596961572827198E-4</v>
      </c>
      <c r="R130" s="71">
        <v>38506</v>
      </c>
      <c r="S130" s="99">
        <f>+I130-[1]Data!W128</f>
        <v>2.1629305300805766E-3</v>
      </c>
    </row>
    <row r="131" spans="3:19">
      <c r="C131" s="71">
        <v>38513</v>
      </c>
      <c r="D131" s="118">
        <f t="shared" si="6"/>
        <v>11.207418510646141</v>
      </c>
      <c r="E131" s="92">
        <f t="shared" si="7"/>
        <v>106.45343601343157</v>
      </c>
      <c r="F131" s="92">
        <f t="shared" si="8"/>
        <v>0</v>
      </c>
      <c r="G131" s="92">
        <f t="shared" si="10"/>
        <v>117.66085452407771</v>
      </c>
      <c r="H131" s="92">
        <f t="shared" si="9"/>
        <v>117.60793095514789</v>
      </c>
      <c r="I131" s="91">
        <f t="shared" si="11"/>
        <v>-3.3215278866535547E-3</v>
      </c>
      <c r="J131" s="115"/>
      <c r="K131" s="64"/>
      <c r="L131" s="119">
        <v>38513</v>
      </c>
      <c r="M131" s="117">
        <v>6.5407927440805824E-4</v>
      </c>
      <c r="N131" s="117">
        <v>-3.7382426240051723E-3</v>
      </c>
      <c r="O131" s="117">
        <v>9.2789882466148485E-3</v>
      </c>
      <c r="P131" s="89">
        <v>6.4361568992028751E-4</v>
      </c>
      <c r="R131" s="71">
        <v>38513</v>
      </c>
      <c r="S131" s="99">
        <f>+I131-[1]Data!W129</f>
        <v>-3.8888355789612472E-3</v>
      </c>
    </row>
    <row r="132" spans="3:19">
      <c r="C132" s="71">
        <v>38520</v>
      </c>
      <c r="D132" s="118">
        <f t="shared" si="6"/>
        <v>11.397301912987921</v>
      </c>
      <c r="E132" s="92">
        <f t="shared" si="7"/>
        <v>106.17425613282342</v>
      </c>
      <c r="F132" s="92">
        <f t="shared" si="8"/>
        <v>0</v>
      </c>
      <c r="G132" s="92">
        <f t="shared" si="10"/>
        <v>117.57155804581134</v>
      </c>
      <c r="H132" s="92">
        <f t="shared" si="9"/>
        <v>117.51867464222234</v>
      </c>
      <c r="I132" s="91">
        <f t="shared" si="11"/>
        <v>-7.5893107038500676E-4</v>
      </c>
      <c r="J132" s="115"/>
      <c r="K132" s="64"/>
      <c r="L132" s="119">
        <v>38520</v>
      </c>
      <c r="M132" s="117">
        <v>1.6942652954505689E-2</v>
      </c>
      <c r="N132" s="117">
        <v>-2.6225539640912072E-3</v>
      </c>
      <c r="O132" s="117">
        <v>2.1383819122854714E-2</v>
      </c>
      <c r="P132" s="89">
        <v>1.7402179739145984E-2</v>
      </c>
      <c r="R132" s="71">
        <v>38520</v>
      </c>
      <c r="S132" s="99">
        <f>+I132-[1]Data!W130</f>
        <v>-1.324315685769622E-3</v>
      </c>
    </row>
    <row r="133" spans="3:19">
      <c r="C133" s="71">
        <v>38527</v>
      </c>
      <c r="D133" s="118">
        <f t="shared" ref="D133:D196" si="12">+D132*(1+M133)</f>
        <v>11.230958582644272</v>
      </c>
      <c r="E133" s="92">
        <f t="shared" ref="E133:E196" si="13">+E132*(1+N133)</f>
        <v>106.97314009887135</v>
      </c>
      <c r="F133" s="92">
        <f t="shared" ref="F133:F196" si="14">+F132*(1+O133)</f>
        <v>0</v>
      </c>
      <c r="G133" s="92">
        <f t="shared" si="10"/>
        <v>118.20409868151563</v>
      </c>
      <c r="H133" s="92">
        <f t="shared" ref="H133:H196" si="15">+H132*(1+(((D132/G132)*M133)+((E132/G132)*N133)+((F132/G132)*O133)))</f>
        <v>118.15093076267243</v>
      </c>
      <c r="I133" s="91">
        <f t="shared" si="11"/>
        <v>5.3800480849103792E-3</v>
      </c>
      <c r="J133" s="115"/>
      <c r="K133" s="64"/>
      <c r="L133" s="119">
        <v>38527</v>
      </c>
      <c r="M133" s="117">
        <v>-1.459497446093721E-2</v>
      </c>
      <c r="N133" s="117">
        <v>7.5242718446602496E-3</v>
      </c>
      <c r="O133" s="117">
        <v>-8.6678223763167299E-3</v>
      </c>
      <c r="P133" s="89">
        <v>-1.4013767912334956E-2</v>
      </c>
      <c r="R133" s="71">
        <v>38527</v>
      </c>
      <c r="S133" s="99">
        <f>+I133-[1]Data!W131</f>
        <v>4.8069711618334565E-3</v>
      </c>
    </row>
    <row r="134" spans="3:19">
      <c r="C134" s="71">
        <v>38534</v>
      </c>
      <c r="D134" s="118">
        <f t="shared" si="12"/>
        <v>11.211618606479831</v>
      </c>
      <c r="E134" s="92">
        <f t="shared" si="13"/>
        <v>106.23009210894504</v>
      </c>
      <c r="F134" s="92">
        <f t="shared" si="14"/>
        <v>0</v>
      </c>
      <c r="G134" s="92">
        <f t="shared" ref="G134:G197" si="16">+SUM(D134:F134)</f>
        <v>117.44171071542488</v>
      </c>
      <c r="H134" s="92">
        <f t="shared" si="15"/>
        <v>117.3888857168523</v>
      </c>
      <c r="I134" s="91">
        <f t="shared" si="11"/>
        <v>-6.4497591419811675E-3</v>
      </c>
      <c r="J134" s="115"/>
      <c r="K134" s="64"/>
      <c r="L134" s="119">
        <v>38534</v>
      </c>
      <c r="M134" s="117">
        <v>-1.7220236386881469E-3</v>
      </c>
      <c r="N134" s="117">
        <v>-6.9461174014293333E-3</v>
      </c>
      <c r="O134" s="117">
        <v>1.3451708366950368E-4</v>
      </c>
      <c r="P134" s="89">
        <v>-1.5317208705874213E-3</v>
      </c>
      <c r="R134" s="71">
        <v>38534</v>
      </c>
      <c r="S134" s="99">
        <f>+I134-[1]Data!W132</f>
        <v>-7.0420668342888598E-3</v>
      </c>
    </row>
    <row r="135" spans="3:19">
      <c r="C135" s="71">
        <v>38541</v>
      </c>
      <c r="D135" s="118">
        <f t="shared" si="12"/>
        <v>11.298257792630634</v>
      </c>
      <c r="E135" s="92">
        <f t="shared" si="13"/>
        <v>105.92084670273294</v>
      </c>
      <c r="F135" s="92">
        <f t="shared" si="14"/>
        <v>0</v>
      </c>
      <c r="G135" s="92">
        <f t="shared" si="16"/>
        <v>117.21910449536358</v>
      </c>
      <c r="H135" s="92">
        <f t="shared" si="15"/>
        <v>117.16637962453254</v>
      </c>
      <c r="I135" s="91">
        <f t="shared" ref="I135:I198" si="17">+(H135-H134)/H134</f>
        <v>-1.8954613203881773E-3</v>
      </c>
      <c r="J135" s="115"/>
      <c r="K135" s="64"/>
      <c r="L135" s="119">
        <v>38541</v>
      </c>
      <c r="M135" s="117">
        <v>7.7276251709748993E-3</v>
      </c>
      <c r="N135" s="117">
        <v>-2.9110904459628789E-3</v>
      </c>
      <c r="O135" s="117">
        <v>5.5817081371890556E-3</v>
      </c>
      <c r="P135" s="89">
        <v>6.8498037816625609E-3</v>
      </c>
      <c r="R135" s="71">
        <v>38541</v>
      </c>
      <c r="S135" s="99">
        <f>+I135-[1]Data!W133</f>
        <v>-2.4935382434651005E-3</v>
      </c>
    </row>
    <row r="136" spans="3:19">
      <c r="C136" s="71">
        <v>38548</v>
      </c>
      <c r="D136" s="118">
        <f t="shared" si="12"/>
        <v>11.464796476268873</v>
      </c>
      <c r="E136" s="92">
        <f t="shared" si="13"/>
        <v>105.85212550135246</v>
      </c>
      <c r="F136" s="92">
        <f t="shared" si="14"/>
        <v>0</v>
      </c>
      <c r="G136" s="92">
        <f t="shared" si="16"/>
        <v>117.31692197762133</v>
      </c>
      <c r="H136" s="92">
        <f t="shared" si="15"/>
        <v>117.26415310872241</v>
      </c>
      <c r="I136" s="91">
        <f t="shared" si="17"/>
        <v>8.3448412849482885E-4</v>
      </c>
      <c r="J136" s="115"/>
      <c r="K136" s="64"/>
      <c r="L136" s="119">
        <v>38548</v>
      </c>
      <c r="M136" s="117">
        <v>1.4740209215872702E-2</v>
      </c>
      <c r="N136" s="117">
        <v>-6.4879769676827784E-4</v>
      </c>
      <c r="O136" s="117">
        <v>1.1770213335116637E-2</v>
      </c>
      <c r="P136" s="89">
        <v>1.5803274041527812E-2</v>
      </c>
      <c r="R136" s="71">
        <v>38548</v>
      </c>
      <c r="S136" s="99">
        <f>+I136-[1]Data!W134</f>
        <v>2.2871489772559805E-4</v>
      </c>
    </row>
    <row r="137" spans="3:19">
      <c r="C137" s="71">
        <v>38555</v>
      </c>
      <c r="D137" s="118">
        <f t="shared" si="12"/>
        <v>11.546747183349508</v>
      </c>
      <c r="E137" s="92">
        <f t="shared" si="13"/>
        <v>106.04110880514875</v>
      </c>
      <c r="F137" s="92">
        <f t="shared" si="14"/>
        <v>0</v>
      </c>
      <c r="G137" s="92">
        <f t="shared" si="16"/>
        <v>117.58785598849826</v>
      </c>
      <c r="H137" s="92">
        <f t="shared" si="15"/>
        <v>117.53496525413391</v>
      </c>
      <c r="I137" s="91">
        <f t="shared" si="17"/>
        <v>2.3094197010096653E-3</v>
      </c>
      <c r="J137" s="115"/>
      <c r="K137" s="64"/>
      <c r="L137" s="119">
        <v>38555</v>
      </c>
      <c r="M137" s="117">
        <v>7.148029818956422E-3</v>
      </c>
      <c r="N137" s="117">
        <v>1.7853519983769435E-3</v>
      </c>
      <c r="O137" s="117">
        <v>1.6326260823583839E-2</v>
      </c>
      <c r="P137" s="89">
        <v>8.0926468536346909E-3</v>
      </c>
      <c r="R137" s="71">
        <v>38555</v>
      </c>
      <c r="S137" s="99">
        <f>+I137-[1]Data!W135</f>
        <v>1.6844197010096652E-3</v>
      </c>
    </row>
    <row r="138" spans="3:19">
      <c r="C138" s="71">
        <v>38562</v>
      </c>
      <c r="D138" s="118">
        <f t="shared" si="12"/>
        <v>11.605548525021192</v>
      </c>
      <c r="E138" s="92">
        <f t="shared" si="13"/>
        <v>105.8478304262662</v>
      </c>
      <c r="F138" s="92">
        <f t="shared" si="14"/>
        <v>0</v>
      </c>
      <c r="G138" s="92">
        <f t="shared" si="16"/>
        <v>117.45337895128739</v>
      </c>
      <c r="H138" s="92">
        <f t="shared" si="15"/>
        <v>117.40054870437042</v>
      </c>
      <c r="I138" s="91">
        <f t="shared" si="17"/>
        <v>-1.1436303186277456E-3</v>
      </c>
      <c r="J138" s="115"/>
      <c r="K138" s="64"/>
      <c r="L138" s="119">
        <v>38562</v>
      </c>
      <c r="M138" s="117">
        <v>5.0924594379684147E-3</v>
      </c>
      <c r="N138" s="117">
        <v>-1.8226740653731971E-3</v>
      </c>
      <c r="O138" s="117">
        <v>1.2682101977107292E-2</v>
      </c>
      <c r="P138" s="89">
        <v>5.4325259515570698E-3</v>
      </c>
      <c r="R138" s="71">
        <v>38562</v>
      </c>
      <c r="S138" s="99">
        <f>+I138-[1]Data!W136</f>
        <v>-1.7878610878585147E-3</v>
      </c>
    </row>
    <row r="139" spans="3:19">
      <c r="C139" s="71">
        <v>38569</v>
      </c>
      <c r="D139" s="118">
        <f t="shared" si="12"/>
        <v>11.602813578896928</v>
      </c>
      <c r="E139" s="92">
        <f t="shared" si="13"/>
        <v>105.5557653203992</v>
      </c>
      <c r="F139" s="92">
        <f t="shared" si="14"/>
        <v>0</v>
      </c>
      <c r="G139" s="92">
        <f t="shared" si="16"/>
        <v>117.15857889929613</v>
      </c>
      <c r="H139" s="92">
        <f t="shared" si="15"/>
        <v>117.1058812527324</v>
      </c>
      <c r="I139" s="91">
        <f t="shared" si="17"/>
        <v>-2.509932490861096E-3</v>
      </c>
      <c r="J139" s="115"/>
      <c r="K139" s="64"/>
      <c r="L139" s="119">
        <v>38569</v>
      </c>
      <c r="M139" s="117">
        <v>-2.3565849717207505E-4</v>
      </c>
      <c r="N139" s="117">
        <v>-2.759292322674918E-3</v>
      </c>
      <c r="O139" s="117">
        <v>-8.7341853445508551E-3</v>
      </c>
      <c r="P139" s="89">
        <v>1.1012836837938989E-3</v>
      </c>
      <c r="R139" s="71">
        <v>38569</v>
      </c>
      <c r="S139" s="99">
        <f>+I139-[1]Data!W137</f>
        <v>-3.1657017216303266E-3</v>
      </c>
    </row>
    <row r="140" spans="3:19">
      <c r="C140" s="71">
        <v>38576</v>
      </c>
      <c r="D140" s="118">
        <f t="shared" si="12"/>
        <v>11.801292526200683</v>
      </c>
      <c r="E140" s="92">
        <f t="shared" si="13"/>
        <v>106.58658334110622</v>
      </c>
      <c r="F140" s="92">
        <f t="shared" si="14"/>
        <v>0</v>
      </c>
      <c r="G140" s="92">
        <f t="shared" si="16"/>
        <v>118.3878758673069</v>
      </c>
      <c r="H140" s="92">
        <f t="shared" si="15"/>
        <v>118.33462528592824</v>
      </c>
      <c r="I140" s="91">
        <f t="shared" si="17"/>
        <v>1.0492590295648946E-2</v>
      </c>
      <c r="J140" s="115"/>
      <c r="K140" s="64"/>
      <c r="L140" s="119">
        <v>38576</v>
      </c>
      <c r="M140" s="117">
        <v>1.7106104993770358E-2</v>
      </c>
      <c r="N140" s="117">
        <v>9.7656250000000243E-3</v>
      </c>
      <c r="O140" s="117">
        <v>7.0618723679948397E-3</v>
      </c>
      <c r="P140" s="89">
        <v>1.6604214651586652E-2</v>
      </c>
      <c r="R140" s="71">
        <v>38576</v>
      </c>
      <c r="S140" s="99">
        <f>+I140-[1]Data!W138</f>
        <v>9.8310518341104842E-3</v>
      </c>
    </row>
    <row r="141" spans="3:19">
      <c r="C141" s="71">
        <v>38583</v>
      </c>
      <c r="D141" s="118">
        <f t="shared" si="12"/>
        <v>11.633191016205719</v>
      </c>
      <c r="E141" s="92">
        <f t="shared" si="13"/>
        <v>106.34176406118831</v>
      </c>
      <c r="F141" s="92">
        <f t="shared" si="14"/>
        <v>0</v>
      </c>
      <c r="G141" s="92">
        <f t="shared" si="16"/>
        <v>117.97495507739403</v>
      </c>
      <c r="H141" s="92">
        <f t="shared" si="15"/>
        <v>117.92189022679197</v>
      </c>
      <c r="I141" s="91">
        <f t="shared" si="17"/>
        <v>-3.487863828013046E-3</v>
      </c>
      <c r="J141" s="115"/>
      <c r="K141" s="64"/>
      <c r="L141" s="119">
        <v>38583</v>
      </c>
      <c r="M141" s="117">
        <v>-1.4244330408872732E-2</v>
      </c>
      <c r="N141" s="117">
        <v>-2.2969052224371101E-3</v>
      </c>
      <c r="O141" s="117">
        <v>-1.6469377251672686E-2</v>
      </c>
      <c r="P141" s="89">
        <v>-1.5048018395779943E-2</v>
      </c>
      <c r="R141" s="71">
        <v>38583</v>
      </c>
      <c r="S141" s="99">
        <f>+I141-[1]Data!W139</f>
        <v>-4.1513253664745842E-3</v>
      </c>
    </row>
    <row r="142" spans="3:19">
      <c r="C142" s="71">
        <v>38590</v>
      </c>
      <c r="D142" s="118">
        <f t="shared" si="12"/>
        <v>11.572045434998953</v>
      </c>
      <c r="E142" s="92">
        <f t="shared" si="13"/>
        <v>106.85287799645555</v>
      </c>
      <c r="F142" s="92">
        <f t="shared" si="14"/>
        <v>0</v>
      </c>
      <c r="G142" s="92">
        <f t="shared" si="16"/>
        <v>118.4249234314545</v>
      </c>
      <c r="H142" s="92">
        <f t="shared" si="15"/>
        <v>118.37165618617071</v>
      </c>
      <c r="I142" s="91">
        <f t="shared" si="17"/>
        <v>3.8141006603076844E-3</v>
      </c>
      <c r="J142" s="115"/>
      <c r="K142" s="64"/>
      <c r="L142" s="119">
        <v>38590</v>
      </c>
      <c r="M142" s="117">
        <v>-5.256131453664591E-3</v>
      </c>
      <c r="N142" s="117">
        <v>4.8063330506078507E-3</v>
      </c>
      <c r="O142" s="117">
        <v>7.1951857666152305E-4</v>
      </c>
      <c r="P142" s="89">
        <v>-4.909534109245741E-3</v>
      </c>
      <c r="R142" s="71">
        <v>38590</v>
      </c>
      <c r="S142" s="99">
        <f>+I142-[1]Data!W140</f>
        <v>3.1487160449230689E-3</v>
      </c>
    </row>
    <row r="143" spans="3:19">
      <c r="C143" s="71">
        <v>38597</v>
      </c>
      <c r="D143" s="118">
        <f t="shared" si="12"/>
        <v>11.792990011180594</v>
      </c>
      <c r="E143" s="92">
        <f t="shared" si="13"/>
        <v>107.89228616733512</v>
      </c>
      <c r="F143" s="92">
        <f t="shared" si="14"/>
        <v>0</v>
      </c>
      <c r="G143" s="92">
        <f t="shared" si="16"/>
        <v>119.68527617851571</v>
      </c>
      <c r="H143" s="92">
        <f t="shared" si="15"/>
        <v>119.63144202960238</v>
      </c>
      <c r="I143" s="91">
        <f t="shared" si="17"/>
        <v>1.0642630879898527E-2</v>
      </c>
      <c r="J143" s="115"/>
      <c r="K143" s="64"/>
      <c r="L143" s="119">
        <v>38597</v>
      </c>
      <c r="M143" s="117">
        <v>1.9092957889139204E-2</v>
      </c>
      <c r="N143" s="117">
        <v>9.7274700538627999E-3</v>
      </c>
      <c r="O143" s="117">
        <v>2.9936597163213174E-2</v>
      </c>
      <c r="P143" s="89">
        <v>1.9907535191830111E-2</v>
      </c>
      <c r="R143" s="71">
        <v>38597</v>
      </c>
      <c r="S143" s="99">
        <f>+I143-[1]Data!W141</f>
        <v>9.9830154952831422E-3</v>
      </c>
    </row>
    <row r="144" spans="3:19">
      <c r="C144" s="71">
        <v>38604</v>
      </c>
      <c r="D144" s="118">
        <f t="shared" si="12"/>
        <v>11.971152215846958</v>
      </c>
      <c r="E144" s="92">
        <f t="shared" si="13"/>
        <v>107.48425403413859</v>
      </c>
      <c r="F144" s="92">
        <f t="shared" si="14"/>
        <v>0</v>
      </c>
      <c r="G144" s="92">
        <f t="shared" si="16"/>
        <v>119.45540624998554</v>
      </c>
      <c r="H144" s="92">
        <f t="shared" si="15"/>
        <v>119.40167549601233</v>
      </c>
      <c r="I144" s="91">
        <f t="shared" si="17"/>
        <v>-1.9206199448235097E-3</v>
      </c>
      <c r="J144" s="115"/>
      <c r="K144" s="64"/>
      <c r="L144" s="119">
        <v>38604</v>
      </c>
      <c r="M144" s="117">
        <v>1.5107466766057905E-2</v>
      </c>
      <c r="N144" s="117">
        <v>-3.7818471337579167E-3</v>
      </c>
      <c r="O144" s="117">
        <v>1.1613885891984595E-2</v>
      </c>
      <c r="P144" s="89">
        <v>1.5121274652413553E-2</v>
      </c>
      <c r="R144" s="71">
        <v>38604</v>
      </c>
      <c r="S144" s="99">
        <f>+I144-[1]Data!W142</f>
        <v>-2.5783122525158174E-3</v>
      </c>
    </row>
    <row r="145" spans="3:19">
      <c r="C145" s="71">
        <v>38611</v>
      </c>
      <c r="D145" s="118">
        <f t="shared" si="12"/>
        <v>11.926123281443893</v>
      </c>
      <c r="E145" s="92">
        <f t="shared" si="13"/>
        <v>106.52645228989832</v>
      </c>
      <c r="F145" s="92">
        <f t="shared" si="14"/>
        <v>0</v>
      </c>
      <c r="G145" s="92">
        <f t="shared" si="16"/>
        <v>118.45257557134221</v>
      </c>
      <c r="H145" s="92">
        <f t="shared" si="15"/>
        <v>118.39929588819251</v>
      </c>
      <c r="I145" s="91">
        <f t="shared" si="17"/>
        <v>-8.3950212897414105E-3</v>
      </c>
      <c r="J145" s="115"/>
      <c r="K145" s="64"/>
      <c r="L145" s="119">
        <v>38611</v>
      </c>
      <c r="M145" s="117">
        <v>-3.7614536672132609E-3</v>
      </c>
      <c r="N145" s="117">
        <v>-8.9110889110888703E-3</v>
      </c>
      <c r="O145" s="117">
        <v>-8.9711417816813466E-3</v>
      </c>
      <c r="P145" s="89">
        <v>-2.8659024260195842E-3</v>
      </c>
      <c r="R145" s="71">
        <v>38611</v>
      </c>
      <c r="S145" s="99">
        <f>+I145-[1]Data!W143</f>
        <v>-9.0488674435875646E-3</v>
      </c>
    </row>
    <row r="146" spans="3:19">
      <c r="C146" s="71">
        <v>38618</v>
      </c>
      <c r="D146" s="118">
        <f t="shared" si="12"/>
        <v>11.765445196643361</v>
      </c>
      <c r="E146" s="92">
        <f t="shared" si="13"/>
        <v>106.4018951123962</v>
      </c>
      <c r="F146" s="92">
        <f t="shared" si="14"/>
        <v>0</v>
      </c>
      <c r="G146" s="92">
        <f t="shared" si="16"/>
        <v>118.16734030903956</v>
      </c>
      <c r="H146" s="92">
        <f t="shared" si="15"/>
        <v>118.11418892402375</v>
      </c>
      <c r="I146" s="91">
        <f t="shared" si="17"/>
        <v>-2.4080123283671839E-3</v>
      </c>
      <c r="J146" s="115"/>
      <c r="K146" s="64"/>
      <c r="L146" s="119">
        <v>38618</v>
      </c>
      <c r="M146" s="117">
        <v>-1.3472784156988686E-2</v>
      </c>
      <c r="N146" s="117">
        <v>-1.1692605435046385E-3</v>
      </c>
      <c r="O146" s="117">
        <v>-1.6712033930493045E-2</v>
      </c>
      <c r="P146" s="89">
        <v>-1.2599425172114291E-2</v>
      </c>
      <c r="R146" s="71">
        <v>38618</v>
      </c>
      <c r="S146" s="99">
        <f>+I146-[1]Data!W144</f>
        <v>-3.0695507899056455E-3</v>
      </c>
    </row>
    <row r="147" spans="3:19">
      <c r="C147" s="71">
        <v>38625</v>
      </c>
      <c r="D147" s="118">
        <f t="shared" si="12"/>
        <v>11.958649604993179</v>
      </c>
      <c r="E147" s="92">
        <f t="shared" si="13"/>
        <v>105.8864861020427</v>
      </c>
      <c r="F147" s="92">
        <f t="shared" si="14"/>
        <v>0</v>
      </c>
      <c r="G147" s="92">
        <f t="shared" si="16"/>
        <v>117.84513570703588</v>
      </c>
      <c r="H147" s="92">
        <f t="shared" si="15"/>
        <v>117.79212924887388</v>
      </c>
      <c r="I147" s="91">
        <f t="shared" si="17"/>
        <v>-2.7266806645646628E-3</v>
      </c>
      <c r="J147" s="115"/>
      <c r="K147" s="64"/>
      <c r="L147" s="119">
        <v>38625</v>
      </c>
      <c r="M147" s="117">
        <v>1.642134276439771E-2</v>
      </c>
      <c r="N147" s="117">
        <v>-4.8439833689903873E-3</v>
      </c>
      <c r="O147" s="117">
        <v>1.6545419429601447E-2</v>
      </c>
      <c r="P147" s="89">
        <v>1.743103740057551E-2</v>
      </c>
      <c r="R147" s="71">
        <v>38625</v>
      </c>
      <c r="S147" s="99">
        <f>+I147-[1]Data!W145</f>
        <v>-3.3882191261031245E-3</v>
      </c>
    </row>
    <row r="148" spans="3:19">
      <c r="C148" s="71">
        <v>38632</v>
      </c>
      <c r="D148" s="118">
        <f t="shared" si="12"/>
        <v>11.662298657099678</v>
      </c>
      <c r="E148" s="92">
        <f t="shared" si="13"/>
        <v>105.86930580169758</v>
      </c>
      <c r="F148" s="92">
        <f t="shared" si="14"/>
        <v>0</v>
      </c>
      <c r="G148" s="92">
        <f t="shared" si="16"/>
        <v>117.53160445879726</v>
      </c>
      <c r="H148" s="92">
        <f t="shared" si="15"/>
        <v>117.47873902623544</v>
      </c>
      <c r="I148" s="91">
        <f t="shared" si="17"/>
        <v>-2.6605361889358008E-3</v>
      </c>
      <c r="J148" s="115"/>
      <c r="K148" s="64"/>
      <c r="L148" s="119">
        <v>38632</v>
      </c>
      <c r="M148" s="117">
        <v>-2.4781305388341123E-2</v>
      </c>
      <c r="N148" s="117">
        <v>-1.6225205857296087E-4</v>
      </c>
      <c r="O148" s="117">
        <v>-3.5085497150094944E-2</v>
      </c>
      <c r="P148" s="89">
        <v>-2.5449101796407296E-2</v>
      </c>
      <c r="R148" s="71">
        <v>38632</v>
      </c>
      <c r="S148" s="99">
        <f>+I148-[1]Data!W146</f>
        <v>-3.3393823427819548E-3</v>
      </c>
    </row>
    <row r="149" spans="3:19">
      <c r="C149" s="71">
        <v>38639</v>
      </c>
      <c r="D149" s="118">
        <f t="shared" si="12"/>
        <v>11.563547566684274</v>
      </c>
      <c r="E149" s="92">
        <f t="shared" si="13"/>
        <v>105.16061841246149</v>
      </c>
      <c r="F149" s="92">
        <f t="shared" si="14"/>
        <v>0</v>
      </c>
      <c r="G149" s="92">
        <f t="shared" si="16"/>
        <v>116.72416597914577</v>
      </c>
      <c r="H149" s="92">
        <f t="shared" si="15"/>
        <v>116.67166373046706</v>
      </c>
      <c r="I149" s="91">
        <f t="shared" si="17"/>
        <v>-6.8699690042480655E-3</v>
      </c>
      <c r="J149" s="115"/>
      <c r="K149" s="64"/>
      <c r="L149" s="119">
        <v>38639</v>
      </c>
      <c r="M149" s="117">
        <v>-8.467549435915581E-3</v>
      </c>
      <c r="N149" s="117">
        <v>-6.6939835287435825E-3</v>
      </c>
      <c r="O149" s="117">
        <v>-7.3510107639800761E-3</v>
      </c>
      <c r="P149" s="89">
        <v>-9.8993002218807895E-3</v>
      </c>
      <c r="R149" s="71">
        <v>38639</v>
      </c>
      <c r="S149" s="99">
        <f>+I149-[1]Data!W147</f>
        <v>-7.5738151580942194E-3</v>
      </c>
    </row>
    <row r="150" spans="3:19">
      <c r="C150" s="71">
        <v>38646</v>
      </c>
      <c r="D150" s="118">
        <f t="shared" si="12"/>
        <v>11.409413817252521</v>
      </c>
      <c r="E150" s="92">
        <f t="shared" si="13"/>
        <v>105.47415889375988</v>
      </c>
      <c r="F150" s="92">
        <f t="shared" si="14"/>
        <v>0</v>
      </c>
      <c r="G150" s="92">
        <f t="shared" si="16"/>
        <v>116.88357271101239</v>
      </c>
      <c r="H150" s="92">
        <f t="shared" si="15"/>
        <v>116.83099876156969</v>
      </c>
      <c r="I150" s="91">
        <f t="shared" si="17"/>
        <v>1.3656703436639218E-3</v>
      </c>
      <c r="J150" s="115"/>
      <c r="K150" s="64"/>
      <c r="L150" s="119">
        <v>38646</v>
      </c>
      <c r="M150" s="117">
        <v>-1.3329278799858069E-2</v>
      </c>
      <c r="N150" s="117">
        <v>2.9815389642214906E-3</v>
      </c>
      <c r="O150" s="117">
        <v>-8.7278497751918909E-3</v>
      </c>
      <c r="P150" s="89">
        <v>-1.3583864850887769E-2</v>
      </c>
      <c r="R150" s="71">
        <v>38646</v>
      </c>
      <c r="S150" s="99">
        <f>+I150-[1]Data!W148</f>
        <v>6.4067034366392184E-4</v>
      </c>
    </row>
    <row r="151" spans="3:19">
      <c r="C151" s="71">
        <v>38653</v>
      </c>
      <c r="D151" s="118">
        <f t="shared" si="12"/>
        <v>11.551924045656152</v>
      </c>
      <c r="E151" s="92">
        <f t="shared" si="13"/>
        <v>104.82130748064543</v>
      </c>
      <c r="F151" s="92">
        <f t="shared" si="14"/>
        <v>0</v>
      </c>
      <c r="G151" s="92">
        <f t="shared" si="16"/>
        <v>116.37323152630158</v>
      </c>
      <c r="H151" s="92">
        <f t="shared" si="15"/>
        <v>116.32088712709439</v>
      </c>
      <c r="I151" s="91">
        <f t="shared" si="17"/>
        <v>-4.3662353303709801E-3</v>
      </c>
      <c r="J151" s="115"/>
      <c r="K151" s="64"/>
      <c r="L151" s="119">
        <v>38653</v>
      </c>
      <c r="M151" s="117">
        <v>1.2490582836792125E-2</v>
      </c>
      <c r="N151" s="117">
        <v>-6.1896811499775294E-3</v>
      </c>
      <c r="O151" s="117">
        <v>1.2006403415154826E-2</v>
      </c>
      <c r="P151" s="89">
        <v>1.1499073782810679E-2</v>
      </c>
      <c r="R151" s="71">
        <v>38653</v>
      </c>
      <c r="S151" s="99">
        <f>+I151-[1]Data!W149</f>
        <v>-5.1008507149863649E-3</v>
      </c>
    </row>
    <row r="152" spans="3:19">
      <c r="C152" s="71">
        <v>38660</v>
      </c>
      <c r="D152" s="118">
        <f t="shared" si="12"/>
        <v>11.791036478234693</v>
      </c>
      <c r="E152" s="92">
        <f t="shared" si="13"/>
        <v>103.76901408450701</v>
      </c>
      <c r="F152" s="92">
        <f t="shared" si="14"/>
        <v>0</v>
      </c>
      <c r="G152" s="92">
        <f t="shared" si="16"/>
        <v>115.56005056274169</v>
      </c>
      <c r="H152" s="92">
        <f t="shared" si="15"/>
        <v>115.50807193037303</v>
      </c>
      <c r="I152" s="91">
        <f t="shared" si="17"/>
        <v>-6.9876977110161003E-3</v>
      </c>
      <c r="J152" s="115"/>
      <c r="K152" s="64"/>
      <c r="L152" s="119">
        <v>38660</v>
      </c>
      <c r="M152" s="117">
        <v>2.0698927004151636E-2</v>
      </c>
      <c r="N152" s="117">
        <v>-1.0038926449498123E-2</v>
      </c>
      <c r="O152" s="117">
        <v>7.5797521750593571E-3</v>
      </c>
      <c r="P152" s="89">
        <v>2.2667588113337949E-2</v>
      </c>
      <c r="R152" s="71">
        <v>38660</v>
      </c>
      <c r="S152" s="99">
        <f>+I152-[1]Data!W150</f>
        <v>-7.7319284802468691E-3</v>
      </c>
    </row>
    <row r="153" spans="3:19">
      <c r="C153" s="71">
        <v>38667</v>
      </c>
      <c r="D153" s="118">
        <f t="shared" si="12"/>
        <v>11.881289700335417</v>
      </c>
      <c r="E153" s="92">
        <f t="shared" si="13"/>
        <v>104.13839054192704</v>
      </c>
      <c r="F153" s="92">
        <f t="shared" si="14"/>
        <v>0</v>
      </c>
      <c r="G153" s="92">
        <f t="shared" si="16"/>
        <v>116.01968024226245</v>
      </c>
      <c r="H153" s="92">
        <f t="shared" si="15"/>
        <v>115.96749486957114</v>
      </c>
      <c r="I153" s="91">
        <f t="shared" si="17"/>
        <v>3.9774098166493587E-3</v>
      </c>
      <c r="J153" s="115"/>
      <c r="K153" s="64"/>
      <c r="L153" s="119">
        <v>38667</v>
      </c>
      <c r="M153" s="117">
        <v>7.6543925775587199E-3</v>
      </c>
      <c r="N153" s="117">
        <v>3.5596026490066789E-3</v>
      </c>
      <c r="O153" s="117">
        <v>2.1325309086151573E-2</v>
      </c>
      <c r="P153" s="89">
        <v>8.0754155967024035E-3</v>
      </c>
      <c r="R153" s="71">
        <v>38667</v>
      </c>
      <c r="S153" s="99">
        <f>+I153-[1]Data!W151</f>
        <v>3.2312559704955127E-3</v>
      </c>
    </row>
    <row r="154" spans="3:19">
      <c r="C154" s="71">
        <v>38674</v>
      </c>
      <c r="D154" s="118">
        <f t="shared" si="12"/>
        <v>11.98629209617771</v>
      </c>
      <c r="E154" s="92">
        <f t="shared" si="13"/>
        <v>104.23717726891145</v>
      </c>
      <c r="F154" s="92">
        <f t="shared" si="14"/>
        <v>0</v>
      </c>
      <c r="G154" s="92">
        <f t="shared" si="16"/>
        <v>116.22346936508916</v>
      </c>
      <c r="H154" s="92">
        <f t="shared" si="15"/>
        <v>116.17119232854132</v>
      </c>
      <c r="I154" s="91">
        <f t="shared" si="17"/>
        <v>1.7565047791993928E-3</v>
      </c>
      <c r="J154" s="115"/>
      <c r="K154" s="64"/>
      <c r="L154" s="119">
        <v>38674</v>
      </c>
      <c r="M154" s="117">
        <v>8.8376260903164274E-3</v>
      </c>
      <c r="N154" s="117">
        <v>9.4861008001315584E-4</v>
      </c>
      <c r="O154" s="117">
        <v>9.1590341382181955E-3</v>
      </c>
      <c r="P154" s="89">
        <v>9.384950561420996E-3</v>
      </c>
      <c r="R154" s="71">
        <v>38674</v>
      </c>
      <c r="S154" s="99">
        <f>+I154-[1]Data!W152</f>
        <v>1.002658625353239E-3</v>
      </c>
    </row>
    <row r="155" spans="3:19">
      <c r="C155" s="71">
        <v>38681</v>
      </c>
      <c r="D155" s="118">
        <f t="shared" si="12"/>
        <v>12.145114324679632</v>
      </c>
      <c r="E155" s="92">
        <f t="shared" si="13"/>
        <v>104.7482912041787</v>
      </c>
      <c r="F155" s="92">
        <f t="shared" si="14"/>
        <v>0</v>
      </c>
      <c r="G155" s="92">
        <f t="shared" si="16"/>
        <v>116.89340552885832</v>
      </c>
      <c r="H155" s="92">
        <f t="shared" si="15"/>
        <v>116.84082715663784</v>
      </c>
      <c r="I155" s="91">
        <f t="shared" si="17"/>
        <v>5.7642072416949925E-3</v>
      </c>
      <c r="J155" s="115"/>
      <c r="K155" s="64"/>
      <c r="L155" s="119">
        <v>38681</v>
      </c>
      <c r="M155" s="117">
        <v>1.325032188666329E-2</v>
      </c>
      <c r="N155" s="117">
        <v>4.9033746755119609E-3</v>
      </c>
      <c r="O155" s="117">
        <v>1.0218329525260124E-2</v>
      </c>
      <c r="P155" s="89">
        <v>1.3315623443466871E-2</v>
      </c>
      <c r="R155" s="71">
        <v>38681</v>
      </c>
      <c r="S155" s="99">
        <f>+I155-[1]Data!W153</f>
        <v>5.0199764724642229E-3</v>
      </c>
    </row>
    <row r="156" spans="3:19">
      <c r="C156" s="71">
        <v>38688</v>
      </c>
      <c r="D156" s="118">
        <f t="shared" si="12"/>
        <v>12.206748289122874</v>
      </c>
      <c r="E156" s="92">
        <f t="shared" si="13"/>
        <v>104.32307877063704</v>
      </c>
      <c r="F156" s="92">
        <f t="shared" si="14"/>
        <v>0</v>
      </c>
      <c r="G156" s="92">
        <f t="shared" si="16"/>
        <v>116.52982705975991</v>
      </c>
      <c r="H156" s="92">
        <f t="shared" si="15"/>
        <v>116.477412224259</v>
      </c>
      <c r="I156" s="91">
        <f t="shared" si="17"/>
        <v>-3.1103420030709613E-3</v>
      </c>
      <c r="J156" s="115"/>
      <c r="K156" s="64"/>
      <c r="L156" s="119">
        <v>38688</v>
      </c>
      <c r="M156" s="117">
        <v>5.0747949171625747E-3</v>
      </c>
      <c r="N156" s="117">
        <v>-4.059373462358574E-3</v>
      </c>
      <c r="O156" s="117">
        <v>8.7956273167063388E-4</v>
      </c>
      <c r="P156" s="89">
        <v>5.8985450255602126E-3</v>
      </c>
      <c r="R156" s="71">
        <v>38688</v>
      </c>
      <c r="S156" s="99">
        <f>+I156-[1]Data!W154</f>
        <v>-3.8564958492248074E-3</v>
      </c>
    </row>
    <row r="157" spans="3:19">
      <c r="C157" s="71">
        <v>38695</v>
      </c>
      <c r="D157" s="118">
        <f t="shared" si="12"/>
        <v>12.234879163543878</v>
      </c>
      <c r="E157" s="92">
        <f t="shared" si="13"/>
        <v>104.52494729969217</v>
      </c>
      <c r="F157" s="92">
        <f t="shared" si="14"/>
        <v>0</v>
      </c>
      <c r="G157" s="92">
        <f t="shared" si="16"/>
        <v>116.75982646323605</v>
      </c>
      <c r="H157" s="92">
        <f t="shared" si="15"/>
        <v>116.70730817455751</v>
      </c>
      <c r="I157" s="91">
        <f t="shared" si="17"/>
        <v>1.973738477773563E-3</v>
      </c>
      <c r="J157" s="115"/>
      <c r="K157" s="64"/>
      <c r="L157" s="119">
        <v>38695</v>
      </c>
      <c r="M157" s="117">
        <v>2.3045346520391783E-3</v>
      </c>
      <c r="N157" s="117">
        <v>1.9350323191569324E-3</v>
      </c>
      <c r="O157" s="117">
        <v>1.5692674659468959E-3</v>
      </c>
      <c r="P157" s="89">
        <v>2.6062027625749656E-3</v>
      </c>
      <c r="R157" s="71">
        <v>38695</v>
      </c>
      <c r="S157" s="99">
        <f>+I157-[1]Data!W155</f>
        <v>1.2218154008504858E-3</v>
      </c>
    </row>
    <row r="158" spans="3:19">
      <c r="C158" s="71">
        <v>38702</v>
      </c>
      <c r="D158" s="118">
        <f t="shared" si="12"/>
        <v>12.383738374021696</v>
      </c>
      <c r="E158" s="92">
        <f t="shared" si="13"/>
        <v>105.70609294841897</v>
      </c>
      <c r="F158" s="92">
        <f t="shared" si="14"/>
        <v>0</v>
      </c>
      <c r="G158" s="92">
        <f t="shared" si="16"/>
        <v>118.08983132244066</v>
      </c>
      <c r="H158" s="92">
        <f t="shared" si="15"/>
        <v>118.03671480078033</v>
      </c>
      <c r="I158" s="91">
        <f t="shared" si="17"/>
        <v>1.1390945837208795E-2</v>
      </c>
      <c r="J158" s="115"/>
      <c r="K158" s="64"/>
      <c r="L158" s="119">
        <v>38702</v>
      </c>
      <c r="M158" s="117">
        <v>1.2166790410269929E-2</v>
      </c>
      <c r="N158" s="117">
        <v>1.1300131492439185E-2</v>
      </c>
      <c r="O158" s="117">
        <v>1.8362998245174272E-2</v>
      </c>
      <c r="P158" s="89">
        <v>1.1924876527164075E-2</v>
      </c>
      <c r="R158" s="71">
        <v>38702</v>
      </c>
      <c r="S158" s="99">
        <f>+I158-[1]Data!W156</f>
        <v>1.0654407375670333E-2</v>
      </c>
    </row>
    <row r="159" spans="3:19">
      <c r="C159" s="71">
        <v>38709</v>
      </c>
      <c r="D159" s="118">
        <f t="shared" si="12"/>
        <v>12.414506517919673</v>
      </c>
      <c r="E159" s="92">
        <f t="shared" si="13"/>
        <v>105.7619289245406</v>
      </c>
      <c r="F159" s="92">
        <f t="shared" si="14"/>
        <v>0</v>
      </c>
      <c r="G159" s="92">
        <f t="shared" si="16"/>
        <v>118.17643544246027</v>
      </c>
      <c r="H159" s="92">
        <f t="shared" si="15"/>
        <v>118.12327996647538</v>
      </c>
      <c r="I159" s="91">
        <f t="shared" si="17"/>
        <v>7.3337491509444094E-4</v>
      </c>
      <c r="J159" s="115"/>
      <c r="K159" s="64"/>
      <c r="L159" s="119">
        <v>38709</v>
      </c>
      <c r="M159" s="117">
        <v>2.4845602328388595E-3</v>
      </c>
      <c r="N159" s="117">
        <v>5.2821908902521409E-4</v>
      </c>
      <c r="O159" s="117">
        <v>1.5139393193427161E-2</v>
      </c>
      <c r="P159" s="89">
        <v>3.628423722826945E-3</v>
      </c>
      <c r="R159" s="71">
        <v>38709</v>
      </c>
      <c r="S159" s="99">
        <f>+I159-[1]Data!W157</f>
        <v>-1.4702007982482198E-5</v>
      </c>
    </row>
    <row r="160" spans="3:19">
      <c r="C160" s="71">
        <v>38716</v>
      </c>
      <c r="D160" s="118">
        <f t="shared" si="12"/>
        <v>12.285573343490068</v>
      </c>
      <c r="E160" s="92">
        <f t="shared" si="13"/>
        <v>105.63307667195221</v>
      </c>
      <c r="F160" s="92">
        <f t="shared" si="14"/>
        <v>0</v>
      </c>
      <c r="G160" s="92">
        <f t="shared" si="16"/>
        <v>117.91865001544228</v>
      </c>
      <c r="H160" s="92">
        <f t="shared" si="15"/>
        <v>117.86561049072148</v>
      </c>
      <c r="I160" s="91">
        <f t="shared" si="17"/>
        <v>-2.1813606583480369E-3</v>
      </c>
      <c r="J160" s="115"/>
      <c r="K160" s="64"/>
      <c r="L160" s="119">
        <v>38716</v>
      </c>
      <c r="M160" s="117">
        <v>-1.0385686635509643E-2</v>
      </c>
      <c r="N160" s="117">
        <v>-1.2183235867446855E-3</v>
      </c>
      <c r="O160" s="117">
        <v>-1.2124886329189974E-3</v>
      </c>
      <c r="P160" s="89">
        <v>-9.3742001535705357E-3</v>
      </c>
      <c r="R160" s="71">
        <v>38716</v>
      </c>
      <c r="S160" s="99">
        <f>+I160-[1]Data!W158</f>
        <v>-2.9352068121941905E-3</v>
      </c>
    </row>
    <row r="161" spans="3:19">
      <c r="C161" s="71">
        <v>38723</v>
      </c>
      <c r="D161" s="118">
        <f t="shared" si="12"/>
        <v>12.777570615915767</v>
      </c>
      <c r="E161" s="92">
        <f t="shared" si="13"/>
        <v>106.67248484283179</v>
      </c>
      <c r="F161" s="92">
        <f t="shared" si="14"/>
        <v>0</v>
      </c>
      <c r="G161" s="92">
        <f t="shared" si="16"/>
        <v>119.45005545874756</v>
      </c>
      <c r="H161" s="92">
        <f t="shared" si="15"/>
        <v>119.39632711154739</v>
      </c>
      <c r="I161" s="91">
        <f t="shared" si="17"/>
        <v>1.2986965531785992E-2</v>
      </c>
      <c r="J161" s="115"/>
      <c r="K161" s="64"/>
      <c r="L161" s="119">
        <v>38723</v>
      </c>
      <c r="M161" s="117">
        <v>4.0046749034012404E-2</v>
      </c>
      <c r="N161" s="117">
        <v>9.8397983247947296E-3</v>
      </c>
      <c r="O161" s="117">
        <v>3.3262518968133474E-2</v>
      </c>
      <c r="P161" s="89">
        <v>4.1016697348448108E-2</v>
      </c>
      <c r="R161" s="71">
        <v>38723</v>
      </c>
      <c r="S161" s="99">
        <f>+I161-[1]Data!W159</f>
        <v>1.2198503993324453E-2</v>
      </c>
    </row>
    <row r="162" spans="3:19">
      <c r="C162" s="71">
        <v>38730</v>
      </c>
      <c r="D162" s="118">
        <f t="shared" si="12"/>
        <v>12.764091238589035</v>
      </c>
      <c r="E162" s="92">
        <f t="shared" si="13"/>
        <v>106.8356976961104</v>
      </c>
      <c r="F162" s="92">
        <f t="shared" si="14"/>
        <v>0</v>
      </c>
      <c r="G162" s="92">
        <f t="shared" si="16"/>
        <v>119.59978893469943</v>
      </c>
      <c r="H162" s="92">
        <f t="shared" si="15"/>
        <v>119.54599323774249</v>
      </c>
      <c r="I162" s="91">
        <f t="shared" si="17"/>
        <v>1.2535237039182382E-3</v>
      </c>
      <c r="J162" s="115"/>
      <c r="K162" s="64"/>
      <c r="L162" s="119">
        <v>38730</v>
      </c>
      <c r="M162" s="117">
        <v>-1.0549248939342652E-3</v>
      </c>
      <c r="N162" s="117">
        <v>1.5300370430020754E-3</v>
      </c>
      <c r="O162" s="117">
        <v>2.4085061387534314E-3</v>
      </c>
      <c r="P162" s="89">
        <v>1.2409642292067282E-4</v>
      </c>
      <c r="R162" s="71">
        <v>38730</v>
      </c>
      <c r="S162" s="99">
        <f>+I162-[1]Data!W160</f>
        <v>4.4583139622593048E-4</v>
      </c>
    </row>
    <row r="163" spans="3:19">
      <c r="C163" s="71">
        <v>38737</v>
      </c>
      <c r="D163" s="118">
        <f t="shared" si="12"/>
        <v>12.519215883820081</v>
      </c>
      <c r="E163" s="92">
        <f t="shared" si="13"/>
        <v>106.71973066878085</v>
      </c>
      <c r="F163" s="92">
        <f t="shared" si="14"/>
        <v>0</v>
      </c>
      <c r="G163" s="92">
        <f t="shared" si="16"/>
        <v>119.23894655260094</v>
      </c>
      <c r="H163" s="92">
        <f t="shared" si="15"/>
        <v>119.18531316167822</v>
      </c>
      <c r="I163" s="91">
        <f t="shared" si="17"/>
        <v>-3.0170820978247365E-3</v>
      </c>
      <c r="J163" s="115"/>
      <c r="K163" s="64"/>
      <c r="L163" s="119">
        <v>38737</v>
      </c>
      <c r="M163" s="117">
        <v>-1.91847073318181E-2</v>
      </c>
      <c r="N163" s="117">
        <v>-1.0854707726944209E-3</v>
      </c>
      <c r="O163" s="117">
        <v>-6.0947022972338968E-3</v>
      </c>
      <c r="P163" s="89">
        <v>-1.8053789124298145E-2</v>
      </c>
      <c r="R163" s="71">
        <v>38737</v>
      </c>
      <c r="S163" s="99">
        <f>+I163-[1]Data!W161</f>
        <v>-3.8363128670555057E-3</v>
      </c>
    </row>
    <row r="164" spans="3:19">
      <c r="C164" s="71">
        <v>38744</v>
      </c>
      <c r="D164" s="118">
        <f t="shared" si="12"/>
        <v>12.812050472410956</v>
      </c>
      <c r="E164" s="92">
        <f t="shared" si="13"/>
        <v>106.04969895532129</v>
      </c>
      <c r="F164" s="92">
        <f t="shared" si="14"/>
        <v>0</v>
      </c>
      <c r="G164" s="92">
        <f t="shared" si="16"/>
        <v>118.86174942773225</v>
      </c>
      <c r="H164" s="92">
        <f t="shared" si="15"/>
        <v>118.80828569916767</v>
      </c>
      <c r="I164" s="91">
        <f t="shared" si="17"/>
        <v>-3.1633718325604931E-3</v>
      </c>
      <c r="J164" s="115"/>
      <c r="K164" s="64"/>
      <c r="L164" s="119">
        <v>38744</v>
      </c>
      <c r="M164" s="117">
        <v>2.3390809081688398E-2</v>
      </c>
      <c r="N164" s="117">
        <v>-6.2784239546021742E-3</v>
      </c>
      <c r="O164" s="117">
        <v>2.7417452830188715E-2</v>
      </c>
      <c r="P164" s="89">
        <v>2.41036171220976E-2</v>
      </c>
      <c r="R164" s="71">
        <v>38744</v>
      </c>
      <c r="S164" s="99">
        <f>+I164-[1]Data!W162</f>
        <v>-3.9941410633297239E-3</v>
      </c>
    </row>
    <row r="165" spans="3:19">
      <c r="C165" s="71">
        <v>38751</v>
      </c>
      <c r="D165" s="118">
        <f t="shared" si="12"/>
        <v>12.660163285866989</v>
      </c>
      <c r="E165" s="92">
        <f t="shared" si="13"/>
        <v>105.66314219755616</v>
      </c>
      <c r="F165" s="92">
        <f t="shared" si="14"/>
        <v>0</v>
      </c>
      <c r="G165" s="92">
        <f t="shared" si="16"/>
        <v>118.32330548342314</v>
      </c>
      <c r="H165" s="92">
        <f t="shared" si="15"/>
        <v>118.27008394564766</v>
      </c>
      <c r="I165" s="91">
        <f t="shared" si="17"/>
        <v>-4.5300018458542899E-3</v>
      </c>
      <c r="J165" s="115"/>
      <c r="K165" s="64"/>
      <c r="L165" s="119">
        <v>38751</v>
      </c>
      <c r="M165" s="117">
        <v>-1.1855025616003868E-2</v>
      </c>
      <c r="N165" s="117">
        <v>-3.6450528532663952E-3</v>
      </c>
      <c r="O165" s="117">
        <v>-4.8206599713056146E-3</v>
      </c>
      <c r="P165" s="89">
        <v>-1.2122894688136241E-2</v>
      </c>
      <c r="R165" s="71">
        <v>38751</v>
      </c>
      <c r="S165" s="99">
        <f>+I165-[1]Data!W163</f>
        <v>-5.3703864612389051E-3</v>
      </c>
    </row>
    <row r="166" spans="3:19">
      <c r="C166" s="71">
        <v>38758</v>
      </c>
      <c r="D166" s="118">
        <f t="shared" si="12"/>
        <v>12.612106375397772</v>
      </c>
      <c r="E166" s="92">
        <f t="shared" si="13"/>
        <v>105.51710964462265</v>
      </c>
      <c r="F166" s="92">
        <f t="shared" si="14"/>
        <v>0</v>
      </c>
      <c r="G166" s="92">
        <f t="shared" si="16"/>
        <v>118.12921602002042</v>
      </c>
      <c r="H166" s="92">
        <f t="shared" si="15"/>
        <v>118.07608178321804</v>
      </c>
      <c r="I166" s="91">
        <f t="shared" si="17"/>
        <v>-1.6403316541042457E-3</v>
      </c>
      <c r="J166" s="115"/>
      <c r="K166" s="64"/>
      <c r="L166" s="119">
        <v>38758</v>
      </c>
      <c r="M166" s="117">
        <v>-3.7959155331641673E-3</v>
      </c>
      <c r="N166" s="117">
        <v>-1.3820576399333499E-3</v>
      </c>
      <c r="O166" s="117">
        <v>-6.6893489418141782E-3</v>
      </c>
      <c r="P166" s="89">
        <v>-3.1850117096018167E-3</v>
      </c>
      <c r="R166" s="71">
        <v>38758</v>
      </c>
      <c r="S166" s="99">
        <f>+I166-[1]Data!W164</f>
        <v>-2.486485500258092E-3</v>
      </c>
    </row>
    <row r="167" spans="3:19">
      <c r="C167" s="71">
        <v>38765</v>
      </c>
      <c r="D167" s="118">
        <f t="shared" si="12"/>
        <v>12.716327358061704</v>
      </c>
      <c r="E167" s="92">
        <f t="shared" si="13"/>
        <v>105.80058460031709</v>
      </c>
      <c r="F167" s="92">
        <f t="shared" si="14"/>
        <v>0</v>
      </c>
      <c r="G167" s="92">
        <f t="shared" si="16"/>
        <v>118.5169119583788</v>
      </c>
      <c r="H167" s="92">
        <f t="shared" si="15"/>
        <v>118.46360333687728</v>
      </c>
      <c r="I167" s="91">
        <f t="shared" si="17"/>
        <v>3.2819648806666152E-3</v>
      </c>
      <c r="J167" s="115"/>
      <c r="K167" s="64"/>
      <c r="L167" s="119">
        <v>38765</v>
      </c>
      <c r="M167" s="117">
        <v>8.2635667319801362E-3</v>
      </c>
      <c r="N167" s="117">
        <v>2.6865307119307404E-3</v>
      </c>
      <c r="O167" s="117">
        <v>2.0899854862119803E-3</v>
      </c>
      <c r="P167" s="89">
        <v>8.3638755756036687E-3</v>
      </c>
      <c r="R167" s="71">
        <v>38765</v>
      </c>
      <c r="S167" s="99">
        <f>+I167-[1]Data!W165</f>
        <v>2.4281187268204614E-3</v>
      </c>
    </row>
    <row r="168" spans="3:19">
      <c r="C168" s="71">
        <v>38772</v>
      </c>
      <c r="D168" s="118">
        <f t="shared" si="12"/>
        <v>12.826115909621457</v>
      </c>
      <c r="E168" s="92">
        <f t="shared" si="13"/>
        <v>105.84353535117987</v>
      </c>
      <c r="F168" s="92">
        <f t="shared" si="14"/>
        <v>0</v>
      </c>
      <c r="G168" s="92">
        <f t="shared" si="16"/>
        <v>118.66965126080132</v>
      </c>
      <c r="H168" s="92">
        <f t="shared" si="15"/>
        <v>118.61627393752953</v>
      </c>
      <c r="I168" s="91">
        <f t="shared" si="17"/>
        <v>1.2887553337212843E-3</v>
      </c>
      <c r="J168" s="115"/>
      <c r="K168" s="64"/>
      <c r="L168" s="119">
        <v>38772</v>
      </c>
      <c r="M168" s="117">
        <v>8.6336682336311948E-3</v>
      </c>
      <c r="N168" s="117">
        <v>4.0595948524334963E-4</v>
      </c>
      <c r="O168" s="117">
        <v>2.7982156306123537E-2</v>
      </c>
      <c r="P168" s="89">
        <v>8.6983535259397681E-3</v>
      </c>
      <c r="R168" s="71">
        <v>38772</v>
      </c>
      <c r="S168" s="99">
        <f>+I168-[1]Data!W166</f>
        <v>4.2913994910589971E-4</v>
      </c>
    </row>
    <row r="169" spans="3:19">
      <c r="C169" s="71">
        <v>38779</v>
      </c>
      <c r="D169" s="118">
        <f t="shared" si="12"/>
        <v>12.812245825705547</v>
      </c>
      <c r="E169" s="92">
        <f t="shared" si="13"/>
        <v>105.61160129652077</v>
      </c>
      <c r="F169" s="92">
        <f t="shared" si="14"/>
        <v>0</v>
      </c>
      <c r="G169" s="92">
        <f t="shared" si="16"/>
        <v>118.42384712222632</v>
      </c>
      <c r="H169" s="92">
        <f t="shared" si="15"/>
        <v>118.37058036106394</v>
      </c>
      <c r="I169" s="91">
        <f t="shared" si="17"/>
        <v>-2.0713310940367333E-3</v>
      </c>
      <c r="J169" s="115"/>
      <c r="K169" s="64"/>
      <c r="L169" s="119">
        <v>38779</v>
      </c>
      <c r="M169" s="117">
        <v>-1.0813939320091428E-3</v>
      </c>
      <c r="N169" s="117">
        <v>-2.1912916446862008E-3</v>
      </c>
      <c r="O169" s="117">
        <v>1.6907123534716601E-4</v>
      </c>
      <c r="P169" s="89">
        <v>-1.1087157376039841E-3</v>
      </c>
      <c r="R169" s="71">
        <v>38779</v>
      </c>
      <c r="S169" s="99">
        <f>+I169-[1]Data!W167</f>
        <v>-2.9367157094213484E-3</v>
      </c>
    </row>
    <row r="170" spans="3:19">
      <c r="C170" s="71">
        <v>38786</v>
      </c>
      <c r="D170" s="118">
        <f t="shared" si="12"/>
        <v>12.735471980931553</v>
      </c>
      <c r="E170" s="92">
        <f t="shared" si="13"/>
        <v>104.91579913254354</v>
      </c>
      <c r="F170" s="92">
        <f t="shared" si="14"/>
        <v>0</v>
      </c>
      <c r="G170" s="92">
        <f t="shared" si="16"/>
        <v>117.65127111347509</v>
      </c>
      <c r="H170" s="92">
        <f t="shared" si="15"/>
        <v>117.59835185514038</v>
      </c>
      <c r="I170" s="91">
        <f t="shared" si="17"/>
        <v>-6.5238212363920821E-3</v>
      </c>
      <c r="J170" s="115"/>
      <c r="K170" s="64"/>
      <c r="L170" s="119">
        <v>38786</v>
      </c>
      <c r="M170" s="117">
        <v>-5.9922238316689235E-3</v>
      </c>
      <c r="N170" s="117">
        <v>-6.5883118467606498E-3</v>
      </c>
      <c r="O170" s="117">
        <v>5.8037978249845107E-3</v>
      </c>
      <c r="P170" s="89">
        <v>-8.5404205463402039E-3</v>
      </c>
      <c r="R170" s="71">
        <v>38786</v>
      </c>
      <c r="S170" s="99">
        <f>+I170-[1]Data!W168</f>
        <v>-7.3872827748536207E-3</v>
      </c>
    </row>
    <row r="171" spans="3:19">
      <c r="C171" s="71">
        <v>38793</v>
      </c>
      <c r="D171" s="118">
        <f t="shared" si="12"/>
        <v>13.074800653634924</v>
      </c>
      <c r="E171" s="92">
        <f t="shared" si="13"/>
        <v>105.92514177781918</v>
      </c>
      <c r="F171" s="92">
        <f t="shared" si="14"/>
        <v>0</v>
      </c>
      <c r="G171" s="92">
        <f t="shared" si="16"/>
        <v>118.9999424314541</v>
      </c>
      <c r="H171" s="92">
        <f t="shared" si="15"/>
        <v>118.94641654400937</v>
      </c>
      <c r="I171" s="91">
        <f t="shared" si="17"/>
        <v>1.1463295765654575E-2</v>
      </c>
      <c r="J171" s="115"/>
      <c r="K171" s="64"/>
      <c r="L171" s="119">
        <v>38793</v>
      </c>
      <c r="M171" s="117">
        <v>2.6644373542765991E-2</v>
      </c>
      <c r="N171" s="117">
        <v>9.6205019036312046E-3</v>
      </c>
      <c r="O171" s="117">
        <v>3.1260504201680743E-2</v>
      </c>
      <c r="P171" s="89">
        <v>2.7552321423018361E-2</v>
      </c>
      <c r="R171" s="71">
        <v>38793</v>
      </c>
      <c r="S171" s="99">
        <f>+I171-[1]Data!W169</f>
        <v>1.0597911150269959E-2</v>
      </c>
    </row>
    <row r="172" spans="3:19">
      <c r="C172" s="71">
        <v>38800</v>
      </c>
      <c r="D172" s="118">
        <f t="shared" si="12"/>
        <v>13.044911599562607</v>
      </c>
      <c r="E172" s="92">
        <f t="shared" si="13"/>
        <v>105.67602742281497</v>
      </c>
      <c r="F172" s="92">
        <f t="shared" si="14"/>
        <v>0</v>
      </c>
      <c r="G172" s="92">
        <f t="shared" si="16"/>
        <v>118.72093902237758</v>
      </c>
      <c r="H172" s="92">
        <f t="shared" si="15"/>
        <v>118.66753862999416</v>
      </c>
      <c r="I172" s="91">
        <f t="shared" si="17"/>
        <v>-2.3445675970576937E-3</v>
      </c>
      <c r="J172" s="115"/>
      <c r="K172" s="64"/>
      <c r="L172" s="119">
        <v>38800</v>
      </c>
      <c r="M172" s="117">
        <v>-2.2860045720091032E-3</v>
      </c>
      <c r="N172" s="117">
        <v>-2.3517962857838477E-3</v>
      </c>
      <c r="O172" s="117">
        <v>-1.0158626684050437E-2</v>
      </c>
      <c r="P172" s="89">
        <v>-2.8750416124443561E-3</v>
      </c>
      <c r="R172" s="71">
        <v>38800</v>
      </c>
      <c r="S172" s="99">
        <f>+I172-[1]Data!W170</f>
        <v>-3.2214906739807705E-3</v>
      </c>
    </row>
    <row r="173" spans="3:19">
      <c r="C173" s="71">
        <v>38807</v>
      </c>
      <c r="D173" s="118">
        <f t="shared" si="12"/>
        <v>13.040516150434325</v>
      </c>
      <c r="E173" s="92">
        <f t="shared" si="13"/>
        <v>105.0059957093554</v>
      </c>
      <c r="F173" s="92">
        <f t="shared" si="14"/>
        <v>0</v>
      </c>
      <c r="G173" s="92">
        <f t="shared" si="16"/>
        <v>118.04651185978973</v>
      </c>
      <c r="H173" s="92">
        <f t="shared" si="15"/>
        <v>117.99341482311939</v>
      </c>
      <c r="I173" s="91">
        <f t="shared" si="17"/>
        <v>-5.6807768548792544E-3</v>
      </c>
      <c r="J173" s="115"/>
      <c r="K173" s="64"/>
      <c r="L173" s="119">
        <v>38807</v>
      </c>
      <c r="M173" s="117">
        <v>-3.3694740625377789E-4</v>
      </c>
      <c r="N173" s="117">
        <v>-6.3404324500081384E-3</v>
      </c>
      <c r="O173" s="117">
        <v>1.2952088249821553E-2</v>
      </c>
      <c r="P173" s="89">
        <v>9.4087653271822955E-4</v>
      </c>
      <c r="R173" s="71">
        <v>38807</v>
      </c>
      <c r="S173" s="99">
        <f>+I173-[1]Data!W171</f>
        <v>-6.5480845471869468E-3</v>
      </c>
    </row>
    <row r="174" spans="3:19">
      <c r="C174" s="71">
        <v>38814</v>
      </c>
      <c r="D174" s="118">
        <f t="shared" si="12"/>
        <v>13.150109348699489</v>
      </c>
      <c r="E174" s="92">
        <f t="shared" si="13"/>
        <v>104.58507835090003</v>
      </c>
      <c r="F174" s="92">
        <f t="shared" si="14"/>
        <v>0</v>
      </c>
      <c r="G174" s="92">
        <f t="shared" si="16"/>
        <v>117.73518769959952</v>
      </c>
      <c r="H174" s="92">
        <f t="shared" si="15"/>
        <v>117.6822306957865</v>
      </c>
      <c r="I174" s="91">
        <f t="shared" si="17"/>
        <v>-2.6373008002131375E-3</v>
      </c>
      <c r="J174" s="115"/>
      <c r="K174" s="64"/>
      <c r="L174" s="119">
        <v>38814</v>
      </c>
      <c r="M174" s="117">
        <v>8.4040537200296816E-3</v>
      </c>
      <c r="N174" s="117">
        <v>-4.0085078534030996E-3</v>
      </c>
      <c r="O174" s="117">
        <v>-5.2012786476674407E-3</v>
      </c>
      <c r="P174" s="89">
        <v>1.0188301646502189E-2</v>
      </c>
      <c r="R174" s="71">
        <v>38814</v>
      </c>
      <c r="S174" s="99">
        <f>+I174-[1]Data!W172</f>
        <v>-3.5142238771362143E-3</v>
      </c>
    </row>
    <row r="175" spans="3:19">
      <c r="C175" s="71">
        <v>38821</v>
      </c>
      <c r="D175" s="118">
        <f t="shared" si="12"/>
        <v>13.039637060608669</v>
      </c>
      <c r="E175" s="92">
        <f t="shared" si="13"/>
        <v>104.25435756925653</v>
      </c>
      <c r="F175" s="92">
        <f t="shared" si="14"/>
        <v>0</v>
      </c>
      <c r="G175" s="92">
        <f t="shared" si="16"/>
        <v>117.2939946298652</v>
      </c>
      <c r="H175" s="92">
        <f t="shared" si="15"/>
        <v>117.24123607363214</v>
      </c>
      <c r="I175" s="91">
        <f t="shared" si="17"/>
        <v>-3.7473339819190975E-3</v>
      </c>
      <c r="J175" s="115"/>
      <c r="K175" s="64"/>
      <c r="L175" s="119">
        <v>38821</v>
      </c>
      <c r="M175" s="117">
        <v>-8.4008645982663072E-3</v>
      </c>
      <c r="N175" s="117">
        <v>-3.1622176591376192E-3</v>
      </c>
      <c r="O175" s="117">
        <v>-2.4454005773106087E-2</v>
      </c>
      <c r="P175" s="89">
        <v>-8.224523487918212E-3</v>
      </c>
      <c r="R175" s="71">
        <v>38821</v>
      </c>
      <c r="S175" s="99">
        <f>+I175-[1]Data!W173</f>
        <v>-4.6281032126883285E-3</v>
      </c>
    </row>
    <row r="176" spans="3:19">
      <c r="C176" s="71">
        <v>38828</v>
      </c>
      <c r="D176" s="118">
        <f t="shared" si="12"/>
        <v>13.381798356083598</v>
      </c>
      <c r="E176" s="92">
        <f t="shared" si="13"/>
        <v>105.04035631004564</v>
      </c>
      <c r="F176" s="92">
        <f t="shared" si="14"/>
        <v>0</v>
      </c>
      <c r="G176" s="92">
        <f t="shared" si="16"/>
        <v>118.42215466612923</v>
      </c>
      <c r="H176" s="92">
        <f t="shared" si="15"/>
        <v>118.36888866622952</v>
      </c>
      <c r="I176" s="91">
        <f t="shared" si="17"/>
        <v>9.6182250406262795E-3</v>
      </c>
      <c r="J176" s="115"/>
      <c r="K176" s="64"/>
      <c r="L176" s="119">
        <v>38828</v>
      </c>
      <c r="M176" s="117">
        <v>2.6240093484546565E-2</v>
      </c>
      <c r="N176" s="117">
        <v>7.5392411321221625E-3</v>
      </c>
      <c r="O176" s="117">
        <v>2.6295221080839704E-2</v>
      </c>
      <c r="P176" s="89">
        <v>2.7450743016252513E-2</v>
      </c>
      <c r="R176" s="71">
        <v>38828</v>
      </c>
      <c r="S176" s="99">
        <f>+I176-[1]Data!W174</f>
        <v>8.7316865790878183E-3</v>
      </c>
    </row>
    <row r="177" spans="3:19">
      <c r="C177" s="71">
        <v>38835</v>
      </c>
      <c r="D177" s="118">
        <f t="shared" si="12"/>
        <v>13.414715386222067</v>
      </c>
      <c r="E177" s="92">
        <f t="shared" si="13"/>
        <v>105.37107709168913</v>
      </c>
      <c r="F177" s="92">
        <f t="shared" si="14"/>
        <v>0</v>
      </c>
      <c r="G177" s="92">
        <f t="shared" si="16"/>
        <v>118.7857924779112</v>
      </c>
      <c r="H177" s="92">
        <f t="shared" si="15"/>
        <v>118.73236291459973</v>
      </c>
      <c r="I177" s="91">
        <f t="shared" si="17"/>
        <v>3.0706907234308478E-3</v>
      </c>
      <c r="J177" s="115"/>
      <c r="K177" s="64"/>
      <c r="L177" s="119">
        <v>38835</v>
      </c>
      <c r="M177" s="117">
        <v>2.4598360595908921E-3</v>
      </c>
      <c r="N177" s="117">
        <v>3.1485116126922239E-3</v>
      </c>
      <c r="O177" s="117">
        <v>3.807865963118036E-3</v>
      </c>
      <c r="P177" s="89">
        <v>2.0914339578177788E-3</v>
      </c>
      <c r="R177" s="71">
        <v>38835</v>
      </c>
      <c r="S177" s="99">
        <f>+I177-[1]Data!W175</f>
        <v>2.1745368772770014E-3</v>
      </c>
    </row>
    <row r="178" spans="3:19">
      <c r="C178" s="71">
        <v>38842</v>
      </c>
      <c r="D178" s="118">
        <f t="shared" si="12"/>
        <v>13.670823555429964</v>
      </c>
      <c r="E178" s="92">
        <f t="shared" si="13"/>
        <v>105.88219102695636</v>
      </c>
      <c r="F178" s="92">
        <f t="shared" si="14"/>
        <v>0</v>
      </c>
      <c r="G178" s="92">
        <f t="shared" si="16"/>
        <v>119.55301458238633</v>
      </c>
      <c r="H178" s="92">
        <f t="shared" si="15"/>
        <v>119.49923992442045</v>
      </c>
      <c r="I178" s="91">
        <f t="shared" si="17"/>
        <v>6.4588709514044364E-3</v>
      </c>
      <c r="J178" s="115"/>
      <c r="K178" s="64"/>
      <c r="L178" s="119">
        <v>38842</v>
      </c>
      <c r="M178" s="117">
        <v>1.9091584266553902E-2</v>
      </c>
      <c r="N178" s="117">
        <v>4.8506093832796542E-3</v>
      </c>
      <c r="O178" s="117">
        <v>2.0755432720966849E-2</v>
      </c>
      <c r="P178" s="89">
        <v>2.0223992474793485E-2</v>
      </c>
      <c r="R178" s="71">
        <v>38842</v>
      </c>
      <c r="S178" s="99">
        <f>+I178-[1]Data!W176</f>
        <v>5.5569478744813593E-3</v>
      </c>
    </row>
    <row r="179" spans="3:19">
      <c r="C179" s="71">
        <v>38849</v>
      </c>
      <c r="D179" s="118">
        <f t="shared" si="12"/>
        <v>13.412175793392391</v>
      </c>
      <c r="E179" s="92">
        <f t="shared" si="13"/>
        <v>105.83065012592101</v>
      </c>
      <c r="F179" s="92">
        <f t="shared" si="14"/>
        <v>0</v>
      </c>
      <c r="G179" s="92">
        <f t="shared" si="16"/>
        <v>119.2428259193134</v>
      </c>
      <c r="H179" s="92">
        <f t="shared" si="15"/>
        <v>119.18919078346096</v>
      </c>
      <c r="I179" s="91">
        <f t="shared" si="17"/>
        <v>-2.5945699835044035E-3</v>
      </c>
      <c r="J179" s="115"/>
      <c r="K179" s="64"/>
      <c r="L179" s="119">
        <v>38849</v>
      </c>
      <c r="M179" s="117">
        <v>-1.8919691340382981E-2</v>
      </c>
      <c r="N179" s="117">
        <v>-4.86775920817802E-4</v>
      </c>
      <c r="O179" s="117">
        <v>-1.0936504565725218E-2</v>
      </c>
      <c r="P179" s="89">
        <v>-1.8670585184544956E-2</v>
      </c>
      <c r="R179" s="71">
        <v>38849</v>
      </c>
      <c r="S179" s="99">
        <f>+I179-[1]Data!W177</f>
        <v>-3.5061084450428654E-3</v>
      </c>
    </row>
    <row r="180" spans="3:19">
      <c r="C180" s="71">
        <v>38856</v>
      </c>
      <c r="D180" s="118">
        <f t="shared" si="12"/>
        <v>12.912657419124967</v>
      </c>
      <c r="E180" s="92">
        <f t="shared" si="13"/>
        <v>106.32887883592942</v>
      </c>
      <c r="F180" s="92">
        <f t="shared" si="14"/>
        <v>0</v>
      </c>
      <c r="G180" s="92">
        <f t="shared" si="16"/>
        <v>119.24153625505438</v>
      </c>
      <c r="H180" s="92">
        <f t="shared" si="15"/>
        <v>119.18790169928981</v>
      </c>
      <c r="I180" s="91">
        <f t="shared" si="17"/>
        <v>-1.08154452821994E-5</v>
      </c>
      <c r="J180" s="115"/>
      <c r="K180" s="64"/>
      <c r="L180" s="119">
        <v>38856</v>
      </c>
      <c r="M180" s="117">
        <v>-3.7243649498951203E-2</v>
      </c>
      <c r="N180" s="117">
        <v>4.7077922077921937E-3</v>
      </c>
      <c r="O180" s="117">
        <v>-4.8362855609232522E-2</v>
      </c>
      <c r="P180" s="89">
        <v>-4.0635368037816658E-2</v>
      </c>
      <c r="R180" s="71">
        <v>38856</v>
      </c>
      <c r="S180" s="99">
        <f>+I180-[1]Data!W178</f>
        <v>-9.1658467605143024E-4</v>
      </c>
    </row>
    <row r="181" spans="3:19">
      <c r="C181" s="71">
        <v>38863</v>
      </c>
      <c r="D181" s="118">
        <f t="shared" si="12"/>
        <v>13.014729515548407</v>
      </c>
      <c r="E181" s="92">
        <f t="shared" si="13"/>
        <v>106.30310838541175</v>
      </c>
      <c r="F181" s="92">
        <f t="shared" si="14"/>
        <v>0</v>
      </c>
      <c r="G181" s="92">
        <f t="shared" si="16"/>
        <v>119.31783790096016</v>
      </c>
      <c r="H181" s="92">
        <f t="shared" si="15"/>
        <v>119.26416902489905</v>
      </c>
      <c r="I181" s="91">
        <f t="shared" si="17"/>
        <v>6.3989150343177355E-4</v>
      </c>
      <c r="J181" s="115"/>
      <c r="K181" s="64"/>
      <c r="L181" s="119">
        <v>38863</v>
      </c>
      <c r="M181" s="117">
        <v>7.9048094524879695E-3</v>
      </c>
      <c r="N181" s="117">
        <v>-2.4236548715463835E-4</v>
      </c>
      <c r="O181" s="117">
        <v>6.2609284223589245E-3</v>
      </c>
      <c r="P181" s="89">
        <v>5.7842387146135772E-3</v>
      </c>
      <c r="R181" s="71">
        <v>38863</v>
      </c>
      <c r="S181" s="99">
        <f>+I181-[1]Data!W179</f>
        <v>-2.6587772733745727E-4</v>
      </c>
    </row>
    <row r="182" spans="3:19">
      <c r="C182" s="71">
        <v>38870</v>
      </c>
      <c r="D182" s="118">
        <f t="shared" si="12"/>
        <v>13.115629492204301</v>
      </c>
      <c r="E182" s="92">
        <f t="shared" si="13"/>
        <v>106.88723859714572</v>
      </c>
      <c r="F182" s="92">
        <f t="shared" si="14"/>
        <v>0</v>
      </c>
      <c r="G182" s="92">
        <f t="shared" si="16"/>
        <v>120.00286808935003</v>
      </c>
      <c r="H182" s="92">
        <f t="shared" si="15"/>
        <v>119.94889108836038</v>
      </c>
      <c r="I182" s="91">
        <f t="shared" si="17"/>
        <v>5.7412219366437334E-3</v>
      </c>
      <c r="J182" s="115"/>
      <c r="K182" s="64"/>
      <c r="L182" s="119">
        <v>38870</v>
      </c>
      <c r="M182" s="117">
        <v>7.7527524898117926E-3</v>
      </c>
      <c r="N182" s="117">
        <v>5.4949494949495499E-3</v>
      </c>
      <c r="O182" s="117">
        <v>1.2780269058295971E-2</v>
      </c>
      <c r="P182" s="89">
        <v>6.9681110029211919E-3</v>
      </c>
      <c r="R182" s="71">
        <v>38870</v>
      </c>
      <c r="S182" s="99">
        <f>+I182-[1]Data!W180</f>
        <v>4.8335296289514253E-3</v>
      </c>
    </row>
    <row r="183" spans="3:19">
      <c r="C183" s="71">
        <v>38877</v>
      </c>
      <c r="D183" s="118">
        <f t="shared" si="12"/>
        <v>12.540216362988538</v>
      </c>
      <c r="E183" s="92">
        <f t="shared" si="13"/>
        <v>106.43196063800012</v>
      </c>
      <c r="F183" s="92">
        <f t="shared" si="14"/>
        <v>0</v>
      </c>
      <c r="G183" s="92">
        <f t="shared" si="16"/>
        <v>118.97217700098867</v>
      </c>
      <c r="H183" s="92">
        <f t="shared" si="15"/>
        <v>118.9186636023677</v>
      </c>
      <c r="I183" s="91">
        <f t="shared" si="17"/>
        <v>-8.5888871222141207E-3</v>
      </c>
      <c r="J183" s="115"/>
      <c r="K183" s="64"/>
      <c r="L183" s="119">
        <v>38877</v>
      </c>
      <c r="M183" s="117">
        <v>-4.3872322678661924E-2</v>
      </c>
      <c r="N183" s="117">
        <v>-4.2594229687374519E-3</v>
      </c>
      <c r="O183" s="117">
        <v>-1.9758689395616522E-2</v>
      </c>
      <c r="P183" s="89">
        <v>-4.644486749463634E-2</v>
      </c>
      <c r="R183" s="71">
        <v>38877</v>
      </c>
      <c r="S183" s="99">
        <f>+I183-[1]Data!W181</f>
        <v>-9.5004255837525826E-3</v>
      </c>
    </row>
    <row r="184" spans="3:19">
      <c r="C184" s="71">
        <v>38884</v>
      </c>
      <c r="D184" s="118">
        <f t="shared" si="12"/>
        <v>12.484052290793825</v>
      </c>
      <c r="E184" s="92">
        <f t="shared" si="13"/>
        <v>105.77051907471311</v>
      </c>
      <c r="F184" s="92">
        <f t="shared" si="14"/>
        <v>0</v>
      </c>
      <c r="G184" s="92">
        <f t="shared" si="16"/>
        <v>118.25457136550693</v>
      </c>
      <c r="H184" s="92">
        <f t="shared" si="15"/>
        <v>118.20138074417216</v>
      </c>
      <c r="I184" s="91">
        <f t="shared" si="17"/>
        <v>-6.0317097120595664E-3</v>
      </c>
      <c r="J184" s="115"/>
      <c r="K184" s="64"/>
      <c r="L184" s="119">
        <v>38884</v>
      </c>
      <c r="M184" s="117">
        <v>-4.4787163609455935E-3</v>
      </c>
      <c r="N184" s="117">
        <v>-6.2146892655368059E-3</v>
      </c>
      <c r="O184" s="117">
        <v>-4.4040426853368024E-3</v>
      </c>
      <c r="P184" s="89">
        <v>-4.0879705919635587E-3</v>
      </c>
      <c r="R184" s="71">
        <v>38884</v>
      </c>
      <c r="S184" s="99">
        <f>+I184-[1]Data!W182</f>
        <v>-6.947094327444182E-3</v>
      </c>
    </row>
    <row r="185" spans="3:19">
      <c r="C185" s="71">
        <v>38891</v>
      </c>
      <c r="D185" s="118">
        <f t="shared" si="12"/>
        <v>12.47750795542505</v>
      </c>
      <c r="E185" s="92">
        <f t="shared" si="13"/>
        <v>105.16491348754774</v>
      </c>
      <c r="F185" s="92">
        <f t="shared" si="14"/>
        <v>0</v>
      </c>
      <c r="G185" s="92">
        <f t="shared" si="16"/>
        <v>117.64242144297279</v>
      </c>
      <c r="H185" s="92">
        <f t="shared" si="15"/>
        <v>117.58950616519854</v>
      </c>
      <c r="I185" s="91">
        <f t="shared" si="17"/>
        <v>-5.1765434136333511E-3</v>
      </c>
      <c r="J185" s="115"/>
      <c r="K185" s="64"/>
      <c r="L185" s="119">
        <v>38891</v>
      </c>
      <c r="M185" s="117">
        <v>-5.2421563257948941E-4</v>
      </c>
      <c r="N185" s="117">
        <v>-5.7256558109315221E-3</v>
      </c>
      <c r="O185" s="117">
        <v>-9.2440310780923483E-3</v>
      </c>
      <c r="P185" s="89">
        <v>-1.2091513666592276E-3</v>
      </c>
      <c r="R185" s="71">
        <v>38891</v>
      </c>
      <c r="S185" s="99">
        <f>+I185-[1]Data!W183</f>
        <v>-6.1015434136333507E-3</v>
      </c>
    </row>
    <row r="186" spans="3:19">
      <c r="C186" s="71">
        <v>38898</v>
      </c>
      <c r="D186" s="118">
        <f t="shared" si="12"/>
        <v>12.892633706429462</v>
      </c>
      <c r="E186" s="92">
        <f t="shared" si="13"/>
        <v>105.95091222833685</v>
      </c>
      <c r="F186" s="92">
        <f t="shared" si="14"/>
        <v>0</v>
      </c>
      <c r="G186" s="92">
        <f t="shared" si="16"/>
        <v>118.84354593476631</v>
      </c>
      <c r="H186" s="92">
        <f t="shared" si="15"/>
        <v>118.79009039408908</v>
      </c>
      <c r="I186" s="91">
        <f t="shared" si="17"/>
        <v>1.0209960633764918E-2</v>
      </c>
      <c r="J186" s="115"/>
      <c r="K186" s="64"/>
      <c r="L186" s="119">
        <v>38898</v>
      </c>
      <c r="M186" s="117">
        <v>3.3269924770828928E-2</v>
      </c>
      <c r="N186" s="117">
        <v>7.4739636512150811E-3</v>
      </c>
      <c r="O186" s="117">
        <v>4.1499713795077275E-2</v>
      </c>
      <c r="P186" s="89">
        <v>3.5745006212367481E-2</v>
      </c>
      <c r="R186" s="71">
        <v>38898</v>
      </c>
      <c r="S186" s="99">
        <f>+I186-[1]Data!W184</f>
        <v>9.2695760183803023E-3</v>
      </c>
    </row>
    <row r="187" spans="3:19">
      <c r="C187" s="71">
        <v>38905</v>
      </c>
      <c r="D187" s="118">
        <f t="shared" si="12"/>
        <v>12.884624221351258</v>
      </c>
      <c r="E187" s="92">
        <f t="shared" si="13"/>
        <v>106.12271523178802</v>
      </c>
      <c r="F187" s="92">
        <f t="shared" si="14"/>
        <v>0</v>
      </c>
      <c r="G187" s="92">
        <f t="shared" si="16"/>
        <v>119.00733945313928</v>
      </c>
      <c r="H187" s="92">
        <f t="shared" si="15"/>
        <v>118.95381023853204</v>
      </c>
      <c r="I187" s="91">
        <f t="shared" si="17"/>
        <v>1.3782281324967519E-3</v>
      </c>
      <c r="J187" s="115"/>
      <c r="K187" s="64"/>
      <c r="L187" s="119">
        <v>38905</v>
      </c>
      <c r="M187" s="117">
        <v>-6.2124506602635266E-4</v>
      </c>
      <c r="N187" s="117">
        <v>1.6215339711367182E-3</v>
      </c>
      <c r="O187" s="117">
        <v>9.6729870843639439E-3</v>
      </c>
      <c r="P187" s="89">
        <v>-1.845529205499747E-4</v>
      </c>
      <c r="R187" s="71">
        <v>38905</v>
      </c>
      <c r="S187" s="99">
        <f>+I187-[1]Data!W185</f>
        <v>4.3592044018905948E-4</v>
      </c>
    </row>
    <row r="188" spans="3:19">
      <c r="C188" s="71">
        <v>38912</v>
      </c>
      <c r="D188" s="118">
        <f t="shared" si="12"/>
        <v>12.450646877418883</v>
      </c>
      <c r="E188" s="92">
        <f t="shared" si="13"/>
        <v>106.14848568230569</v>
      </c>
      <c r="F188" s="92">
        <f t="shared" si="14"/>
        <v>0</v>
      </c>
      <c r="G188" s="92">
        <f t="shared" si="16"/>
        <v>118.59913255972458</v>
      </c>
      <c r="H188" s="92">
        <f t="shared" si="15"/>
        <v>118.54578695559465</v>
      </c>
      <c r="I188" s="91">
        <f t="shared" si="17"/>
        <v>-3.4300984736781804E-3</v>
      </c>
      <c r="J188" s="115"/>
      <c r="K188" s="64"/>
      <c r="L188" s="119">
        <v>38912</v>
      </c>
      <c r="M188" s="117">
        <v>-3.3681800607985563E-2</v>
      </c>
      <c r="N188" s="117">
        <v>2.4283632831461005E-4</v>
      </c>
      <c r="O188" s="117">
        <v>-2.5257198846007373E-2</v>
      </c>
      <c r="P188" s="89">
        <v>-3.402553453314875E-2</v>
      </c>
      <c r="R188" s="71">
        <v>38912</v>
      </c>
      <c r="S188" s="99">
        <f>+I188-[1]Data!W186</f>
        <v>-4.3781753967551034E-3</v>
      </c>
    </row>
    <row r="189" spans="3:19">
      <c r="C189" s="71">
        <v>38919</v>
      </c>
      <c r="D189" s="118">
        <f t="shared" si="12"/>
        <v>12.501145704070476</v>
      </c>
      <c r="E189" s="92">
        <f t="shared" si="13"/>
        <v>106.49638676429431</v>
      </c>
      <c r="F189" s="92">
        <f t="shared" si="14"/>
        <v>0</v>
      </c>
      <c r="G189" s="92">
        <f t="shared" si="16"/>
        <v>118.9975324683648</v>
      </c>
      <c r="H189" s="92">
        <f t="shared" si="15"/>
        <v>118.94400766491567</v>
      </c>
      <c r="I189" s="91">
        <f t="shared" si="17"/>
        <v>3.3592143554641092E-3</v>
      </c>
      <c r="J189" s="115"/>
      <c r="K189" s="64"/>
      <c r="L189" s="119">
        <v>38919</v>
      </c>
      <c r="M189" s="117">
        <v>4.0559199171555571E-3</v>
      </c>
      <c r="N189" s="117">
        <v>3.2774945375091133E-3</v>
      </c>
      <c r="O189" s="117">
        <v>8.4883006645446492E-3</v>
      </c>
      <c r="P189" s="89">
        <v>4.458740724226814E-3</v>
      </c>
      <c r="R189" s="71">
        <v>38919</v>
      </c>
      <c r="S189" s="99">
        <f>+I189-[1]Data!W187</f>
        <v>2.4034451246948787E-3</v>
      </c>
    </row>
    <row r="190" spans="3:19">
      <c r="C190" s="71">
        <v>38926</v>
      </c>
      <c r="D190" s="118">
        <f t="shared" si="12"/>
        <v>12.973021587153372</v>
      </c>
      <c r="E190" s="92">
        <f t="shared" si="13"/>
        <v>107.11487757671853</v>
      </c>
      <c r="F190" s="92">
        <f t="shared" si="14"/>
        <v>0</v>
      </c>
      <c r="G190" s="92">
        <f t="shared" si="16"/>
        <v>120.0878991638719</v>
      </c>
      <c r="H190" s="92">
        <f t="shared" si="15"/>
        <v>120.03388391610974</v>
      </c>
      <c r="I190" s="91">
        <f t="shared" si="17"/>
        <v>9.1629353389909834E-3</v>
      </c>
      <c r="J190" s="115"/>
      <c r="K190" s="64"/>
      <c r="L190" s="119">
        <v>38926</v>
      </c>
      <c r="M190" s="117">
        <v>3.7746610930968608E-2</v>
      </c>
      <c r="N190" s="117">
        <v>5.807622504537196E-3</v>
      </c>
      <c r="O190" s="117">
        <v>4.2471897668752354E-2</v>
      </c>
      <c r="P190" s="89">
        <v>3.7572529249500691E-2</v>
      </c>
      <c r="R190" s="71">
        <v>38926</v>
      </c>
      <c r="S190" s="99">
        <f>+I190-[1]Data!W188</f>
        <v>8.2071661082217529E-3</v>
      </c>
    </row>
    <row r="191" spans="3:19">
      <c r="C191" s="71">
        <v>38933</v>
      </c>
      <c r="D191" s="118">
        <f t="shared" si="12"/>
        <v>13.046572102566623</v>
      </c>
      <c r="E191" s="92">
        <f t="shared" si="13"/>
        <v>107.83215511612717</v>
      </c>
      <c r="F191" s="92">
        <f t="shared" si="14"/>
        <v>0</v>
      </c>
      <c r="G191" s="92">
        <f t="shared" si="16"/>
        <v>120.8787272186938</v>
      </c>
      <c r="H191" s="92">
        <f t="shared" si="15"/>
        <v>120.82435625837762</v>
      </c>
      <c r="I191" s="91">
        <f t="shared" si="17"/>
        <v>6.5854100232258369E-3</v>
      </c>
      <c r="J191" s="115"/>
      <c r="K191" s="64"/>
      <c r="L191" s="119">
        <v>38933</v>
      </c>
      <c r="M191" s="117">
        <v>5.6694976508854149E-3</v>
      </c>
      <c r="N191" s="117">
        <v>6.6963390673243353E-3</v>
      </c>
      <c r="O191" s="117">
        <v>1.4023159460320912E-2</v>
      </c>
      <c r="P191" s="89">
        <v>6.0200464490892626E-3</v>
      </c>
      <c r="R191" s="71">
        <v>38933</v>
      </c>
      <c r="S191" s="99">
        <f>+I191-[1]Data!W189</f>
        <v>5.6296407924566064E-3</v>
      </c>
    </row>
    <row r="192" spans="3:19">
      <c r="C192" s="71">
        <v>38940</v>
      </c>
      <c r="D192" s="118">
        <f t="shared" si="12"/>
        <v>12.878665945866249</v>
      </c>
      <c r="E192" s="92">
        <f t="shared" si="13"/>
        <v>107.28238550508343</v>
      </c>
      <c r="F192" s="92">
        <f t="shared" si="14"/>
        <v>0</v>
      </c>
      <c r="G192" s="92">
        <f t="shared" si="16"/>
        <v>120.16105145094967</v>
      </c>
      <c r="H192" s="92">
        <f t="shared" si="15"/>
        <v>120.10700329946501</v>
      </c>
      <c r="I192" s="91">
        <f t="shared" si="17"/>
        <v>-5.9371552320012805E-3</v>
      </c>
      <c r="J192" s="115"/>
      <c r="K192" s="64"/>
      <c r="L192" s="119">
        <v>38940</v>
      </c>
      <c r="M192" s="117">
        <v>-1.2869752712081437E-2</v>
      </c>
      <c r="N192" s="117">
        <v>-5.098382856687649E-3</v>
      </c>
      <c r="O192" s="117">
        <v>-1.6081718177056014E-2</v>
      </c>
      <c r="P192" s="89">
        <v>-1.1451656997053498E-2</v>
      </c>
      <c r="R192" s="71">
        <v>38940</v>
      </c>
      <c r="S192" s="99">
        <f>+I192-[1]Data!W190</f>
        <v>-6.8890783089243573E-3</v>
      </c>
    </row>
    <row r="193" spans="3:19">
      <c r="C193" s="71">
        <v>38947</v>
      </c>
      <c r="D193" s="118">
        <f t="shared" si="12"/>
        <v>13.234306618667912</v>
      </c>
      <c r="E193" s="92">
        <f t="shared" si="13"/>
        <v>108.04690887044114</v>
      </c>
      <c r="F193" s="92">
        <f t="shared" si="14"/>
        <v>0</v>
      </c>
      <c r="G193" s="92">
        <f t="shared" si="16"/>
        <v>121.28121548910906</v>
      </c>
      <c r="H193" s="92">
        <f t="shared" si="15"/>
        <v>121.22666349053839</v>
      </c>
      <c r="I193" s="91">
        <f t="shared" si="17"/>
        <v>9.3221890507226256E-3</v>
      </c>
      <c r="J193" s="115"/>
      <c r="K193" s="64"/>
      <c r="L193" s="119">
        <v>38947</v>
      </c>
      <c r="M193" s="117">
        <v>2.7614713689799075E-2</v>
      </c>
      <c r="N193" s="117">
        <v>7.1262711185843585E-3</v>
      </c>
      <c r="O193" s="117">
        <v>1.8687110685194009E-2</v>
      </c>
      <c r="P193" s="89">
        <v>2.6395034414945843E-2</v>
      </c>
      <c r="R193" s="71">
        <v>38947</v>
      </c>
      <c r="S193" s="99">
        <f>+I193-[1]Data!W191</f>
        <v>8.3664198199533951E-3</v>
      </c>
    </row>
    <row r="194" spans="3:19">
      <c r="C194" s="71">
        <v>38954</v>
      </c>
      <c r="D194" s="118">
        <f t="shared" si="12"/>
        <v>13.138095121082182</v>
      </c>
      <c r="E194" s="92">
        <f t="shared" si="13"/>
        <v>108.24877739949628</v>
      </c>
      <c r="F194" s="92">
        <f t="shared" si="14"/>
        <v>0</v>
      </c>
      <c r="G194" s="92">
        <f t="shared" si="16"/>
        <v>121.38687252057846</v>
      </c>
      <c r="H194" s="92">
        <f t="shared" si="15"/>
        <v>121.33227299772955</v>
      </c>
      <c r="I194" s="91">
        <f t="shared" si="17"/>
        <v>8.7117391628454795E-4</v>
      </c>
      <c r="J194" s="115"/>
      <c r="K194" s="64"/>
      <c r="L194" s="119">
        <v>38954</v>
      </c>
      <c r="M194" s="117">
        <v>-7.2698555623621763E-3</v>
      </c>
      <c r="N194" s="117">
        <v>1.8683415487358835E-3</v>
      </c>
      <c r="O194" s="117">
        <v>-6.9509773178635546E-3</v>
      </c>
      <c r="P194" s="89">
        <v>-7.783732000119648E-3</v>
      </c>
      <c r="R194" s="71">
        <v>38954</v>
      </c>
      <c r="S194" s="99">
        <f>+I194-[1]Data!W192</f>
        <v>-8.4595314484682679E-5</v>
      </c>
    </row>
    <row r="195" spans="3:19">
      <c r="C195" s="71">
        <v>38961</v>
      </c>
      <c r="D195" s="118">
        <f t="shared" si="12"/>
        <v>13.33452285879274</v>
      </c>
      <c r="E195" s="92">
        <f t="shared" si="13"/>
        <v>108.74700610950468</v>
      </c>
      <c r="F195" s="92">
        <f t="shared" si="14"/>
        <v>0</v>
      </c>
      <c r="G195" s="92">
        <f t="shared" si="16"/>
        <v>122.08152896829742</v>
      </c>
      <c r="H195" s="92">
        <f t="shared" si="15"/>
        <v>122.02661699065168</v>
      </c>
      <c r="I195" s="91">
        <f t="shared" si="17"/>
        <v>5.7226653368236289E-3</v>
      </c>
      <c r="J195" s="115"/>
      <c r="K195" s="64"/>
      <c r="L195" s="119">
        <v>38961</v>
      </c>
      <c r="M195" s="117">
        <v>1.4951005903082485E-2</v>
      </c>
      <c r="N195" s="117">
        <v>4.6026266714279907E-3</v>
      </c>
      <c r="O195" s="117">
        <v>2.1209410031051004E-2</v>
      </c>
      <c r="P195" s="89">
        <v>1.5055969586338017E-2</v>
      </c>
      <c r="R195" s="71">
        <v>38961</v>
      </c>
      <c r="S195" s="99">
        <f>+I195-[1]Data!W193</f>
        <v>4.7745884137467059E-3</v>
      </c>
    </row>
    <row r="196" spans="3:19">
      <c r="C196" s="71">
        <v>38968</v>
      </c>
      <c r="D196" s="118">
        <f t="shared" si="12"/>
        <v>13.132429875539064</v>
      </c>
      <c r="E196" s="92">
        <f t="shared" si="13"/>
        <v>108.5150720548456</v>
      </c>
      <c r="F196" s="92">
        <f t="shared" si="14"/>
        <v>0</v>
      </c>
      <c r="G196" s="92">
        <f t="shared" si="16"/>
        <v>121.64750193038466</v>
      </c>
      <c r="H196" s="92">
        <f t="shared" si="15"/>
        <v>121.59278517705503</v>
      </c>
      <c r="I196" s="91">
        <f t="shared" si="17"/>
        <v>-3.5552228218362863E-3</v>
      </c>
      <c r="J196" s="115"/>
      <c r="K196" s="64"/>
      <c r="L196" s="119">
        <v>38968</v>
      </c>
      <c r="M196" s="117">
        <v>-1.5155621644190872E-2</v>
      </c>
      <c r="N196" s="117">
        <v>-2.1327856550416367E-3</v>
      </c>
      <c r="O196" s="117">
        <v>-2.2675736961451131E-3</v>
      </c>
      <c r="P196" s="89">
        <v>-1.4832649664110364E-2</v>
      </c>
      <c r="R196" s="71">
        <v>38968</v>
      </c>
      <c r="S196" s="99">
        <f>+I196-[1]Data!W194</f>
        <v>-4.4859920526055174E-3</v>
      </c>
    </row>
    <row r="197" spans="3:19">
      <c r="C197" s="71">
        <v>38975</v>
      </c>
      <c r="D197" s="118">
        <f t="shared" ref="D197:D260" si="18">+D196*(1+M197)</f>
        <v>13.236162474966518</v>
      </c>
      <c r="E197" s="92">
        <f t="shared" ref="E197:E260" si="19">+E196*(1+N197)</f>
        <v>108.43776070329258</v>
      </c>
      <c r="F197" s="92">
        <f t="shared" ref="F197:F260" si="20">+F196*(1+O197)</f>
        <v>0</v>
      </c>
      <c r="G197" s="92">
        <f t="shared" si="16"/>
        <v>121.6739231782591</v>
      </c>
      <c r="H197" s="92">
        <f t="shared" ref="H197:H260" si="21">+H196*(1+(((D196/G196)*M197)+((E196/G196)*N197)+((F196/G196)*O197)))</f>
        <v>121.61919454071581</v>
      </c>
      <c r="I197" s="91">
        <f t="shared" si="17"/>
        <v>2.1719515366244718E-4</v>
      </c>
      <c r="J197" s="115"/>
      <c r="K197" s="64"/>
      <c r="L197" s="119">
        <v>38975</v>
      </c>
      <c r="M197" s="117">
        <v>7.8989646554801039E-3</v>
      </c>
      <c r="N197" s="117">
        <v>-7.1244805066299948E-4</v>
      </c>
      <c r="O197" s="117">
        <v>1.482438016528928E-2</v>
      </c>
      <c r="P197" s="89">
        <v>7.4525540838185148E-3</v>
      </c>
      <c r="R197" s="71">
        <v>38975</v>
      </c>
      <c r="S197" s="99">
        <f>+I197-[1]Data!W195</f>
        <v>-7.078048463375528E-4</v>
      </c>
    </row>
    <row r="198" spans="3:19">
      <c r="C198" s="71">
        <v>38982</v>
      </c>
      <c r="D198" s="118">
        <f t="shared" si="18"/>
        <v>13.229911169539628</v>
      </c>
      <c r="E198" s="92">
        <f t="shared" si="19"/>
        <v>109.6790374032273</v>
      </c>
      <c r="F198" s="92">
        <f t="shared" si="20"/>
        <v>0</v>
      </c>
      <c r="G198" s="92">
        <f t="shared" ref="G198:G261" si="22">+SUM(D198:F198)</f>
        <v>122.90894857276693</v>
      </c>
      <c r="H198" s="92">
        <f t="shared" si="21"/>
        <v>122.85366442377625</v>
      </c>
      <c r="I198" s="91">
        <f t="shared" si="17"/>
        <v>1.0150288264301605E-2</v>
      </c>
      <c r="J198" s="115"/>
      <c r="K198" s="64"/>
      <c r="L198" s="119">
        <v>38982</v>
      </c>
      <c r="M198" s="117">
        <v>-4.7228986790633364E-4</v>
      </c>
      <c r="N198" s="117">
        <v>1.1446904582722758E-2</v>
      </c>
      <c r="O198" s="117">
        <v>-4.5808520384791858E-3</v>
      </c>
      <c r="P198" s="89">
        <v>-1.1081162024558387E-3</v>
      </c>
      <c r="R198" s="71">
        <v>38982</v>
      </c>
      <c r="S198" s="99">
        <f>+I198-[1]Data!W196</f>
        <v>9.2252882643016048E-3</v>
      </c>
    </row>
    <row r="199" spans="3:19">
      <c r="C199" s="71">
        <v>38989</v>
      </c>
      <c r="D199" s="118">
        <f t="shared" si="18"/>
        <v>13.414617709574765</v>
      </c>
      <c r="E199" s="92">
        <f t="shared" si="19"/>
        <v>109.25812004477191</v>
      </c>
      <c r="F199" s="92">
        <f t="shared" si="20"/>
        <v>0</v>
      </c>
      <c r="G199" s="92">
        <f t="shared" si="22"/>
        <v>122.67273775434668</v>
      </c>
      <c r="H199" s="92">
        <f t="shared" si="21"/>
        <v>122.61755985241312</v>
      </c>
      <c r="I199" s="91">
        <f t="shared" ref="I199:I262" si="23">+(H199-H198)/H198</f>
        <v>-1.9218358074261431E-3</v>
      </c>
      <c r="J199" s="115"/>
      <c r="K199" s="64"/>
      <c r="L199" s="119">
        <v>38989</v>
      </c>
      <c r="M199" s="117">
        <v>1.3961283463520409E-2</v>
      </c>
      <c r="N199" s="117">
        <v>-3.8377192982456849E-3</v>
      </c>
      <c r="O199" s="117">
        <v>9.0504678631692509E-3</v>
      </c>
      <c r="P199" s="89">
        <v>1.4241597457500076E-2</v>
      </c>
      <c r="R199" s="71">
        <v>38989</v>
      </c>
      <c r="S199" s="99">
        <f>+I199-[1]Data!W197</f>
        <v>-2.8372204228107583E-3</v>
      </c>
    </row>
    <row r="200" spans="3:19">
      <c r="C200" s="71">
        <v>38996</v>
      </c>
      <c r="D200" s="118">
        <f t="shared" si="18"/>
        <v>13.516592129350906</v>
      </c>
      <c r="E200" s="92">
        <f t="shared" si="19"/>
        <v>108.88874358735191</v>
      </c>
      <c r="F200" s="92">
        <f t="shared" si="20"/>
        <v>0</v>
      </c>
      <c r="G200" s="92">
        <f t="shared" si="22"/>
        <v>122.40533571670282</v>
      </c>
      <c r="H200" s="92">
        <f t="shared" si="21"/>
        <v>122.35027809156163</v>
      </c>
      <c r="I200" s="91">
        <f t="shared" si="23"/>
        <v>-2.1798000316855018E-3</v>
      </c>
      <c r="J200" s="115"/>
      <c r="K200" s="64"/>
      <c r="L200" s="119">
        <v>38996</v>
      </c>
      <c r="M200" s="117">
        <v>7.6017387885275308E-3</v>
      </c>
      <c r="N200" s="117">
        <v>-3.3807689283748142E-3</v>
      </c>
      <c r="O200" s="117">
        <v>2.1384412688760509E-2</v>
      </c>
      <c r="P200" s="89">
        <v>7.5676954002601472E-3</v>
      </c>
      <c r="R200" s="71">
        <v>38996</v>
      </c>
      <c r="S200" s="99">
        <f>+I200-[1]Data!W198</f>
        <v>-3.1009538778393481E-3</v>
      </c>
    </row>
    <row r="201" spans="3:19">
      <c r="C201" s="71">
        <v>39003</v>
      </c>
      <c r="D201" s="118">
        <f t="shared" si="18"/>
        <v>13.656367411630274</v>
      </c>
      <c r="E201" s="92">
        <f t="shared" si="19"/>
        <v>108.26166262475513</v>
      </c>
      <c r="F201" s="92">
        <f t="shared" si="20"/>
        <v>0</v>
      </c>
      <c r="G201" s="92">
        <f t="shared" si="22"/>
        <v>121.9180300363854</v>
      </c>
      <c r="H201" s="92">
        <f t="shared" si="21"/>
        <v>121.86319160016535</v>
      </c>
      <c r="I201" s="91">
        <f t="shared" si="23"/>
        <v>-3.9810820130034277E-3</v>
      </c>
      <c r="J201" s="115"/>
      <c r="K201" s="64"/>
      <c r="L201" s="119">
        <v>39003</v>
      </c>
      <c r="M201" s="117">
        <v>1.034101502373877E-2</v>
      </c>
      <c r="N201" s="117">
        <v>-5.7589144840644044E-3</v>
      </c>
      <c r="O201" s="117">
        <v>7.5907918237745637E-3</v>
      </c>
      <c r="P201" s="89">
        <v>1.1471658256073306E-2</v>
      </c>
      <c r="R201" s="71">
        <v>39003</v>
      </c>
      <c r="S201" s="99">
        <f>+I201-[1]Data!W199</f>
        <v>-4.9233897053111205E-3</v>
      </c>
    </row>
    <row r="202" spans="3:19">
      <c r="C202" s="71">
        <v>39010</v>
      </c>
      <c r="D202" s="118">
        <f t="shared" si="18"/>
        <v>13.768304849430525</v>
      </c>
      <c r="E202" s="92">
        <f t="shared" si="19"/>
        <v>108.71264550881445</v>
      </c>
      <c r="F202" s="92">
        <f t="shared" si="20"/>
        <v>0</v>
      </c>
      <c r="G202" s="92">
        <f t="shared" si="22"/>
        <v>122.48095035824497</v>
      </c>
      <c r="H202" s="92">
        <f t="shared" si="21"/>
        <v>122.42585872182019</v>
      </c>
      <c r="I202" s="91">
        <f t="shared" si="23"/>
        <v>4.6172032281983719E-3</v>
      </c>
      <c r="J202" s="115"/>
      <c r="K202" s="64"/>
      <c r="L202" s="119">
        <v>39010</v>
      </c>
      <c r="M202" s="117">
        <v>8.1967213114754363E-3</v>
      </c>
      <c r="N202" s="117">
        <v>4.165674839324016E-3</v>
      </c>
      <c r="O202" s="117">
        <v>1.2506770397360737E-2</v>
      </c>
      <c r="P202" s="89">
        <v>7.8897751994199492E-3</v>
      </c>
      <c r="R202" s="71">
        <v>39010</v>
      </c>
      <c r="S202" s="99">
        <f>+I202-[1]Data!W200</f>
        <v>3.6633570743522179E-3</v>
      </c>
    </row>
    <row r="203" spans="3:19">
      <c r="C203" s="71">
        <v>39017</v>
      </c>
      <c r="D203" s="118">
        <f t="shared" si="18"/>
        <v>13.917750119792114</v>
      </c>
      <c r="E203" s="92">
        <f t="shared" si="19"/>
        <v>109.57595560115656</v>
      </c>
      <c r="F203" s="92">
        <f t="shared" si="20"/>
        <v>0</v>
      </c>
      <c r="G203" s="92">
        <f t="shared" si="22"/>
        <v>123.49370572094868</v>
      </c>
      <c r="H203" s="92">
        <f t="shared" si="21"/>
        <v>123.4381585496014</v>
      </c>
      <c r="I203" s="91">
        <f t="shared" si="23"/>
        <v>8.2686765553459159E-3</v>
      </c>
      <c r="J203" s="115"/>
      <c r="K203" s="64"/>
      <c r="L203" s="119">
        <v>39017</v>
      </c>
      <c r="M203" s="117">
        <v>1.0854297024645769E-2</v>
      </c>
      <c r="N203" s="117">
        <v>7.9412113310418034E-3</v>
      </c>
      <c r="O203" s="117">
        <v>1.0455672810387617E-2</v>
      </c>
      <c r="P203" s="89">
        <v>1.0763519152732472E-2</v>
      </c>
      <c r="R203" s="71">
        <v>39017</v>
      </c>
      <c r="S203" s="99">
        <f>+I203-[1]Data!W201</f>
        <v>7.3090611707305317E-3</v>
      </c>
    </row>
    <row r="204" spans="3:19">
      <c r="C204" s="71">
        <v>39024</v>
      </c>
      <c r="D204" s="118">
        <f t="shared" si="18"/>
        <v>13.810598837709328</v>
      </c>
      <c r="E204" s="92">
        <f t="shared" si="19"/>
        <v>109.57595560115656</v>
      </c>
      <c r="F204" s="92">
        <f t="shared" si="20"/>
        <v>0</v>
      </c>
      <c r="G204" s="92">
        <f t="shared" si="22"/>
        <v>123.38655443886589</v>
      </c>
      <c r="H204" s="92">
        <f t="shared" si="21"/>
        <v>123.33105546390718</v>
      </c>
      <c r="I204" s="91">
        <f t="shared" si="23"/>
        <v>-8.6766593857751583E-4</v>
      </c>
      <c r="J204" s="115"/>
      <c r="K204" s="64"/>
      <c r="L204" s="119">
        <v>39024</v>
      </c>
      <c r="M204" s="117">
        <v>-7.6988939419460074E-3</v>
      </c>
      <c r="N204" s="117">
        <v>0</v>
      </c>
      <c r="O204" s="117">
        <v>-1.0491866397150865E-2</v>
      </c>
      <c r="P204" s="89">
        <v>-6.0078016001821046E-3</v>
      </c>
      <c r="R204" s="71">
        <v>39024</v>
      </c>
      <c r="S204" s="99">
        <f>+I204-[1]Data!W202</f>
        <v>-1.8195890155005929E-3</v>
      </c>
    </row>
    <row r="205" spans="3:19">
      <c r="C205" s="71">
        <v>39031</v>
      </c>
      <c r="D205" s="118">
        <f t="shared" si="18"/>
        <v>13.986026096251427</v>
      </c>
      <c r="E205" s="92">
        <f t="shared" si="19"/>
        <v>110.45644599384383</v>
      </c>
      <c r="F205" s="92">
        <f t="shared" si="20"/>
        <v>0</v>
      </c>
      <c r="G205" s="92">
        <f t="shared" si="22"/>
        <v>124.44247209009525</v>
      </c>
      <c r="H205" s="92">
        <f t="shared" si="21"/>
        <v>124.38649816592064</v>
      </c>
      <c r="I205" s="91">
        <f t="shared" si="23"/>
        <v>8.5578015856869125E-3</v>
      </c>
      <c r="J205" s="115"/>
      <c r="K205" s="64"/>
      <c r="L205" s="119">
        <v>39031</v>
      </c>
      <c r="M205" s="117">
        <v>1.2702364365482815E-2</v>
      </c>
      <c r="N205" s="117">
        <v>8.0354343054249433E-3</v>
      </c>
      <c r="O205" s="117">
        <v>7.9766536964981267E-3</v>
      </c>
      <c r="P205" s="89">
        <v>1.3205385276424968E-2</v>
      </c>
      <c r="R205" s="71">
        <v>39031</v>
      </c>
      <c r="S205" s="99">
        <f>+I205-[1]Data!W203</f>
        <v>7.6039554318407584E-3</v>
      </c>
    </row>
    <row r="206" spans="3:19">
      <c r="C206" s="71">
        <v>39038</v>
      </c>
      <c r="D206" s="118">
        <f t="shared" si="18"/>
        <v>14.062995294320011</v>
      </c>
      <c r="E206" s="92">
        <f t="shared" si="19"/>
        <v>110.42208539315358</v>
      </c>
      <c r="F206" s="92">
        <f t="shared" si="20"/>
        <v>0</v>
      </c>
      <c r="G206" s="92">
        <f t="shared" si="22"/>
        <v>124.48508068747358</v>
      </c>
      <c r="H206" s="92">
        <f t="shared" si="21"/>
        <v>124.42908759805451</v>
      </c>
      <c r="I206" s="91">
        <f t="shared" si="23"/>
        <v>3.4239594137504747E-4</v>
      </c>
      <c r="J206" s="115"/>
      <c r="K206" s="64"/>
      <c r="L206" s="119">
        <v>39038</v>
      </c>
      <c r="M206" s="117">
        <v>5.5032928967015931E-3</v>
      </c>
      <c r="N206" s="117">
        <v>-3.1107827507112387E-4</v>
      </c>
      <c r="O206" s="117">
        <v>1.0326191854854208E-2</v>
      </c>
      <c r="P206" s="89">
        <v>5.173729891719321E-3</v>
      </c>
      <c r="R206" s="71">
        <v>39038</v>
      </c>
      <c r="S206" s="99">
        <f>+I206-[1]Data!W204</f>
        <v>-6.1145021247110639E-4</v>
      </c>
    </row>
    <row r="207" spans="3:19">
      <c r="C207" s="71">
        <v>39045</v>
      </c>
      <c r="D207" s="118">
        <f t="shared" si="18"/>
        <v>14.142797115160155</v>
      </c>
      <c r="E207" s="92">
        <f t="shared" si="19"/>
        <v>111.26821518515061</v>
      </c>
      <c r="F207" s="92">
        <f t="shared" si="20"/>
        <v>0</v>
      </c>
      <c r="G207" s="92">
        <f t="shared" si="22"/>
        <v>125.41101230031076</v>
      </c>
      <c r="H207" s="92">
        <f t="shared" si="21"/>
        <v>125.3546027290827</v>
      </c>
      <c r="I207" s="91">
        <f t="shared" si="23"/>
        <v>7.4380930447541307E-3</v>
      </c>
      <c r="J207" s="115"/>
      <c r="K207" s="64"/>
      <c r="L207" s="119">
        <v>39045</v>
      </c>
      <c r="M207" s="117">
        <v>5.6745962840771469E-3</v>
      </c>
      <c r="N207" s="117">
        <v>7.662686218833978E-3</v>
      </c>
      <c r="O207" s="117">
        <v>4.0834845735027277E-2</v>
      </c>
      <c r="P207" s="89">
        <v>7.0034314001236209E-3</v>
      </c>
      <c r="R207" s="71">
        <v>39045</v>
      </c>
      <c r="S207" s="99">
        <f>+I207-[1]Data!W205</f>
        <v>6.4900161216772077E-3</v>
      </c>
    </row>
    <row r="208" spans="3:19">
      <c r="C208" s="71">
        <v>39052</v>
      </c>
      <c r="D208" s="118">
        <f t="shared" si="18"/>
        <v>14.192319175338799</v>
      </c>
      <c r="E208" s="92">
        <f t="shared" si="19"/>
        <v>112.31621350620274</v>
      </c>
      <c r="F208" s="92">
        <f t="shared" si="20"/>
        <v>0</v>
      </c>
      <c r="G208" s="92">
        <f t="shared" si="22"/>
        <v>126.50853268154154</v>
      </c>
      <c r="H208" s="92">
        <f t="shared" si="21"/>
        <v>126.45162944828984</v>
      </c>
      <c r="I208" s="91">
        <f t="shared" si="23"/>
        <v>8.7513876261730763E-3</v>
      </c>
      <c r="J208" s="115"/>
      <c r="K208" s="64"/>
      <c r="L208" s="119">
        <v>39052</v>
      </c>
      <c r="M208" s="117">
        <v>3.5015746726338032E-3</v>
      </c>
      <c r="N208" s="117">
        <v>9.4186674901567125E-3</v>
      </c>
      <c r="O208" s="117">
        <v>5.5522415454502799E-3</v>
      </c>
      <c r="P208" s="89">
        <v>4.3851073932353437E-3</v>
      </c>
      <c r="R208" s="71">
        <v>39052</v>
      </c>
      <c r="S208" s="99">
        <f>+I208-[1]Data!W206</f>
        <v>7.807156856942307E-3</v>
      </c>
    </row>
    <row r="209" spans="3:19">
      <c r="C209" s="71">
        <v>39059</v>
      </c>
      <c r="D209" s="118">
        <f t="shared" si="18"/>
        <v>14.353485643375807</v>
      </c>
      <c r="E209" s="92">
        <f t="shared" si="19"/>
        <v>111.76644389515901</v>
      </c>
      <c r="F209" s="92">
        <f t="shared" si="20"/>
        <v>0</v>
      </c>
      <c r="G209" s="92">
        <f t="shared" si="22"/>
        <v>126.11992953853482</v>
      </c>
      <c r="H209" s="92">
        <f t="shared" si="21"/>
        <v>126.06320109804072</v>
      </c>
      <c r="I209" s="91">
        <f t="shared" si="23"/>
        <v>-3.0717544087318803E-3</v>
      </c>
      <c r="J209" s="115"/>
      <c r="K209" s="64"/>
      <c r="L209" s="119">
        <v>39059</v>
      </c>
      <c r="M209" s="117">
        <v>1.1355893708834885E-2</v>
      </c>
      <c r="N209" s="117">
        <v>-4.8948374760993223E-3</v>
      </c>
      <c r="O209" s="117">
        <v>2.9205074381674491E-3</v>
      </c>
      <c r="P209" s="89">
        <v>1.1345939933259132E-2</v>
      </c>
      <c r="R209" s="71">
        <v>39059</v>
      </c>
      <c r="S209" s="99">
        <f>+I209-[1]Data!W207</f>
        <v>-4.0063697933472647E-3</v>
      </c>
    </row>
    <row r="210" spans="3:19">
      <c r="C210" s="71">
        <v>39066</v>
      </c>
      <c r="D210" s="118">
        <f t="shared" si="18"/>
        <v>14.492967895713289</v>
      </c>
      <c r="E210" s="92">
        <f t="shared" si="19"/>
        <v>111.26392011006433</v>
      </c>
      <c r="F210" s="92">
        <f t="shared" si="20"/>
        <v>0</v>
      </c>
      <c r="G210" s="92">
        <f t="shared" si="22"/>
        <v>125.75688800577763</v>
      </c>
      <c r="H210" s="92">
        <f t="shared" si="21"/>
        <v>125.70032286049043</v>
      </c>
      <c r="I210" s="91">
        <f t="shared" si="23"/>
        <v>-2.8785421470304919E-3</v>
      </c>
      <c r="J210" s="115"/>
      <c r="K210" s="64"/>
      <c r="L210" s="119">
        <v>39066</v>
      </c>
      <c r="M210" s="117">
        <v>9.7176571463568808E-3</v>
      </c>
      <c r="N210" s="117">
        <v>-4.496195526861947E-3</v>
      </c>
      <c r="O210" s="117">
        <v>5.1870051870051247E-3</v>
      </c>
      <c r="P210" s="89">
        <v>9.4863616366035759E-3</v>
      </c>
      <c r="R210" s="71">
        <v>39066</v>
      </c>
      <c r="S210" s="99">
        <f>+I210-[1]Data!W208</f>
        <v>-3.803542147030492E-3</v>
      </c>
    </row>
    <row r="211" spans="3:19">
      <c r="C211" s="71">
        <v>39073</v>
      </c>
      <c r="D211" s="118">
        <f t="shared" si="18"/>
        <v>14.387672469929111</v>
      </c>
      <c r="E211" s="92">
        <f t="shared" si="19"/>
        <v>111.06634665609548</v>
      </c>
      <c r="F211" s="92">
        <f t="shared" si="20"/>
        <v>0</v>
      </c>
      <c r="G211" s="92">
        <f t="shared" si="22"/>
        <v>125.45401912602459</v>
      </c>
      <c r="H211" s="92">
        <f t="shared" si="21"/>
        <v>125.39759021042991</v>
      </c>
      <c r="I211" s="91">
        <f t="shared" si="23"/>
        <v>-2.4083681184853458E-3</v>
      </c>
      <c r="J211" s="115"/>
      <c r="K211" s="64"/>
      <c r="L211" s="119">
        <v>39073</v>
      </c>
      <c r="M211" s="117">
        <v>-7.2652769634107533E-3</v>
      </c>
      <c r="N211" s="117">
        <v>-1.7757189731713429E-3</v>
      </c>
      <c r="O211" s="117">
        <v>-7.1519101937352171E-3</v>
      </c>
      <c r="P211" s="89">
        <v>-6.5644322174705644E-3</v>
      </c>
      <c r="R211" s="71">
        <v>39073</v>
      </c>
      <c r="S211" s="99">
        <f>+I211-[1]Data!W209</f>
        <v>-3.3391373492545765E-3</v>
      </c>
    </row>
    <row r="212" spans="3:19" ht="16.5" thickBot="1">
      <c r="C212" s="120">
        <v>39080</v>
      </c>
      <c r="D212" s="118">
        <f t="shared" si="18"/>
        <v>14.491112039414681</v>
      </c>
      <c r="E212" s="92">
        <f t="shared" si="19"/>
        <v>110.76569140005593</v>
      </c>
      <c r="F212" s="92">
        <f t="shared" si="20"/>
        <v>0</v>
      </c>
      <c r="G212" s="92">
        <f t="shared" si="22"/>
        <v>125.25680343947062</v>
      </c>
      <c r="H212" s="92">
        <f t="shared" si="21"/>
        <v>125.20046323101667</v>
      </c>
      <c r="I212" s="91">
        <f t="shared" si="23"/>
        <v>-1.5720156909111408E-3</v>
      </c>
      <c r="J212" s="115"/>
      <c r="K212" s="64"/>
      <c r="L212" s="120">
        <v>39080</v>
      </c>
      <c r="M212" s="121">
        <v>7.1894581769054227E-3</v>
      </c>
      <c r="N212" s="121">
        <v>-2.7069878958969362E-3</v>
      </c>
      <c r="O212" s="121">
        <v>2.4801677760554381E-2</v>
      </c>
      <c r="P212" s="89">
        <v>8.3899978065363704E-3</v>
      </c>
      <c r="R212" s="120">
        <v>39080</v>
      </c>
      <c r="S212" s="99">
        <f>+I212-[1]Data!W210</f>
        <v>-2.5085541524496021E-3</v>
      </c>
    </row>
    <row r="213" spans="3:19">
      <c r="C213" s="71">
        <v>39087</v>
      </c>
      <c r="D213" s="118">
        <f t="shared" si="18"/>
        <v>14.356513619441957</v>
      </c>
      <c r="E213" s="92">
        <f t="shared" si="19"/>
        <v>110.94608455367965</v>
      </c>
      <c r="F213" s="92">
        <f t="shared" si="20"/>
        <v>0</v>
      </c>
      <c r="G213" s="92">
        <f t="shared" si="22"/>
        <v>125.30259817312161</v>
      </c>
      <c r="H213" s="92">
        <f t="shared" si="21"/>
        <v>125.2462373663068</v>
      </c>
      <c r="I213" s="91">
        <f t="shared" si="23"/>
        <v>3.6560675662732653E-4</v>
      </c>
      <c r="J213" s="115"/>
      <c r="K213" s="64"/>
      <c r="L213" s="119">
        <v>39087</v>
      </c>
      <c r="M213" s="117">
        <v>-9.2883430620525845E-3</v>
      </c>
      <c r="N213" s="117">
        <v>1.6286013416573575E-3</v>
      </c>
      <c r="O213" s="117">
        <v>-1.0810570335439126E-2</v>
      </c>
      <c r="P213" s="89">
        <v>-1.0196313013214423E-2</v>
      </c>
      <c r="R213" s="71">
        <v>39087</v>
      </c>
      <c r="S213" s="99">
        <f>+I213-[1]Data!W211</f>
        <v>-5.805470895265196E-4</v>
      </c>
    </row>
    <row r="214" spans="3:19">
      <c r="C214" s="71">
        <v>39094</v>
      </c>
      <c r="D214" s="118">
        <f t="shared" si="18"/>
        <v>14.529987345038153</v>
      </c>
      <c r="E214" s="92">
        <f t="shared" si="19"/>
        <v>110.28464299039264</v>
      </c>
      <c r="F214" s="92">
        <f t="shared" si="20"/>
        <v>0</v>
      </c>
      <c r="G214" s="92">
        <f t="shared" si="22"/>
        <v>124.81463033543079</v>
      </c>
      <c r="H214" s="92">
        <f t="shared" si="21"/>
        <v>124.75848901537391</v>
      </c>
      <c r="I214" s="91">
        <f t="shared" si="23"/>
        <v>-3.8943153997223526E-3</v>
      </c>
      <c r="J214" s="115"/>
      <c r="K214" s="64"/>
      <c r="L214" s="119">
        <v>39094</v>
      </c>
      <c r="M214" s="117">
        <v>1.2083276636277038E-2</v>
      </c>
      <c r="N214" s="117">
        <v>-5.9618288103442394E-3</v>
      </c>
      <c r="O214" s="117">
        <v>1.5291207555655524E-2</v>
      </c>
      <c r="P214" s="89">
        <v>1.0246408263055293E-2</v>
      </c>
      <c r="R214" s="71">
        <v>39094</v>
      </c>
      <c r="S214" s="99">
        <f>+I214-[1]Data!W212</f>
        <v>-4.8481615535685063E-3</v>
      </c>
    </row>
    <row r="215" spans="3:19">
      <c r="C215" s="71">
        <v>39101</v>
      </c>
      <c r="D215" s="118">
        <f t="shared" si="18"/>
        <v>14.588593333415245</v>
      </c>
      <c r="E215" s="92">
        <f t="shared" si="19"/>
        <v>110.37054449211824</v>
      </c>
      <c r="F215" s="92">
        <f t="shared" si="20"/>
        <v>0</v>
      </c>
      <c r="G215" s="92">
        <f t="shared" si="22"/>
        <v>124.95913782553349</v>
      </c>
      <c r="H215" s="92">
        <f t="shared" si="21"/>
        <v>124.90293150635566</v>
      </c>
      <c r="I215" s="91">
        <f t="shared" si="23"/>
        <v>1.1577768544787852E-3</v>
      </c>
      <c r="J215" s="115"/>
      <c r="K215" s="64"/>
      <c r="L215" s="119">
        <v>39101</v>
      </c>
      <c r="M215" s="117">
        <v>4.0334507515663231E-3</v>
      </c>
      <c r="N215" s="117">
        <v>7.7890719320810643E-4</v>
      </c>
      <c r="O215" s="117">
        <v>2.6223698781838261E-2</v>
      </c>
      <c r="P215" s="89">
        <v>4.8129214705242059E-3</v>
      </c>
      <c r="R215" s="71">
        <v>39101</v>
      </c>
      <c r="S215" s="99">
        <f>+I215-[1]Data!W213</f>
        <v>1.9816146986340055E-4</v>
      </c>
    </row>
    <row r="216" spans="3:19">
      <c r="C216" s="71">
        <v>39108</v>
      </c>
      <c r="D216" s="118">
        <f t="shared" si="18"/>
        <v>14.527447752208477</v>
      </c>
      <c r="E216" s="92">
        <f t="shared" si="19"/>
        <v>109.92815175823146</v>
      </c>
      <c r="F216" s="92">
        <f t="shared" si="20"/>
        <v>0</v>
      </c>
      <c r="G216" s="92">
        <f t="shared" si="22"/>
        <v>124.45559951043994</v>
      </c>
      <c r="H216" s="92">
        <f t="shared" si="21"/>
        <v>124.39961968158326</v>
      </c>
      <c r="I216" s="91">
        <f t="shared" si="23"/>
        <v>-4.0296237942724772E-3</v>
      </c>
      <c r="J216" s="115"/>
      <c r="K216" s="64"/>
      <c r="L216" s="119">
        <v>39108</v>
      </c>
      <c r="M216" s="117">
        <v>-4.191328101984514E-3</v>
      </c>
      <c r="N216" s="117">
        <v>-4.0082499902713521E-3</v>
      </c>
      <c r="O216" s="117">
        <v>9.841585013165283E-3</v>
      </c>
      <c r="P216" s="89">
        <v>-3.3826752902335402E-3</v>
      </c>
      <c r="R216" s="71">
        <v>39108</v>
      </c>
      <c r="S216" s="99">
        <f>+I216-[1]Data!W214</f>
        <v>-4.9911622558109388E-3</v>
      </c>
    </row>
    <row r="217" spans="3:19">
      <c r="C217" s="71">
        <v>39115</v>
      </c>
      <c r="D217" s="118">
        <f t="shared" si="18"/>
        <v>14.805044783821311</v>
      </c>
      <c r="E217" s="92">
        <f t="shared" si="19"/>
        <v>110.38772479246333</v>
      </c>
      <c r="F217" s="92">
        <f t="shared" si="20"/>
        <v>0</v>
      </c>
      <c r="G217" s="92">
        <f t="shared" si="22"/>
        <v>125.19276957628465</v>
      </c>
      <c r="H217" s="92">
        <f t="shared" si="21"/>
        <v>125.13645817010813</v>
      </c>
      <c r="I217" s="91">
        <f t="shared" si="23"/>
        <v>5.9231570836864268E-3</v>
      </c>
      <c r="J217" s="115"/>
      <c r="K217" s="64"/>
      <c r="L217" s="119">
        <v>39115</v>
      </c>
      <c r="M217" s="117">
        <v>1.9108451556511849E-2</v>
      </c>
      <c r="N217" s="117">
        <v>4.1806673439087018E-3</v>
      </c>
      <c r="O217" s="117">
        <v>3.2699294721094278E-2</v>
      </c>
      <c r="P217" s="89">
        <v>1.9143043336591756E-2</v>
      </c>
      <c r="R217" s="71">
        <v>39115</v>
      </c>
      <c r="S217" s="99">
        <f>+I217-[1]Data!W215</f>
        <v>4.9616186221479652E-3</v>
      </c>
    </row>
    <row r="218" spans="3:19">
      <c r="C218" s="71">
        <v>39122</v>
      </c>
      <c r="D218" s="118">
        <f t="shared" si="18"/>
        <v>14.78590016095146</v>
      </c>
      <c r="E218" s="92">
        <f t="shared" si="19"/>
        <v>110.61106869694984</v>
      </c>
      <c r="F218" s="92">
        <f t="shared" si="20"/>
        <v>0</v>
      </c>
      <c r="G218" s="92">
        <f t="shared" si="22"/>
        <v>125.3969688579013</v>
      </c>
      <c r="H218" s="92">
        <f t="shared" si="21"/>
        <v>125.34056560337982</v>
      </c>
      <c r="I218" s="91">
        <f t="shared" si="23"/>
        <v>1.6310788738660613E-3</v>
      </c>
      <c r="J218" s="115"/>
      <c r="K218" s="64"/>
      <c r="L218" s="119">
        <v>39122</v>
      </c>
      <c r="M218" s="117">
        <v>-1.2931148233183149E-3</v>
      </c>
      <c r="N218" s="117">
        <v>2.0232675771370058E-3</v>
      </c>
      <c r="O218" s="117">
        <v>1.1341059602649044E-2</v>
      </c>
      <c r="P218" s="89">
        <v>-7.9929661897533205E-4</v>
      </c>
      <c r="R218" s="71">
        <v>39122</v>
      </c>
      <c r="S218" s="99">
        <f>+I218-[1]Data!W216</f>
        <v>6.6569425848144609E-4</v>
      </c>
    </row>
    <row r="219" spans="3:19">
      <c r="C219" s="71">
        <v>39129</v>
      </c>
      <c r="D219" s="118">
        <f t="shared" si="18"/>
        <v>15.010361096435728</v>
      </c>
      <c r="E219" s="92">
        <f t="shared" si="19"/>
        <v>111.43142803842917</v>
      </c>
      <c r="F219" s="92">
        <f t="shared" si="20"/>
        <v>0</v>
      </c>
      <c r="G219" s="92">
        <f t="shared" si="22"/>
        <v>126.44178913486491</v>
      </c>
      <c r="H219" s="92">
        <f t="shared" si="21"/>
        <v>126.38491592269975</v>
      </c>
      <c r="I219" s="91">
        <f t="shared" si="23"/>
        <v>8.3321015370603282E-3</v>
      </c>
      <c r="J219" s="115"/>
      <c r="K219" s="64"/>
      <c r="L219" s="119">
        <v>39129</v>
      </c>
      <c r="M219" s="117">
        <v>1.5180741993446793E-2</v>
      </c>
      <c r="N219" s="117">
        <v>7.4166116568944399E-3</v>
      </c>
      <c r="O219" s="117">
        <v>6.9165916346075051E-3</v>
      </c>
      <c r="P219" s="89">
        <v>1.5092125963256341E-2</v>
      </c>
      <c r="R219" s="71">
        <v>39129</v>
      </c>
      <c r="S219" s="99">
        <f>+I219-[1]Data!W217</f>
        <v>7.3647938447526356E-3</v>
      </c>
    </row>
    <row r="220" spans="3:19">
      <c r="C220" s="71">
        <v>39136</v>
      </c>
      <c r="D220" s="118">
        <f t="shared" si="18"/>
        <v>15.031752282193368</v>
      </c>
      <c r="E220" s="92">
        <f t="shared" si="19"/>
        <v>111.50444431489592</v>
      </c>
      <c r="F220" s="92">
        <f t="shared" si="20"/>
        <v>0</v>
      </c>
      <c r="G220" s="92">
        <f t="shared" si="22"/>
        <v>126.53619659708929</v>
      </c>
      <c r="H220" s="92">
        <f t="shared" si="21"/>
        <v>126.47928092067505</v>
      </c>
      <c r="I220" s="91">
        <f t="shared" si="23"/>
        <v>7.4664763026800426E-4</v>
      </c>
      <c r="J220" s="115"/>
      <c r="K220" s="64"/>
      <c r="L220" s="119">
        <v>39136</v>
      </c>
      <c r="M220" s="117">
        <v>1.4250946809480163E-3</v>
      </c>
      <c r="N220" s="117">
        <v>6.5525747764421803E-4</v>
      </c>
      <c r="O220" s="117">
        <v>9.8768442872820671E-3</v>
      </c>
      <c r="P220" s="89">
        <v>1.5760855289080951E-3</v>
      </c>
      <c r="R220" s="71">
        <v>39136</v>
      </c>
      <c r="S220" s="99">
        <f>+I220-[1]Data!W218</f>
        <v>-2.2450621588584183E-4</v>
      </c>
    </row>
    <row r="221" spans="3:19">
      <c r="C221" s="71">
        <v>39143</v>
      </c>
      <c r="D221" s="118">
        <f t="shared" si="18"/>
        <v>14.358857858977041</v>
      </c>
      <c r="E221" s="92">
        <f t="shared" si="19"/>
        <v>112.57391801137945</v>
      </c>
      <c r="F221" s="92">
        <f t="shared" si="20"/>
        <v>0</v>
      </c>
      <c r="G221" s="92">
        <f t="shared" si="22"/>
        <v>126.93277587035649</v>
      </c>
      <c r="H221" s="92">
        <f t="shared" si="21"/>
        <v>126.87568181354048</v>
      </c>
      <c r="I221" s="91">
        <f t="shared" si="23"/>
        <v>3.1341172244175168E-3</v>
      </c>
      <c r="J221" s="115"/>
      <c r="K221" s="64"/>
      <c r="L221" s="119">
        <v>39143</v>
      </c>
      <c r="M221" s="117">
        <v>-4.4764869097359918E-2</v>
      </c>
      <c r="N221" s="117">
        <v>9.5913100419860904E-3</v>
      </c>
      <c r="O221" s="117">
        <v>-6.3309989535538985E-2</v>
      </c>
      <c r="P221" s="89">
        <v>-4.6552492853208838E-2</v>
      </c>
      <c r="R221" s="71">
        <v>39143</v>
      </c>
      <c r="S221" s="99">
        <f>+I221-[1]Data!W219</f>
        <v>2.1706556859559783E-3</v>
      </c>
    </row>
    <row r="222" spans="3:19">
      <c r="C222" s="71">
        <v>39150</v>
      </c>
      <c r="D222" s="118">
        <f t="shared" si="18"/>
        <v>14.507228686218381</v>
      </c>
      <c r="E222" s="92">
        <f t="shared" si="19"/>
        <v>112.22601692939082</v>
      </c>
      <c r="F222" s="92">
        <f t="shared" si="20"/>
        <v>0</v>
      </c>
      <c r="G222" s="92">
        <f t="shared" si="22"/>
        <v>126.73324561560921</v>
      </c>
      <c r="H222" s="92">
        <f t="shared" si="21"/>
        <v>126.67624130702113</v>
      </c>
      <c r="I222" s="91">
        <f t="shared" si="23"/>
        <v>-1.5719364315413442E-3</v>
      </c>
      <c r="J222" s="115"/>
      <c r="K222" s="64"/>
      <c r="L222" s="119">
        <v>39150</v>
      </c>
      <c r="M222" s="117">
        <v>1.0333052161845973E-2</v>
      </c>
      <c r="N222" s="117">
        <v>-3.0904235024799779E-3</v>
      </c>
      <c r="O222" s="117">
        <v>1.3363124650883056E-2</v>
      </c>
      <c r="P222" s="89">
        <v>1.0562799141772501E-2</v>
      </c>
      <c r="R222" s="71">
        <v>39150</v>
      </c>
      <c r="S222" s="99">
        <f>+I222-[1]Data!W220</f>
        <v>-2.5277056623105748E-3</v>
      </c>
    </row>
    <row r="223" spans="3:19">
      <c r="C223" s="71">
        <v>39157</v>
      </c>
      <c r="D223" s="118">
        <f t="shared" si="18"/>
        <v>14.35524382302712</v>
      </c>
      <c r="E223" s="92">
        <f t="shared" si="19"/>
        <v>112.72854071448548</v>
      </c>
      <c r="F223" s="92">
        <f t="shared" si="20"/>
        <v>0</v>
      </c>
      <c r="G223" s="92">
        <f t="shared" si="22"/>
        <v>127.0837845375126</v>
      </c>
      <c r="H223" s="92">
        <f t="shared" si="21"/>
        <v>127.02662255736186</v>
      </c>
      <c r="I223" s="91">
        <f t="shared" si="23"/>
        <v>2.7659586890609105E-3</v>
      </c>
      <c r="J223" s="115"/>
      <c r="K223" s="64"/>
      <c r="L223" s="119">
        <v>39157</v>
      </c>
      <c r="M223" s="117">
        <v>-1.0476491856480105E-2</v>
      </c>
      <c r="N223" s="117">
        <v>4.4777833059051588E-3</v>
      </c>
      <c r="O223" s="117">
        <v>-1.9335142469470837E-2</v>
      </c>
      <c r="P223" s="89">
        <v>-1.0207414666013392E-2</v>
      </c>
      <c r="R223" s="71">
        <v>39157</v>
      </c>
      <c r="S223" s="99">
        <f>+I223-[1]Data!W221</f>
        <v>1.8178817659839875E-3</v>
      </c>
    </row>
    <row r="224" spans="3:19">
      <c r="C224" s="71">
        <v>39164</v>
      </c>
      <c r="D224" s="118">
        <f t="shared" si="18"/>
        <v>14.913758892260818</v>
      </c>
      <c r="E224" s="92">
        <f t="shared" si="19"/>
        <v>112.50949188508524</v>
      </c>
      <c r="F224" s="92">
        <f t="shared" si="20"/>
        <v>0</v>
      </c>
      <c r="G224" s="92">
        <f t="shared" si="22"/>
        <v>127.42325077734606</v>
      </c>
      <c r="H224" s="92">
        <f t="shared" si="21"/>
        <v>127.36593610609839</v>
      </c>
      <c r="I224" s="91">
        <f t="shared" si="23"/>
        <v>2.6712002720792019E-3</v>
      </c>
      <c r="J224" s="115"/>
      <c r="K224" s="64"/>
      <c r="L224" s="119">
        <v>39164</v>
      </c>
      <c r="M224" s="117">
        <v>3.8906693339320959E-2</v>
      </c>
      <c r="N224" s="117">
        <v>-1.9431532423988072E-3</v>
      </c>
      <c r="O224" s="117">
        <v>3.8740920096852337E-2</v>
      </c>
      <c r="P224" s="89">
        <v>3.9490691087094063E-2</v>
      </c>
      <c r="R224" s="71">
        <v>39164</v>
      </c>
      <c r="S224" s="99">
        <f>+I224-[1]Data!W222</f>
        <v>1.7250464259253558E-3</v>
      </c>
    </row>
    <row r="225" spans="3:19">
      <c r="C225" s="71">
        <v>39171</v>
      </c>
      <c r="D225" s="118">
        <f t="shared" si="18"/>
        <v>14.790002580137857</v>
      </c>
      <c r="E225" s="92">
        <f t="shared" si="19"/>
        <v>112.36345933215175</v>
      </c>
      <c r="F225" s="92">
        <f t="shared" si="20"/>
        <v>0</v>
      </c>
      <c r="G225" s="92">
        <f t="shared" si="22"/>
        <v>127.1534619122896</v>
      </c>
      <c r="H225" s="92">
        <f t="shared" si="21"/>
        <v>127.09626859142355</v>
      </c>
      <c r="I225" s="91">
        <f t="shared" si="23"/>
        <v>-2.1172655964322965E-3</v>
      </c>
      <c r="J225" s="115"/>
      <c r="K225" s="64"/>
      <c r="L225" s="119">
        <v>39171</v>
      </c>
      <c r="M225" s="117">
        <v>-8.2981301372104955E-3</v>
      </c>
      <c r="N225" s="117">
        <v>-1.2979576255009544E-3</v>
      </c>
      <c r="O225" s="117">
        <v>-8.1168831168831872E-3</v>
      </c>
      <c r="P225" s="89">
        <v>-7.116590385989041E-3</v>
      </c>
      <c r="R225" s="71">
        <v>39171</v>
      </c>
      <c r="S225" s="99">
        <f>+I225-[1]Data!W223</f>
        <v>-3.0634194425861426E-3</v>
      </c>
    </row>
    <row r="226" spans="3:19">
      <c r="C226" s="71">
        <v>39178</v>
      </c>
      <c r="D226" s="118">
        <f t="shared" si="18"/>
        <v>15.06193436620757</v>
      </c>
      <c r="E226" s="92">
        <f t="shared" si="19"/>
        <v>112.40211500792824</v>
      </c>
      <c r="F226" s="92">
        <f t="shared" si="20"/>
        <v>0</v>
      </c>
      <c r="G226" s="92">
        <f t="shared" si="22"/>
        <v>127.46404937413581</v>
      </c>
      <c r="H226" s="92">
        <f t="shared" si="21"/>
        <v>127.40671635177762</v>
      </c>
      <c r="I226" s="91">
        <f t="shared" si="23"/>
        <v>2.4426189989264157E-3</v>
      </c>
      <c r="J226" s="115"/>
      <c r="K226" s="64"/>
      <c r="L226" s="119">
        <v>39178</v>
      </c>
      <c r="M226" s="117">
        <v>1.8386189224530714E-2</v>
      </c>
      <c r="N226" s="117">
        <v>3.4402354650042043E-4</v>
      </c>
      <c r="O226" s="117">
        <v>9.3583448738932314E-3</v>
      </c>
      <c r="P226" s="89">
        <v>1.8758326671995638E-2</v>
      </c>
      <c r="R226" s="71">
        <v>39178</v>
      </c>
      <c r="S226" s="99">
        <f>+I226-[1]Data!W224</f>
        <v>1.4983882296956464E-3</v>
      </c>
    </row>
    <row r="227" spans="3:19">
      <c r="C227" s="71">
        <v>39185</v>
      </c>
      <c r="D227" s="118">
        <f t="shared" si="18"/>
        <v>15.175629983659134</v>
      </c>
      <c r="E227" s="92">
        <f t="shared" si="19"/>
        <v>112.11004990206125</v>
      </c>
      <c r="F227" s="92">
        <f t="shared" si="20"/>
        <v>0</v>
      </c>
      <c r="G227" s="92">
        <f t="shared" si="22"/>
        <v>127.28567988572038</v>
      </c>
      <c r="H227" s="92">
        <f t="shared" si="21"/>
        <v>127.2284270935284</v>
      </c>
      <c r="I227" s="91">
        <f t="shared" si="23"/>
        <v>-1.3993709543298721E-3</v>
      </c>
      <c r="J227" s="115"/>
      <c r="K227" s="64"/>
      <c r="L227" s="119">
        <v>39185</v>
      </c>
      <c r="M227" s="117">
        <v>7.5485402264562716E-3</v>
      </c>
      <c r="N227" s="117">
        <v>-2.5983951089033506E-3</v>
      </c>
      <c r="O227" s="117">
        <v>-7.1511724596707085E-3</v>
      </c>
      <c r="P227" s="89">
        <v>8.5525971648272182E-3</v>
      </c>
      <c r="R227" s="71">
        <v>39185</v>
      </c>
      <c r="S227" s="99">
        <f>+I227-[1]Data!W225</f>
        <v>-2.3397555697144876E-3</v>
      </c>
    </row>
    <row r="228" spans="3:19">
      <c r="C228" s="71">
        <v>39192</v>
      </c>
      <c r="D228" s="118">
        <f t="shared" si="18"/>
        <v>15.463580739885252</v>
      </c>
      <c r="E228" s="92">
        <f t="shared" si="19"/>
        <v>112.78437669060709</v>
      </c>
      <c r="F228" s="92">
        <f t="shared" si="20"/>
        <v>0</v>
      </c>
      <c r="G228" s="92">
        <f t="shared" si="22"/>
        <v>128.24795743049233</v>
      </c>
      <c r="H228" s="92">
        <f t="shared" si="21"/>
        <v>128.19027180817878</v>
      </c>
      <c r="I228" s="91">
        <f t="shared" si="23"/>
        <v>7.5599827540374252E-3</v>
      </c>
      <c r="J228" s="115"/>
      <c r="K228" s="64"/>
      <c r="L228" s="119">
        <v>39192</v>
      </c>
      <c r="M228" s="117">
        <v>1.8974550416436038E-2</v>
      </c>
      <c r="N228" s="117">
        <v>6.0148647613209455E-3</v>
      </c>
      <c r="O228" s="117">
        <v>1.0636515912897788E-2</v>
      </c>
      <c r="P228" s="89">
        <v>1.8308653821218334E-2</v>
      </c>
      <c r="R228" s="71">
        <v>39192</v>
      </c>
      <c r="S228" s="99">
        <f>+I228-[1]Data!W226</f>
        <v>6.6253673694220408E-3</v>
      </c>
    </row>
    <row r="229" spans="3:19">
      <c r="C229" s="71">
        <v>39199</v>
      </c>
      <c r="D229" s="118">
        <f t="shared" si="18"/>
        <v>15.472860021378292</v>
      </c>
      <c r="E229" s="92">
        <f t="shared" si="19"/>
        <v>112.68558996362268</v>
      </c>
      <c r="F229" s="92">
        <f t="shared" si="20"/>
        <v>0</v>
      </c>
      <c r="G229" s="92">
        <f t="shared" si="22"/>
        <v>128.15844998500097</v>
      </c>
      <c r="H229" s="92">
        <f t="shared" si="21"/>
        <v>128.10080462292078</v>
      </c>
      <c r="I229" s="91">
        <f t="shared" si="23"/>
        <v>-6.9792492047975844E-4</v>
      </c>
      <c r="J229" s="115"/>
      <c r="K229" s="64"/>
      <c r="L229" s="119">
        <v>39199</v>
      </c>
      <c r="M229" s="117">
        <v>6.0007327210468949E-4</v>
      </c>
      <c r="N229" s="117">
        <v>-8.7589017098884715E-4</v>
      </c>
      <c r="O229" s="117">
        <v>-1.2430595839894396E-4</v>
      </c>
      <c r="P229" s="89">
        <v>2.2920009167997298E-4</v>
      </c>
      <c r="R229" s="71">
        <v>39199</v>
      </c>
      <c r="S229" s="99">
        <f>+I229-[1]Data!W227</f>
        <v>-1.6267710743259123E-3</v>
      </c>
    </row>
    <row r="230" spans="3:19">
      <c r="C230" s="71">
        <v>39206</v>
      </c>
      <c r="D230" s="118">
        <f t="shared" si="18"/>
        <v>15.603258345517327</v>
      </c>
      <c r="E230" s="92">
        <f t="shared" si="19"/>
        <v>112.89604864285037</v>
      </c>
      <c r="F230" s="92">
        <f t="shared" si="20"/>
        <v>0</v>
      </c>
      <c r="G230" s="92">
        <f t="shared" si="22"/>
        <v>128.49930698836769</v>
      </c>
      <c r="H230" s="92">
        <f t="shared" si="21"/>
        <v>128.44150830962849</v>
      </c>
      <c r="I230" s="91">
        <f t="shared" si="23"/>
        <v>2.6596529796250098E-3</v>
      </c>
      <c r="J230" s="115"/>
      <c r="K230" s="64"/>
      <c r="L230" s="119">
        <v>39206</v>
      </c>
      <c r="M230" s="117">
        <v>8.4275514648789757E-3</v>
      </c>
      <c r="N230" s="117">
        <v>1.8676627534685512E-3</v>
      </c>
      <c r="O230" s="117">
        <v>5.0557374331772365E-3</v>
      </c>
      <c r="P230" s="89">
        <v>9.3950504124656227E-3</v>
      </c>
      <c r="R230" s="71">
        <v>39206</v>
      </c>
      <c r="S230" s="99">
        <f>+I230-[1]Data!W228</f>
        <v>1.7423452873173177E-3</v>
      </c>
    </row>
    <row r="231" spans="3:19">
      <c r="C231" s="71">
        <v>39213</v>
      </c>
      <c r="D231" s="118">
        <f t="shared" si="18"/>
        <v>15.568094752491071</v>
      </c>
      <c r="E231" s="92">
        <f t="shared" si="19"/>
        <v>112.74572101483059</v>
      </c>
      <c r="F231" s="92">
        <f t="shared" si="20"/>
        <v>0</v>
      </c>
      <c r="G231" s="92">
        <f t="shared" si="22"/>
        <v>128.31381576732167</v>
      </c>
      <c r="H231" s="92">
        <f t="shared" si="21"/>
        <v>128.25610052208685</v>
      </c>
      <c r="I231" s="91">
        <f t="shared" si="23"/>
        <v>-1.4435192328532958E-3</v>
      </c>
      <c r="J231" s="115"/>
      <c r="K231" s="64"/>
      <c r="L231" s="119">
        <v>39213</v>
      </c>
      <c r="M231" s="117">
        <v>-2.2536057692308545E-3</v>
      </c>
      <c r="N231" s="117">
        <v>-1.3315579227697269E-3</v>
      </c>
      <c r="O231" s="117">
        <v>2.2677606893992965E-3</v>
      </c>
      <c r="P231" s="89">
        <v>-2.4467145920039615E-3</v>
      </c>
      <c r="R231" s="71">
        <v>39213</v>
      </c>
      <c r="S231" s="99">
        <f>+I231-[1]Data!W229</f>
        <v>-2.3569807713148343E-3</v>
      </c>
    </row>
    <row r="232" spans="3:19">
      <c r="C232" s="71">
        <v>39220</v>
      </c>
      <c r="D232" s="118">
        <f t="shared" si="18"/>
        <v>15.673390178275246</v>
      </c>
      <c r="E232" s="92">
        <f t="shared" si="19"/>
        <v>112.15300065292405</v>
      </c>
      <c r="F232" s="92">
        <f t="shared" si="20"/>
        <v>0</v>
      </c>
      <c r="G232" s="92">
        <f t="shared" si="22"/>
        <v>127.82639083119929</v>
      </c>
      <c r="H232" s="92">
        <f t="shared" si="21"/>
        <v>127.7688948285266</v>
      </c>
      <c r="I232" s="91">
        <f t="shared" si="23"/>
        <v>-3.798694109496605E-3</v>
      </c>
      <c r="J232" s="115"/>
      <c r="K232" s="64"/>
      <c r="L232" s="119">
        <v>39220</v>
      </c>
      <c r="M232" s="117">
        <v>6.7635396275661126E-3</v>
      </c>
      <c r="N232" s="117">
        <v>-5.2571428571428396E-3</v>
      </c>
      <c r="O232" s="117">
        <v>-3.3075530689485023E-2</v>
      </c>
      <c r="P232" s="89">
        <v>7.4592899767371001E-3</v>
      </c>
      <c r="R232" s="71">
        <v>39220</v>
      </c>
      <c r="S232" s="99">
        <f>+I232-[1]Data!W230</f>
        <v>-4.7006171864196816E-3</v>
      </c>
    </row>
    <row r="233" spans="3:19">
      <c r="C233" s="71">
        <v>39227</v>
      </c>
      <c r="D233" s="118">
        <f t="shared" si="18"/>
        <v>15.622402968387178</v>
      </c>
      <c r="E233" s="92">
        <f t="shared" si="19"/>
        <v>111.84805032179823</v>
      </c>
      <c r="F233" s="92">
        <f t="shared" si="20"/>
        <v>0</v>
      </c>
      <c r="G233" s="92">
        <f t="shared" si="22"/>
        <v>127.4704532901854</v>
      </c>
      <c r="H233" s="92">
        <f t="shared" si="21"/>
        <v>127.41311738736124</v>
      </c>
      <c r="I233" s="91">
        <f t="shared" si="23"/>
        <v>-2.7845387693368764E-3</v>
      </c>
      <c r="J233" s="115"/>
      <c r="K233" s="64"/>
      <c r="L233" s="119">
        <v>39227</v>
      </c>
      <c r="M233" s="117">
        <v>-3.2531066545349058E-3</v>
      </c>
      <c r="N233" s="117">
        <v>-2.719056372548941E-3</v>
      </c>
      <c r="O233" s="117">
        <v>-1.0508849557522119E-2</v>
      </c>
      <c r="P233" s="89">
        <v>-3.0369199106492469E-3</v>
      </c>
      <c r="R233" s="71">
        <v>39227</v>
      </c>
      <c r="S233" s="99">
        <f>+I233-[1]Data!W231</f>
        <v>-3.7018464616445684E-3</v>
      </c>
    </row>
    <row r="234" spans="3:19">
      <c r="C234" s="71">
        <v>39234</v>
      </c>
      <c r="D234" s="118">
        <f t="shared" si="18"/>
        <v>15.874604071703271</v>
      </c>
      <c r="E234" s="92">
        <f t="shared" si="19"/>
        <v>111.47867386437821</v>
      </c>
      <c r="F234" s="92">
        <f t="shared" si="20"/>
        <v>0</v>
      </c>
      <c r="G234" s="92">
        <f t="shared" si="22"/>
        <v>127.35327793608148</v>
      </c>
      <c r="H234" s="92">
        <f t="shared" si="21"/>
        <v>127.29599473844932</v>
      </c>
      <c r="I234" s="91">
        <f t="shared" si="23"/>
        <v>-9.1923540773153052E-4</v>
      </c>
      <c r="J234" s="115"/>
      <c r="K234" s="64"/>
      <c r="L234" s="119">
        <v>39234</v>
      </c>
      <c r="M234" s="117">
        <v>1.6143553832687216E-2</v>
      </c>
      <c r="N234" s="117">
        <v>-3.3024845436043682E-3</v>
      </c>
      <c r="O234" s="117">
        <v>4.1105903598916464E-2</v>
      </c>
      <c r="P234" s="89">
        <v>1.7043451991339765E-2</v>
      </c>
      <c r="R234" s="71">
        <v>39234</v>
      </c>
      <c r="S234" s="99">
        <f>+I234-[1]Data!W232</f>
        <v>-1.8192354077315304E-3</v>
      </c>
    </row>
    <row r="235" spans="3:19">
      <c r="C235" s="71">
        <v>39241</v>
      </c>
      <c r="D235" s="118">
        <f t="shared" si="18"/>
        <v>15.490832524480604</v>
      </c>
      <c r="E235" s="92">
        <f t="shared" si="19"/>
        <v>110.68838004850281</v>
      </c>
      <c r="F235" s="92">
        <f t="shared" si="20"/>
        <v>0</v>
      </c>
      <c r="G235" s="92">
        <f t="shared" si="22"/>
        <v>126.17921257298342</v>
      </c>
      <c r="H235" s="92">
        <f t="shared" si="21"/>
        <v>126.12245746712335</v>
      </c>
      <c r="I235" s="91">
        <f t="shared" si="23"/>
        <v>-9.218964616578831E-3</v>
      </c>
      <c r="J235" s="115"/>
      <c r="K235" s="64"/>
      <c r="L235" s="119">
        <v>39241</v>
      </c>
      <c r="M235" s="117">
        <v>-2.4175188589852428E-2</v>
      </c>
      <c r="N235" s="117">
        <v>-7.0891928337508446E-3</v>
      </c>
      <c r="O235" s="117">
        <v>-4.0887126750092949E-2</v>
      </c>
      <c r="P235" s="89">
        <v>-2.4159013836976141E-2</v>
      </c>
      <c r="R235" s="71">
        <v>39241</v>
      </c>
      <c r="S235" s="99">
        <f>+I235-[1]Data!W233</f>
        <v>-1.0117041539655754E-2</v>
      </c>
    </row>
    <row r="236" spans="3:19">
      <c r="C236" s="71">
        <v>39248</v>
      </c>
      <c r="D236" s="118">
        <f t="shared" si="18"/>
        <v>15.815998083326177</v>
      </c>
      <c r="E236" s="92">
        <f t="shared" si="19"/>
        <v>110.38772479246326</v>
      </c>
      <c r="F236" s="92">
        <f t="shared" si="20"/>
        <v>0</v>
      </c>
      <c r="G236" s="92">
        <f t="shared" si="22"/>
        <v>126.20372287578944</v>
      </c>
      <c r="H236" s="92">
        <f t="shared" si="21"/>
        <v>126.14695674525423</v>
      </c>
      <c r="I236" s="91">
        <f t="shared" si="23"/>
        <v>1.9424992680039995E-4</v>
      </c>
      <c r="J236" s="115"/>
      <c r="K236" s="64"/>
      <c r="L236" s="119">
        <v>39248</v>
      </c>
      <c r="M236" s="117">
        <v>2.0990838183274144E-2</v>
      </c>
      <c r="N236" s="117">
        <v>-2.7162314229171886E-3</v>
      </c>
      <c r="O236" s="117">
        <v>-5.4687163587821639E-3</v>
      </c>
      <c r="P236" s="89">
        <v>2.2880044643989503E-2</v>
      </c>
      <c r="R236" s="71">
        <v>39248</v>
      </c>
      <c r="S236" s="99">
        <f>+I236-[1]Data!W234</f>
        <v>-6.769039193534462E-4</v>
      </c>
    </row>
    <row r="237" spans="3:19">
      <c r="C237" s="71">
        <v>39255</v>
      </c>
      <c r="D237" s="118">
        <f t="shared" si="18"/>
        <v>15.609705004238807</v>
      </c>
      <c r="E237" s="92">
        <f t="shared" si="19"/>
        <v>110.6067736218635</v>
      </c>
      <c r="F237" s="92">
        <f t="shared" si="20"/>
        <v>0</v>
      </c>
      <c r="G237" s="92">
        <f t="shared" si="22"/>
        <v>126.2164786261023</v>
      </c>
      <c r="H237" s="92">
        <f t="shared" si="21"/>
        <v>126.15970675806135</v>
      </c>
      <c r="I237" s="91">
        <f t="shared" si="23"/>
        <v>1.0107269438822427E-4</v>
      </c>
      <c r="J237" s="115"/>
      <c r="K237" s="64"/>
      <c r="L237" s="119">
        <v>39255</v>
      </c>
      <c r="M237" s="117">
        <v>-1.3043317152703226E-2</v>
      </c>
      <c r="N237" s="117">
        <v>1.9843585852690202E-3</v>
      </c>
      <c r="O237" s="117">
        <v>-1.848804987876693E-2</v>
      </c>
      <c r="P237" s="89">
        <v>-1.0588964662120228E-2</v>
      </c>
      <c r="R237" s="71">
        <v>39255</v>
      </c>
      <c r="S237" s="99">
        <f>+I237-[1]Data!W235</f>
        <v>-7.7585038253485256E-4</v>
      </c>
    </row>
    <row r="238" spans="3:19">
      <c r="C238" s="71">
        <v>39262</v>
      </c>
      <c r="D238" s="118">
        <f t="shared" si="18"/>
        <v>15.651315255986542</v>
      </c>
      <c r="E238" s="92">
        <f t="shared" si="19"/>
        <v>111.30257578584074</v>
      </c>
      <c r="F238" s="92">
        <f t="shared" si="20"/>
        <v>0</v>
      </c>
      <c r="G238" s="92">
        <f t="shared" si="22"/>
        <v>126.95389104182729</v>
      </c>
      <c r="H238" s="92">
        <f t="shared" si="21"/>
        <v>126.89678748745811</v>
      </c>
      <c r="I238" s="91">
        <f t="shared" si="23"/>
        <v>5.8424416823532914E-3</v>
      </c>
      <c r="J238" s="115"/>
      <c r="K238" s="64"/>
      <c r="L238" s="119">
        <v>39262</v>
      </c>
      <c r="M238" s="117">
        <v>2.6656654777548285E-3</v>
      </c>
      <c r="N238" s="117">
        <v>6.2907735321528603E-3</v>
      </c>
      <c r="O238" s="117">
        <v>-1.3542723543164645E-2</v>
      </c>
      <c r="P238" s="89">
        <v>2.0301769512256311E-3</v>
      </c>
      <c r="R238" s="71">
        <v>39262</v>
      </c>
      <c r="S238" s="99">
        <f>+I238-[1]Data!W236</f>
        <v>4.944364759276368E-3</v>
      </c>
    </row>
    <row r="239" spans="3:19">
      <c r="C239" s="71">
        <v>39269</v>
      </c>
      <c r="D239" s="118">
        <f t="shared" si="18"/>
        <v>15.934675209789789</v>
      </c>
      <c r="E239" s="92">
        <f t="shared" si="19"/>
        <v>110.81293722600491</v>
      </c>
      <c r="F239" s="92">
        <f t="shared" si="20"/>
        <v>0</v>
      </c>
      <c r="G239" s="92">
        <f t="shared" si="22"/>
        <v>126.74761243579469</v>
      </c>
      <c r="H239" s="92">
        <f t="shared" si="21"/>
        <v>126.69060166504562</v>
      </c>
      <c r="I239" s="91">
        <f t="shared" si="23"/>
        <v>-1.6248309078184641E-3</v>
      </c>
      <c r="J239" s="115"/>
      <c r="K239" s="64"/>
      <c r="L239" s="119">
        <v>39269</v>
      </c>
      <c r="M239" s="117">
        <v>1.810454579495244E-2</v>
      </c>
      <c r="N239" s="117">
        <v>-4.3991664737207167E-3</v>
      </c>
      <c r="O239" s="117">
        <v>2.3387890170825463E-2</v>
      </c>
      <c r="P239" s="89">
        <v>2.0435728757597634E-2</v>
      </c>
      <c r="R239" s="71">
        <v>39269</v>
      </c>
      <c r="S239" s="99">
        <f>+I239-[1]Data!W237</f>
        <v>-2.549830907818464E-3</v>
      </c>
    </row>
    <row r="240" spans="3:19">
      <c r="C240" s="71">
        <v>39276</v>
      </c>
      <c r="D240" s="118">
        <f t="shared" si="18"/>
        <v>16.16353159440234</v>
      </c>
      <c r="E240" s="92">
        <f t="shared" si="19"/>
        <v>111.50444431489588</v>
      </c>
      <c r="F240" s="92">
        <f t="shared" si="20"/>
        <v>0</v>
      </c>
      <c r="G240" s="92">
        <f t="shared" si="22"/>
        <v>127.66797590929822</v>
      </c>
      <c r="H240" s="92">
        <f t="shared" si="21"/>
        <v>127.61055116127584</v>
      </c>
      <c r="I240" s="91">
        <f t="shared" si="23"/>
        <v>7.2613870653361508E-3</v>
      </c>
      <c r="J240" s="115"/>
      <c r="K240" s="64"/>
      <c r="L240" s="119">
        <v>39276</v>
      </c>
      <c r="M240" s="117">
        <v>1.4362161863954875E-2</v>
      </c>
      <c r="N240" s="117">
        <v>6.2403100775194325E-3</v>
      </c>
      <c r="O240" s="117">
        <v>-8.7393489185050744E-4</v>
      </c>
      <c r="P240" s="89">
        <v>1.6423178743014133E-2</v>
      </c>
      <c r="R240" s="71">
        <v>39276</v>
      </c>
      <c r="S240" s="99">
        <f>+I240-[1]Data!W238</f>
        <v>6.3344639884130739E-3</v>
      </c>
    </row>
    <row r="241" spans="3:19">
      <c r="C241" s="71">
        <v>39283</v>
      </c>
      <c r="D241" s="118">
        <f t="shared" si="18"/>
        <v>16.040459018810445</v>
      </c>
      <c r="E241" s="92">
        <f t="shared" si="19"/>
        <v>112.40641008301451</v>
      </c>
      <c r="F241" s="92">
        <f t="shared" si="20"/>
        <v>0</v>
      </c>
      <c r="G241" s="92">
        <f t="shared" si="22"/>
        <v>128.44686910182494</v>
      </c>
      <c r="H241" s="92">
        <f t="shared" si="21"/>
        <v>128.38909400952085</v>
      </c>
      <c r="I241" s="91">
        <f t="shared" si="23"/>
        <v>6.1009284981543392E-3</v>
      </c>
      <c r="J241" s="115"/>
      <c r="K241" s="64"/>
      <c r="L241" s="119">
        <v>39283</v>
      </c>
      <c r="M241" s="117">
        <v>-7.6142131979694888E-3</v>
      </c>
      <c r="N241" s="117">
        <v>8.0890566619158197E-3</v>
      </c>
      <c r="O241" s="117">
        <v>-1.55259129674175E-2</v>
      </c>
      <c r="P241" s="89">
        <v>-6.4631264168234373E-3</v>
      </c>
      <c r="R241" s="71">
        <v>39283</v>
      </c>
      <c r="S241" s="99">
        <f>+I241-[1]Data!W239</f>
        <v>5.172082344308185E-3</v>
      </c>
    </row>
    <row r="242" spans="3:19">
      <c r="C242" s="71">
        <v>39290</v>
      </c>
      <c r="D242" s="118">
        <f t="shared" si="18"/>
        <v>15.19428622329251</v>
      </c>
      <c r="E242" s="92">
        <f t="shared" si="19"/>
        <v>112.93899939371313</v>
      </c>
      <c r="F242" s="92">
        <f t="shared" si="20"/>
        <v>0</v>
      </c>
      <c r="G242" s="92">
        <f t="shared" si="22"/>
        <v>128.13328561700564</v>
      </c>
      <c r="H242" s="92">
        <f t="shared" si="21"/>
        <v>128.07565157379761</v>
      </c>
      <c r="I242" s="91">
        <f t="shared" si="23"/>
        <v>-2.4413478274096104E-3</v>
      </c>
      <c r="J242" s="115"/>
      <c r="K242" s="64"/>
      <c r="L242" s="119">
        <v>39290</v>
      </c>
      <c r="M242" s="117">
        <v>-5.275240530995013E-2</v>
      </c>
      <c r="N242" s="117">
        <v>4.7380688548393614E-3</v>
      </c>
      <c r="O242" s="117">
        <v>-7.1612616614837865E-2</v>
      </c>
      <c r="P242" s="89">
        <v>-5.3182193310354932E-2</v>
      </c>
      <c r="R242" s="71">
        <v>39290</v>
      </c>
      <c r="S242" s="99">
        <f>+I242-[1]Data!W240</f>
        <v>-3.3682709043326873E-3</v>
      </c>
    </row>
    <row r="243" spans="3:19">
      <c r="C243" s="71">
        <v>39297</v>
      </c>
      <c r="D243" s="118">
        <f t="shared" si="18"/>
        <v>15.063497192564297</v>
      </c>
      <c r="E243" s="92">
        <f t="shared" si="19"/>
        <v>113.49735915492944</v>
      </c>
      <c r="F243" s="92">
        <f t="shared" si="20"/>
        <v>0</v>
      </c>
      <c r="G243" s="92">
        <f t="shared" si="22"/>
        <v>128.56085634749374</v>
      </c>
      <c r="H243" s="92">
        <f t="shared" si="21"/>
        <v>128.50302998400113</v>
      </c>
      <c r="I243" s="91">
        <f t="shared" si="23"/>
        <v>3.3369216158721602E-3</v>
      </c>
      <c r="J243" s="115"/>
      <c r="K243" s="64"/>
      <c r="L243" s="119">
        <v>39297</v>
      </c>
      <c r="M243" s="117">
        <v>-8.6077772134972221E-3</v>
      </c>
      <c r="N243" s="117">
        <v>4.9439056854915821E-3</v>
      </c>
      <c r="O243" s="117">
        <v>2.2490190448846725E-3</v>
      </c>
      <c r="P243" s="89">
        <v>-8.2292921783269149E-3</v>
      </c>
      <c r="R243" s="71">
        <v>39297</v>
      </c>
      <c r="S243" s="99">
        <f>+I243-[1]Data!W241</f>
        <v>2.4196139235644681E-3</v>
      </c>
    </row>
    <row r="244" spans="3:19">
      <c r="C244" s="71">
        <v>39304</v>
      </c>
      <c r="D244" s="118">
        <f t="shared" si="18"/>
        <v>14.958397120074711</v>
      </c>
      <c r="E244" s="92">
        <f t="shared" si="19"/>
        <v>113.18811374871733</v>
      </c>
      <c r="F244" s="92">
        <f t="shared" si="20"/>
        <v>0</v>
      </c>
      <c r="G244" s="92">
        <f t="shared" si="22"/>
        <v>128.14651086879203</v>
      </c>
      <c r="H244" s="92">
        <f t="shared" si="21"/>
        <v>128.08887087689763</v>
      </c>
      <c r="I244" s="91">
        <f t="shared" si="23"/>
        <v>-3.2229520747881547E-3</v>
      </c>
      <c r="J244" s="115"/>
      <c r="K244" s="64"/>
      <c r="L244" s="119">
        <v>39304</v>
      </c>
      <c r="M244" s="117">
        <v>-6.9771362616555723E-3</v>
      </c>
      <c r="N244" s="117">
        <v>-2.7246925260171325E-3</v>
      </c>
      <c r="O244" s="117">
        <v>1.0217235617092455E-2</v>
      </c>
      <c r="P244" s="89">
        <v>-9.5900325699220298E-3</v>
      </c>
      <c r="R244" s="71">
        <v>39304</v>
      </c>
      <c r="S244" s="99">
        <f>+I244-[1]Data!W242</f>
        <v>-4.1248751517112313E-3</v>
      </c>
    </row>
    <row r="245" spans="3:19">
      <c r="C245" s="71">
        <v>39311</v>
      </c>
      <c r="D245" s="118">
        <f t="shared" si="18"/>
        <v>14.634306004349384</v>
      </c>
      <c r="E245" s="92">
        <f t="shared" si="19"/>
        <v>113.88391591269458</v>
      </c>
      <c r="F245" s="92">
        <f t="shared" si="20"/>
        <v>0</v>
      </c>
      <c r="G245" s="92">
        <f t="shared" si="22"/>
        <v>128.51822191704395</v>
      </c>
      <c r="H245" s="92">
        <f t="shared" si="21"/>
        <v>128.46041473041547</v>
      </c>
      <c r="I245" s="91">
        <f t="shared" si="23"/>
        <v>2.9006724079480308E-3</v>
      </c>
      <c r="J245" s="115"/>
      <c r="K245" s="64"/>
      <c r="L245" s="119">
        <v>39311</v>
      </c>
      <c r="M245" s="117">
        <v>-2.1666166041974157E-2</v>
      </c>
      <c r="N245" s="117">
        <v>6.1473077069024579E-3</v>
      </c>
      <c r="O245" s="117">
        <v>-5.1183893378704153E-2</v>
      </c>
      <c r="P245" s="89">
        <v>-2.7378311366305502E-2</v>
      </c>
      <c r="R245" s="71">
        <v>39311</v>
      </c>
      <c r="S245" s="99">
        <f>+I245-[1]Data!W243</f>
        <v>2.1102877925634153E-3</v>
      </c>
    </row>
    <row r="246" spans="3:19">
      <c r="C246" s="71">
        <v>39318</v>
      </c>
      <c r="D246" s="118">
        <f t="shared" si="18"/>
        <v>15.165569288987736</v>
      </c>
      <c r="E246" s="92">
        <f t="shared" si="19"/>
        <v>114.00417801511041</v>
      </c>
      <c r="F246" s="92">
        <f t="shared" si="20"/>
        <v>0</v>
      </c>
      <c r="G246" s="92">
        <f t="shared" si="22"/>
        <v>129.16974730409814</v>
      </c>
      <c r="H246" s="92">
        <f t="shared" si="21"/>
        <v>129.11164706292004</v>
      </c>
      <c r="I246" s="91">
        <f t="shared" si="23"/>
        <v>5.0695175931919616E-3</v>
      </c>
      <c r="J246" s="115"/>
      <c r="K246" s="64"/>
      <c r="L246" s="119">
        <v>39318</v>
      </c>
      <c r="M246" s="117">
        <v>3.6302595044852691E-2</v>
      </c>
      <c r="N246" s="117">
        <v>1.0560060343203076E-3</v>
      </c>
      <c r="O246" s="117">
        <v>6.5700338712891007E-2</v>
      </c>
      <c r="P246" s="89">
        <v>4.0680513068212222E-2</v>
      </c>
      <c r="R246" s="71">
        <v>39318</v>
      </c>
      <c r="S246" s="99">
        <f>+I246-[1]Data!W244</f>
        <v>4.3733637470381153E-3</v>
      </c>
    </row>
    <row r="247" spans="3:19">
      <c r="C247" s="71">
        <v>39325</v>
      </c>
      <c r="D247" s="118">
        <f t="shared" si="18"/>
        <v>15.253087564964195</v>
      </c>
      <c r="E247" s="92">
        <f t="shared" si="19"/>
        <v>114.43368552373833</v>
      </c>
      <c r="F247" s="92">
        <f t="shared" si="20"/>
        <v>0</v>
      </c>
      <c r="G247" s="92">
        <f t="shared" si="22"/>
        <v>129.68677308870252</v>
      </c>
      <c r="H247" s="92">
        <f t="shared" si="21"/>
        <v>129.62844029057197</v>
      </c>
      <c r="I247" s="91">
        <f t="shared" si="23"/>
        <v>4.0026848034870307E-3</v>
      </c>
      <c r="J247" s="115"/>
      <c r="K247" s="64"/>
      <c r="L247" s="119">
        <v>39325</v>
      </c>
      <c r="M247" s="117">
        <v>5.7708533262913952E-3</v>
      </c>
      <c r="N247" s="117">
        <v>3.7674716497758352E-3</v>
      </c>
      <c r="O247" s="117">
        <v>9.9555971021267776E-3</v>
      </c>
      <c r="P247" s="89">
        <v>9.4631530091279868E-3</v>
      </c>
      <c r="R247" s="71">
        <v>39325</v>
      </c>
      <c r="S247" s="99">
        <f>+I247-[1]Data!W245</f>
        <v>3.2219155727177999E-3</v>
      </c>
    </row>
    <row r="248" spans="3:19">
      <c r="C248" s="71">
        <v>39332</v>
      </c>
      <c r="D248" s="118">
        <f t="shared" si="18"/>
        <v>15.067990318339877</v>
      </c>
      <c r="E248" s="92">
        <f t="shared" si="19"/>
        <v>115.83388000186537</v>
      </c>
      <c r="F248" s="92">
        <f t="shared" si="20"/>
        <v>0</v>
      </c>
      <c r="G248" s="92">
        <f t="shared" si="22"/>
        <v>130.90187032020523</v>
      </c>
      <c r="H248" s="92">
        <f t="shared" si="21"/>
        <v>130.84299097426702</v>
      </c>
      <c r="I248" s="91">
        <f t="shared" si="23"/>
        <v>9.3694769525309741E-3</v>
      </c>
      <c r="J248" s="115"/>
      <c r="K248" s="64"/>
      <c r="L248" s="119">
        <v>39332</v>
      </c>
      <c r="M248" s="117">
        <v>-1.2135067463290504E-2</v>
      </c>
      <c r="N248" s="117">
        <v>1.2235859325151036E-2</v>
      </c>
      <c r="O248" s="117">
        <v>-2.2167715660866439E-2</v>
      </c>
      <c r="P248" s="89">
        <v>-1.0804873687705991E-2</v>
      </c>
      <c r="R248" s="71">
        <v>39332</v>
      </c>
      <c r="S248" s="99">
        <f>+I248-[1]Data!W246</f>
        <v>8.5656307986848208E-3</v>
      </c>
    </row>
    <row r="249" spans="3:19">
      <c r="C249" s="71">
        <v>39339</v>
      </c>
      <c r="D249" s="118">
        <f t="shared" si="18"/>
        <v>15.301242152080707</v>
      </c>
      <c r="E249" s="92">
        <f t="shared" si="19"/>
        <v>115.29270054099419</v>
      </c>
      <c r="F249" s="92">
        <f t="shared" si="20"/>
        <v>0</v>
      </c>
      <c r="G249" s="92">
        <f t="shared" si="22"/>
        <v>130.59394269307489</v>
      </c>
      <c r="H249" s="92">
        <f t="shared" si="21"/>
        <v>130.53520185224158</v>
      </c>
      <c r="I249" s="91">
        <f t="shared" si="23"/>
        <v>-2.3523546789447295E-3</v>
      </c>
      <c r="J249" s="115"/>
      <c r="K249" s="64"/>
      <c r="L249" s="119">
        <v>39339</v>
      </c>
      <c r="M249" s="117">
        <v>1.5479956438313463E-2</v>
      </c>
      <c r="N249" s="117">
        <v>-4.6720308502354218E-3</v>
      </c>
      <c r="O249" s="117">
        <v>2.9438212882767757E-2</v>
      </c>
      <c r="P249" s="89">
        <v>1.5700046480400725E-2</v>
      </c>
      <c r="R249" s="71">
        <v>39339</v>
      </c>
      <c r="S249" s="99">
        <f>+I249-[1]Data!W247</f>
        <v>-3.1081239097139604E-3</v>
      </c>
    </row>
    <row r="250" spans="3:19">
      <c r="C250" s="71">
        <v>39346</v>
      </c>
      <c r="D250" s="118">
        <f t="shared" si="18"/>
        <v>15.76608531655835</v>
      </c>
      <c r="E250" s="92">
        <f t="shared" si="19"/>
        <v>115.21968426452743</v>
      </c>
      <c r="F250" s="92">
        <f t="shared" si="20"/>
        <v>0</v>
      </c>
      <c r="G250" s="92">
        <f t="shared" si="22"/>
        <v>130.98576958108578</v>
      </c>
      <c r="H250" s="92">
        <f t="shared" si="21"/>
        <v>130.92685249746214</v>
      </c>
      <c r="I250" s="91">
        <f t="shared" si="23"/>
        <v>3.000345038450833E-3</v>
      </c>
      <c r="J250" s="115"/>
      <c r="K250" s="64"/>
      <c r="L250" s="119">
        <v>39346</v>
      </c>
      <c r="M250" s="117">
        <v>3.0379439777340804E-2</v>
      </c>
      <c r="N250" s="117">
        <v>-6.3331222292596179E-4</v>
      </c>
      <c r="O250" s="117">
        <v>2.3079398648338054E-2</v>
      </c>
      <c r="P250" s="89">
        <v>3.2135048558499121E-2</v>
      </c>
      <c r="R250" s="71">
        <v>39346</v>
      </c>
      <c r="S250" s="99">
        <f>+I250-[1]Data!W248</f>
        <v>2.2657296538354486E-3</v>
      </c>
    </row>
    <row r="251" spans="3:19">
      <c r="C251" s="71">
        <v>39353</v>
      </c>
      <c r="D251" s="118">
        <f t="shared" si="18"/>
        <v>15.956261748842019</v>
      </c>
      <c r="E251" s="92">
        <f t="shared" si="19"/>
        <v>115.86394552746933</v>
      </c>
      <c r="F251" s="92">
        <f t="shared" si="20"/>
        <v>0</v>
      </c>
      <c r="G251" s="92">
        <f t="shared" si="22"/>
        <v>131.82020727631135</v>
      </c>
      <c r="H251" s="92">
        <f t="shared" si="21"/>
        <v>131.76091486462246</v>
      </c>
      <c r="I251" s="91">
        <f t="shared" si="23"/>
        <v>6.3704454147516876E-3</v>
      </c>
      <c r="J251" s="115"/>
      <c r="K251" s="64"/>
      <c r="L251" s="119">
        <v>39353</v>
      </c>
      <c r="M251" s="117">
        <v>1.2062374931076586E-2</v>
      </c>
      <c r="N251" s="117">
        <v>5.5915902482666074E-3</v>
      </c>
      <c r="O251" s="117">
        <v>3.433244955736299E-2</v>
      </c>
      <c r="P251" s="89">
        <v>1.4631262623774564E-2</v>
      </c>
      <c r="R251" s="71">
        <v>39353</v>
      </c>
      <c r="S251" s="99">
        <f>+I251-[1]Data!W249</f>
        <v>5.6608300301363027E-3</v>
      </c>
    </row>
    <row r="252" spans="3:19">
      <c r="C252" s="71">
        <v>39360</v>
      </c>
      <c r="D252" s="118">
        <f t="shared" si="18"/>
        <v>16.250854517084207</v>
      </c>
      <c r="E252" s="92">
        <f t="shared" si="19"/>
        <v>115.53751982091211</v>
      </c>
      <c r="F252" s="92">
        <f t="shared" si="20"/>
        <v>0</v>
      </c>
      <c r="G252" s="92">
        <f t="shared" si="22"/>
        <v>131.78837433799632</v>
      </c>
      <c r="H252" s="92">
        <f t="shared" si="21"/>
        <v>131.72909624468642</v>
      </c>
      <c r="I252" s="91">
        <f t="shared" si="23"/>
        <v>-2.4148754559528396E-4</v>
      </c>
      <c r="J252" s="115"/>
      <c r="K252" s="64"/>
      <c r="L252" s="119">
        <v>39360</v>
      </c>
      <c r="M252" s="117">
        <v>1.8462517905459226E-2</v>
      </c>
      <c r="N252" s="117">
        <v>-2.8173190984578547E-3</v>
      </c>
      <c r="O252" s="117">
        <v>2.5676673762871031E-2</v>
      </c>
      <c r="P252" s="89">
        <v>2.0052437366478906E-2</v>
      </c>
      <c r="R252" s="71">
        <v>39360</v>
      </c>
      <c r="S252" s="99">
        <f>+I252-[1]Data!W250</f>
        <v>-9.8379523790297616E-4</v>
      </c>
    </row>
    <row r="253" spans="3:19">
      <c r="C253" s="71">
        <v>39367</v>
      </c>
      <c r="D253" s="118">
        <f t="shared" si="18"/>
        <v>16.363671044710113</v>
      </c>
      <c r="E253" s="92">
        <f t="shared" si="19"/>
        <v>115.40866756832372</v>
      </c>
      <c r="F253" s="92">
        <f t="shared" si="20"/>
        <v>0</v>
      </c>
      <c r="G253" s="92">
        <f t="shared" si="22"/>
        <v>131.77233861303384</v>
      </c>
      <c r="H253" s="92">
        <f t="shared" si="21"/>
        <v>131.71306773255438</v>
      </c>
      <c r="I253" s="91">
        <f t="shared" si="23"/>
        <v>-1.2167784179028733E-4</v>
      </c>
      <c r="J253" s="115"/>
      <c r="K253" s="64"/>
      <c r="L253" s="119">
        <v>39367</v>
      </c>
      <c r="M253" s="117">
        <v>6.9421904864942563E-3</v>
      </c>
      <c r="N253" s="117">
        <v>-1.1152416356877747E-3</v>
      </c>
      <c r="O253" s="117">
        <v>-2.6685869196883421E-3</v>
      </c>
      <c r="P253" s="89">
        <v>8.8057499167023389E-3</v>
      </c>
      <c r="R253" s="71">
        <v>39367</v>
      </c>
      <c r="S253" s="99">
        <f>+I253-[1]Data!W251</f>
        <v>-8.909086110210566E-4</v>
      </c>
    </row>
    <row r="254" spans="3:19">
      <c r="C254" s="71">
        <v>39374</v>
      </c>
      <c r="D254" s="118">
        <f t="shared" si="18"/>
        <v>15.896092934108204</v>
      </c>
      <c r="E254" s="92">
        <f t="shared" si="19"/>
        <v>117.12669760283542</v>
      </c>
      <c r="F254" s="92">
        <f t="shared" si="20"/>
        <v>0</v>
      </c>
      <c r="G254" s="92">
        <f t="shared" si="22"/>
        <v>133.02279053694363</v>
      </c>
      <c r="H254" s="92">
        <f t="shared" si="21"/>
        <v>132.96295720620103</v>
      </c>
      <c r="I254" s="91">
        <f t="shared" si="23"/>
        <v>9.4894872252506389E-3</v>
      </c>
      <c r="J254" s="115"/>
      <c r="K254" s="64"/>
      <c r="L254" s="119">
        <v>39374</v>
      </c>
      <c r="M254" s="117">
        <v>-2.8574157310077595E-2</v>
      </c>
      <c r="N254" s="117">
        <v>1.48864905098623E-2</v>
      </c>
      <c r="O254" s="117">
        <v>-4.7398598428541078E-2</v>
      </c>
      <c r="P254" s="89">
        <v>-2.6634896668868598E-2</v>
      </c>
      <c r="R254" s="71">
        <v>39374</v>
      </c>
      <c r="S254" s="99">
        <f>+I254-[1]Data!W252</f>
        <v>8.7337179944814089E-3</v>
      </c>
    </row>
    <row r="255" spans="3:19">
      <c r="C255" s="71">
        <v>39381</v>
      </c>
      <c r="D255" s="118">
        <f t="shared" si="18"/>
        <v>16.204067403029828</v>
      </c>
      <c r="E255" s="92">
        <f t="shared" si="19"/>
        <v>117.4874839100829</v>
      </c>
      <c r="F255" s="92">
        <f t="shared" si="20"/>
        <v>0</v>
      </c>
      <c r="G255" s="92">
        <f t="shared" si="22"/>
        <v>133.69155131311274</v>
      </c>
      <c r="H255" s="92">
        <f t="shared" si="21"/>
        <v>133.631417175384</v>
      </c>
      <c r="I255" s="91">
        <f t="shared" si="23"/>
        <v>5.0274150276781067E-3</v>
      </c>
      <c r="J255" s="115"/>
      <c r="K255" s="64"/>
      <c r="L255" s="119">
        <v>39381</v>
      </c>
      <c r="M255" s="117">
        <v>1.9374224232220308E-2</v>
      </c>
      <c r="N255" s="117">
        <v>3.0803080308031972E-3</v>
      </c>
      <c r="O255" s="117">
        <v>3.5935619064603873E-2</v>
      </c>
      <c r="P255" s="89">
        <v>2.1401391211614537E-2</v>
      </c>
      <c r="R255" s="71">
        <v>39381</v>
      </c>
      <c r="S255" s="99">
        <f>+I255-[1]Data!W253</f>
        <v>4.2870304122934917E-3</v>
      </c>
    </row>
    <row r="256" spans="3:19">
      <c r="C256" s="71">
        <v>39388</v>
      </c>
      <c r="D256" s="118">
        <f t="shared" si="18"/>
        <v>16.088027546043183</v>
      </c>
      <c r="E256" s="92">
        <f t="shared" si="19"/>
        <v>117.95564709448732</v>
      </c>
      <c r="F256" s="92">
        <f t="shared" si="20"/>
        <v>0</v>
      </c>
      <c r="G256" s="92">
        <f t="shared" si="22"/>
        <v>134.0436746405305</v>
      </c>
      <c r="H256" s="92">
        <f t="shared" si="21"/>
        <v>133.98338211857734</v>
      </c>
      <c r="I256" s="91">
        <f t="shared" si="23"/>
        <v>2.6338487657539579E-3</v>
      </c>
      <c r="J256" s="115"/>
      <c r="K256" s="64"/>
      <c r="L256" s="119">
        <v>39388</v>
      </c>
      <c r="M256" s="117">
        <v>-7.1611561529884016E-3</v>
      </c>
      <c r="N256" s="117">
        <v>3.9847919865466652E-3</v>
      </c>
      <c r="O256" s="117">
        <v>-2.2509145685388379E-2</v>
      </c>
      <c r="P256" s="89">
        <v>-6.4780978596175268E-3</v>
      </c>
      <c r="R256" s="71">
        <v>39388</v>
      </c>
      <c r="S256" s="99">
        <f>+I256-[1]Data!W254</f>
        <v>1.908848765753958E-3</v>
      </c>
    </row>
    <row r="257" spans="3:19">
      <c r="C257" s="71">
        <v>39395</v>
      </c>
      <c r="D257" s="118">
        <f t="shared" si="18"/>
        <v>15.609509650944215</v>
      </c>
      <c r="E257" s="92">
        <f t="shared" si="19"/>
        <v>118.68580985915479</v>
      </c>
      <c r="F257" s="92">
        <f t="shared" si="20"/>
        <v>0</v>
      </c>
      <c r="G257" s="92">
        <f t="shared" si="22"/>
        <v>134.29531951009901</v>
      </c>
      <c r="H257" s="92">
        <f t="shared" si="21"/>
        <v>134.23491379888969</v>
      </c>
      <c r="I257" s="91">
        <f t="shared" si="23"/>
        <v>1.8773349077704619E-3</v>
      </c>
      <c r="J257" s="115"/>
      <c r="K257" s="64"/>
      <c r="L257" s="119">
        <v>39395</v>
      </c>
      <c r="M257" s="117">
        <v>-2.9743726738997136E-2</v>
      </c>
      <c r="N257" s="117">
        <v>6.190146742890393E-3</v>
      </c>
      <c r="O257" s="117">
        <v>-3.667664670658688E-2</v>
      </c>
      <c r="P257" s="89">
        <v>-2.9162387446559457E-2</v>
      </c>
      <c r="R257" s="71">
        <v>39395</v>
      </c>
      <c r="S257" s="99">
        <f>+I257-[1]Data!W255</f>
        <v>1.2177195231550773E-3</v>
      </c>
    </row>
    <row r="258" spans="3:19">
      <c r="C258" s="71">
        <v>39402</v>
      </c>
      <c r="D258" s="118">
        <f t="shared" si="18"/>
        <v>15.443654703837041</v>
      </c>
      <c r="E258" s="92">
        <f t="shared" si="19"/>
        <v>118.84472763734713</v>
      </c>
      <c r="F258" s="92">
        <f t="shared" si="20"/>
        <v>0</v>
      </c>
      <c r="G258" s="92">
        <f t="shared" si="22"/>
        <v>134.28838234118416</v>
      </c>
      <c r="H258" s="92">
        <f t="shared" si="21"/>
        <v>134.22797975029673</v>
      </c>
      <c r="I258" s="91">
        <f t="shared" si="23"/>
        <v>-5.1656073645309375E-5</v>
      </c>
      <c r="J258" s="115"/>
      <c r="K258" s="64"/>
      <c r="L258" s="119">
        <v>39402</v>
      </c>
      <c r="M258" s="117">
        <v>-1.0625250300360444E-2</v>
      </c>
      <c r="N258" s="117">
        <v>1.3389787572829753E-3</v>
      </c>
      <c r="O258" s="117">
        <v>-2.8291969468440047E-2</v>
      </c>
      <c r="P258" s="89">
        <v>-1.225152529029723E-2</v>
      </c>
      <c r="R258" s="71">
        <v>39402</v>
      </c>
      <c r="S258" s="99">
        <f>+I258-[1]Data!W256</f>
        <v>-6.9011761210684781E-4</v>
      </c>
    </row>
    <row r="259" spans="3:19">
      <c r="C259" s="71">
        <v>39409</v>
      </c>
      <c r="D259" s="118">
        <f t="shared" si="18"/>
        <v>15.304953864677922</v>
      </c>
      <c r="E259" s="92">
        <f t="shared" si="19"/>
        <v>119.85407028262276</v>
      </c>
      <c r="F259" s="92">
        <f t="shared" si="20"/>
        <v>0</v>
      </c>
      <c r="G259" s="92">
        <f t="shared" si="22"/>
        <v>135.15902414730067</v>
      </c>
      <c r="H259" s="92">
        <f t="shared" si="21"/>
        <v>135.09822994382614</v>
      </c>
      <c r="I259" s="91">
        <f t="shared" si="23"/>
        <v>6.4833739966014157E-3</v>
      </c>
      <c r="J259" s="115"/>
      <c r="K259" s="64"/>
      <c r="L259" s="119">
        <v>39409</v>
      </c>
      <c r="M259" s="117">
        <v>-8.9810891151728672E-3</v>
      </c>
      <c r="N259" s="117">
        <v>8.4929526563065523E-3</v>
      </c>
      <c r="O259" s="117">
        <v>-1.4581373471307594E-2</v>
      </c>
      <c r="P259" s="89">
        <v>-1.3300124533001183E-2</v>
      </c>
      <c r="R259" s="71">
        <v>39409</v>
      </c>
      <c r="S259" s="99">
        <f>+I259-[1]Data!W257</f>
        <v>5.8737586119860311E-3</v>
      </c>
    </row>
    <row r="260" spans="3:19">
      <c r="C260" s="71">
        <v>39416</v>
      </c>
      <c r="D260" s="118">
        <f t="shared" si="18"/>
        <v>15.735121819365785</v>
      </c>
      <c r="E260" s="92">
        <f t="shared" si="19"/>
        <v>119.47610367503019</v>
      </c>
      <c r="F260" s="92">
        <f t="shared" si="20"/>
        <v>0</v>
      </c>
      <c r="G260" s="92">
        <f t="shared" si="22"/>
        <v>135.21122549439596</v>
      </c>
      <c r="H260" s="92">
        <f t="shared" si="21"/>
        <v>135.15040781088123</v>
      </c>
      <c r="I260" s="91">
        <f t="shared" si="23"/>
        <v>3.8622169274007913E-4</v>
      </c>
      <c r="J260" s="115"/>
      <c r="K260" s="64"/>
      <c r="L260" s="119">
        <v>39416</v>
      </c>
      <c r="M260" s="117">
        <v>2.8106452230518834E-2</v>
      </c>
      <c r="N260" s="117">
        <v>-3.1535567102669608E-3</v>
      </c>
      <c r="O260" s="117">
        <v>4.6491646778043003E-2</v>
      </c>
      <c r="P260" s="89">
        <v>3.0139337641357018E-2</v>
      </c>
      <c r="R260" s="71">
        <v>39416</v>
      </c>
      <c r="S260" s="99">
        <f>+I260-[1]Data!W258</f>
        <v>-1.9454753802915171E-4</v>
      </c>
    </row>
    <row r="261" spans="3:19">
      <c r="C261" s="71">
        <v>39423</v>
      </c>
      <c r="D261" s="118">
        <f t="shared" ref="D261:D324" si="24">+D260*(1+M261)</f>
        <v>15.921781892346827</v>
      </c>
      <c r="E261" s="92">
        <f t="shared" ref="E261:E324" si="25">+E260*(1+N261)</f>
        <v>118.50971178061735</v>
      </c>
      <c r="F261" s="92">
        <f t="shared" ref="F261:F324" si="26">+F260*(1+O261)</f>
        <v>0</v>
      </c>
      <c r="G261" s="92">
        <f t="shared" si="22"/>
        <v>134.43149367296417</v>
      </c>
      <c r="H261" s="92">
        <f t="shared" ref="H261:H324" si="27">+H260*(1+(((D260/G260)*M261)+((E260/G260)*N261)+((F260/G260)*O261)))</f>
        <v>134.37102671094442</v>
      </c>
      <c r="I261" s="91">
        <f t="shared" si="23"/>
        <v>-5.7667683920526345E-3</v>
      </c>
      <c r="J261" s="115"/>
      <c r="K261" s="64"/>
      <c r="L261" s="119">
        <v>39423</v>
      </c>
      <c r="M261" s="117">
        <v>1.1862639204439581E-2</v>
      </c>
      <c r="N261" s="117">
        <v>-8.0885789265557027E-3</v>
      </c>
      <c r="O261" s="117">
        <v>1.5325670498084223E-2</v>
      </c>
      <c r="P261" s="89">
        <v>1.4187699093359381E-2</v>
      </c>
      <c r="R261" s="71">
        <v>39423</v>
      </c>
      <c r="S261" s="99">
        <f>+I261-[1]Data!W259</f>
        <v>-6.3456145458987883E-3</v>
      </c>
    </row>
    <row r="262" spans="3:19">
      <c r="C262" s="71">
        <v>39430</v>
      </c>
      <c r="D262" s="118">
        <f t="shared" si="24"/>
        <v>15.453617721861145</v>
      </c>
      <c r="E262" s="92">
        <f t="shared" si="25"/>
        <v>117.85686036750289</v>
      </c>
      <c r="F262" s="92">
        <f t="shared" si="26"/>
        <v>0</v>
      </c>
      <c r="G262" s="92">
        <f t="shared" ref="G262:G325" si="28">+SUM(D262:F262)</f>
        <v>133.31047808936404</v>
      </c>
      <c r="H262" s="92">
        <f t="shared" si="27"/>
        <v>133.25051535745334</v>
      </c>
      <c r="I262" s="91">
        <f t="shared" si="23"/>
        <v>-8.3389357134369315E-3</v>
      </c>
      <c r="J262" s="115"/>
      <c r="K262" s="64"/>
      <c r="L262" s="119">
        <v>39430</v>
      </c>
      <c r="M262" s="117">
        <v>-2.9404006012085558E-2</v>
      </c>
      <c r="N262" s="117">
        <v>-5.5088431429401227E-3</v>
      </c>
      <c r="O262" s="117">
        <v>-6.5498652291105047E-2</v>
      </c>
      <c r="P262" s="89">
        <v>-3.1191862572180939E-2</v>
      </c>
      <c r="R262" s="71">
        <v>39430</v>
      </c>
      <c r="S262" s="99">
        <f>+I262-[1]Data!W260</f>
        <v>-8.8870126365138552E-3</v>
      </c>
    </row>
    <row r="263" spans="3:19">
      <c r="C263" s="71">
        <v>39437</v>
      </c>
      <c r="D263" s="118">
        <f t="shared" si="24"/>
        <v>15.438282488235807</v>
      </c>
      <c r="E263" s="92">
        <f t="shared" si="25"/>
        <v>118.93062913907272</v>
      </c>
      <c r="F263" s="92">
        <f t="shared" si="26"/>
        <v>0</v>
      </c>
      <c r="G263" s="92">
        <f t="shared" si="28"/>
        <v>134.36891162730853</v>
      </c>
      <c r="H263" s="92">
        <f t="shared" si="27"/>
        <v>134.30847281454211</v>
      </c>
      <c r="I263" s="91">
        <f t="shared" ref="I263:I326" si="29">+(H263-H262)/H262</f>
        <v>7.9396124979384496E-3</v>
      </c>
      <c r="J263" s="115"/>
      <c r="K263" s="64"/>
      <c r="L263" s="119">
        <v>39437</v>
      </c>
      <c r="M263" s="117">
        <v>-9.9233939271353407E-4</v>
      </c>
      <c r="N263" s="117">
        <v>9.1107871720116623E-3</v>
      </c>
      <c r="O263" s="117">
        <v>-1.7402172867993483E-2</v>
      </c>
      <c r="P263" s="89">
        <v>-1.6709062796149831E-3</v>
      </c>
      <c r="R263" s="71">
        <v>39437</v>
      </c>
      <c r="S263" s="99">
        <f>+I263-[1]Data!W261</f>
        <v>7.3780740363999881E-3</v>
      </c>
    </row>
    <row r="264" spans="3:19">
      <c r="C264" s="71">
        <v>39444</v>
      </c>
      <c r="D264" s="118">
        <f t="shared" si="24"/>
        <v>15.57737403398411</v>
      </c>
      <c r="E264" s="92">
        <f t="shared" si="25"/>
        <v>118.80177688648436</v>
      </c>
      <c r="F264" s="92">
        <f t="shared" si="26"/>
        <v>0</v>
      </c>
      <c r="G264" s="92">
        <f t="shared" si="28"/>
        <v>134.37915092046848</v>
      </c>
      <c r="H264" s="92">
        <f t="shared" si="27"/>
        <v>134.31870750209268</v>
      </c>
      <c r="I264" s="91">
        <f t="shared" si="29"/>
        <v>7.6202843618786265E-5</v>
      </c>
      <c r="J264" s="115"/>
      <c r="K264" s="64"/>
      <c r="L264" s="119">
        <v>39444</v>
      </c>
      <c r="M264" s="117">
        <v>9.0095220018348108E-3</v>
      </c>
      <c r="N264" s="117">
        <v>-1.083423618634722E-3</v>
      </c>
      <c r="O264" s="117">
        <v>1.3209393346378757E-3</v>
      </c>
      <c r="P264" s="89">
        <v>1.0841597761734593E-2</v>
      </c>
      <c r="R264" s="71">
        <v>39444</v>
      </c>
      <c r="S264" s="99">
        <f>+I264-[1]Data!W262</f>
        <v>-5.3341254099659825E-4</v>
      </c>
    </row>
    <row r="265" spans="3:19">
      <c r="C265" s="71">
        <v>39451</v>
      </c>
      <c r="D265" s="118">
        <f t="shared" si="24"/>
        <v>15.07453465370865</v>
      </c>
      <c r="E265" s="92">
        <f t="shared" si="25"/>
        <v>121.00944548083189</v>
      </c>
      <c r="F265" s="92">
        <f t="shared" si="26"/>
        <v>0</v>
      </c>
      <c r="G265" s="92">
        <f t="shared" si="28"/>
        <v>136.08398013454052</v>
      </c>
      <c r="H265" s="92">
        <f t="shared" si="27"/>
        <v>136.02276988809106</v>
      </c>
      <c r="I265" s="91">
        <f t="shared" si="29"/>
        <v>1.2686709228287019E-2</v>
      </c>
      <c r="J265" s="115"/>
      <c r="K265" s="64"/>
      <c r="L265" s="119">
        <v>39451</v>
      </c>
      <c r="M265" s="117">
        <v>-3.2280112115074727E-2</v>
      </c>
      <c r="N265" s="117">
        <v>1.8582791033984043E-2</v>
      </c>
      <c r="O265" s="117">
        <v>-2.3647823325352885E-2</v>
      </c>
      <c r="P265" s="89">
        <v>-3.0619053503027276E-2</v>
      </c>
      <c r="R265" s="71">
        <v>39451</v>
      </c>
      <c r="S265" s="99">
        <f>+I265-[1]Data!W263</f>
        <v>1.207324768982548E-2</v>
      </c>
    </row>
    <row r="266" spans="3:19">
      <c r="C266" s="71">
        <v>39458</v>
      </c>
      <c r="D266" s="118">
        <f t="shared" si="24"/>
        <v>14.807095993414515</v>
      </c>
      <c r="E266" s="92">
        <f t="shared" si="25"/>
        <v>121.12970758324768</v>
      </c>
      <c r="F266" s="92">
        <f t="shared" si="26"/>
        <v>0</v>
      </c>
      <c r="G266" s="92">
        <f t="shared" si="28"/>
        <v>135.93680357666219</v>
      </c>
      <c r="H266" s="92">
        <f t="shared" si="27"/>
        <v>135.87565952987393</v>
      </c>
      <c r="I266" s="91">
        <f t="shared" si="29"/>
        <v>-1.0815127374495075E-3</v>
      </c>
      <c r="J266" s="115"/>
      <c r="K266" s="64"/>
      <c r="L266" s="119">
        <v>39458</v>
      </c>
      <c r="M266" s="117">
        <v>-1.774108895814832E-2</v>
      </c>
      <c r="N266" s="117">
        <v>9.9382409313541814E-4</v>
      </c>
      <c r="O266" s="117">
        <v>-3.9883901316118693E-2</v>
      </c>
      <c r="P266" s="89">
        <v>-1.6774588283281457E-2</v>
      </c>
      <c r="R266" s="71">
        <v>39458</v>
      </c>
      <c r="S266" s="99">
        <f>+I266-[1]Data!W264</f>
        <v>-1.6853588912956615E-3</v>
      </c>
    </row>
    <row r="267" spans="3:19">
      <c r="C267" s="71">
        <v>39465</v>
      </c>
      <c r="D267" s="118">
        <f t="shared" si="24"/>
        <v>14.043948348097464</v>
      </c>
      <c r="E267" s="92">
        <f t="shared" si="25"/>
        <v>121.84698512265633</v>
      </c>
      <c r="F267" s="92">
        <f t="shared" si="26"/>
        <v>0</v>
      </c>
      <c r="G267" s="92">
        <f t="shared" si="28"/>
        <v>135.89093347075379</v>
      </c>
      <c r="H267" s="92">
        <f t="shared" si="27"/>
        <v>135.82981005622867</v>
      </c>
      <c r="I267" s="91">
        <f t="shared" si="29"/>
        <v>-3.374369905831558E-4</v>
      </c>
      <c r="J267" s="115"/>
      <c r="K267" s="64"/>
      <c r="L267" s="119">
        <v>39465</v>
      </c>
      <c r="M267" s="117">
        <v>-5.1539319097847598E-2</v>
      </c>
      <c r="N267" s="117">
        <v>5.9215658463939299E-3</v>
      </c>
      <c r="O267" s="117">
        <v>-2.0952778067340822E-2</v>
      </c>
      <c r="P267" s="89">
        <v>-5.2945447002696579E-2</v>
      </c>
      <c r="R267" s="71">
        <v>39465</v>
      </c>
      <c r="S267" s="99">
        <f>+I267-[1]Data!W265</f>
        <v>-9.162831444293096E-4</v>
      </c>
    </row>
    <row r="268" spans="3:19">
      <c r="C268" s="71">
        <v>39472</v>
      </c>
      <c r="D268" s="118">
        <f t="shared" si="24"/>
        <v>14.055278839183702</v>
      </c>
      <c r="E268" s="92">
        <f t="shared" si="25"/>
        <v>122.03167335136635</v>
      </c>
      <c r="F268" s="92">
        <f t="shared" si="26"/>
        <v>0</v>
      </c>
      <c r="G268" s="92">
        <f t="shared" si="28"/>
        <v>136.08695219055005</v>
      </c>
      <c r="H268" s="92">
        <f t="shared" si="27"/>
        <v>136.02574060727693</v>
      </c>
      <c r="I268" s="91">
        <f t="shared" si="29"/>
        <v>1.4424709198014442E-3</v>
      </c>
      <c r="J268" s="115"/>
      <c r="K268" s="64"/>
      <c r="L268" s="119">
        <v>39472</v>
      </c>
      <c r="M268" s="117">
        <v>8.0678814856035739E-4</v>
      </c>
      <c r="N268" s="117">
        <v>1.515739010892195E-3</v>
      </c>
      <c r="O268" s="117">
        <v>5.0149063032367908E-2</v>
      </c>
      <c r="P268" s="89">
        <v>-1.8069320484037897E-3</v>
      </c>
      <c r="R268" s="71">
        <v>39472</v>
      </c>
      <c r="S268" s="99">
        <f>+I268-[1]Data!W266</f>
        <v>1.0078555351860595E-3</v>
      </c>
    </row>
    <row r="269" spans="3:19">
      <c r="C269" s="71">
        <v>39479</v>
      </c>
      <c r="D269" s="118">
        <f t="shared" si="24"/>
        <v>14.529987345038156</v>
      </c>
      <c r="E269" s="92">
        <f t="shared" si="25"/>
        <v>122.51701683611591</v>
      </c>
      <c r="F269" s="92">
        <f t="shared" si="26"/>
        <v>0</v>
      </c>
      <c r="G269" s="92">
        <f t="shared" si="28"/>
        <v>137.04700418115408</v>
      </c>
      <c r="H269" s="92">
        <f t="shared" si="27"/>
        <v>136.98536076880825</v>
      </c>
      <c r="I269" s="91">
        <f t="shared" si="29"/>
        <v>7.0546953631508667E-3</v>
      </c>
      <c r="J269" s="115"/>
      <c r="K269" s="64"/>
      <c r="L269" s="119">
        <v>39479</v>
      </c>
      <c r="M269" s="117">
        <v>3.3774392616889914E-2</v>
      </c>
      <c r="N269" s="117">
        <v>3.9771927354638721E-3</v>
      </c>
      <c r="O269" s="117">
        <v>1.6931967961066632E-2</v>
      </c>
      <c r="P269" s="89">
        <v>3.0883159626988455E-2</v>
      </c>
      <c r="R269" s="71">
        <v>39479</v>
      </c>
      <c r="S269" s="99">
        <f>+I269-[1]Data!W267</f>
        <v>6.6450799785354817E-3</v>
      </c>
    </row>
    <row r="270" spans="3:19">
      <c r="C270" s="71">
        <v>39486</v>
      </c>
      <c r="D270" s="118">
        <f t="shared" si="24"/>
        <v>13.817143173078112</v>
      </c>
      <c r="E270" s="92">
        <f t="shared" si="25"/>
        <v>121.99731275067614</v>
      </c>
      <c r="F270" s="92">
        <f t="shared" si="26"/>
        <v>0</v>
      </c>
      <c r="G270" s="92">
        <f t="shared" si="28"/>
        <v>135.81445592375425</v>
      </c>
      <c r="H270" s="92">
        <f t="shared" si="27"/>
        <v>135.75336690864549</v>
      </c>
      <c r="I270" s="91">
        <f t="shared" si="29"/>
        <v>-8.9936169328488306E-3</v>
      </c>
      <c r="J270" s="115"/>
      <c r="K270" s="64"/>
      <c r="L270" s="119">
        <v>39486</v>
      </c>
      <c r="M270" s="117">
        <v>-4.9060205974885064E-2</v>
      </c>
      <c r="N270" s="117">
        <v>-4.2418930762488328E-3</v>
      </c>
      <c r="O270" s="117">
        <v>-6.2163509471585242E-2</v>
      </c>
      <c r="P270" s="89">
        <v>-4.6107593252807007E-2</v>
      </c>
      <c r="R270" s="71">
        <v>39486</v>
      </c>
      <c r="S270" s="99">
        <f>+I270-[1]Data!W268</f>
        <v>-9.405155394387292E-3</v>
      </c>
    </row>
    <row r="271" spans="3:19">
      <c r="C271" s="71">
        <v>39493</v>
      </c>
      <c r="D271" s="118">
        <f t="shared" si="24"/>
        <v>14.060553378137639</v>
      </c>
      <c r="E271" s="92">
        <f t="shared" si="25"/>
        <v>121.17265833411052</v>
      </c>
      <c r="F271" s="92">
        <f t="shared" si="26"/>
        <v>0</v>
      </c>
      <c r="G271" s="92">
        <f t="shared" si="28"/>
        <v>135.23321171224816</v>
      </c>
      <c r="H271" s="92">
        <f t="shared" si="27"/>
        <v>135.17238413938557</v>
      </c>
      <c r="I271" s="91">
        <f t="shared" si="29"/>
        <v>-4.2796932591063312E-3</v>
      </c>
      <c r="J271" s="115"/>
      <c r="K271" s="64"/>
      <c r="L271" s="119">
        <v>39493</v>
      </c>
      <c r="M271" s="117">
        <v>1.7616536357081308E-2</v>
      </c>
      <c r="N271" s="117">
        <v>-6.7596113223490203E-3</v>
      </c>
      <c r="O271" s="117">
        <v>1.5255408494126427E-2</v>
      </c>
      <c r="P271" s="89">
        <v>1.9579951468496469E-2</v>
      </c>
      <c r="R271" s="71">
        <v>39493</v>
      </c>
      <c r="S271" s="99">
        <f>+I271-[1]Data!W269</f>
        <v>-4.708539412952485E-3</v>
      </c>
    </row>
    <row r="272" spans="3:19">
      <c r="C272" s="71">
        <v>39500</v>
      </c>
      <c r="D272" s="118">
        <f t="shared" si="24"/>
        <v>14.152662456536971</v>
      </c>
      <c r="E272" s="92">
        <f t="shared" si="25"/>
        <v>121.38311701333822</v>
      </c>
      <c r="F272" s="92">
        <f t="shared" si="26"/>
        <v>0</v>
      </c>
      <c r="G272" s="92">
        <f t="shared" si="28"/>
        <v>135.53577946987519</v>
      </c>
      <c r="H272" s="92">
        <f t="shared" si="27"/>
        <v>135.47481580276408</v>
      </c>
      <c r="I272" s="91">
        <f t="shared" si="29"/>
        <v>2.2373775923538878E-3</v>
      </c>
      <c r="J272" s="115"/>
      <c r="K272" s="64"/>
      <c r="L272" s="119">
        <v>39500</v>
      </c>
      <c r="M272" s="117">
        <v>6.550885724209839E-3</v>
      </c>
      <c r="N272" s="117">
        <v>1.7368495675599358E-3</v>
      </c>
      <c r="O272" s="117">
        <v>-2.0837696335078482E-2</v>
      </c>
      <c r="P272" s="89">
        <v>7.4681986048419132E-3</v>
      </c>
      <c r="R272" s="71">
        <v>39500</v>
      </c>
      <c r="S272" s="99">
        <f>+I272-[1]Data!W270</f>
        <v>1.8181468231231186E-3</v>
      </c>
    </row>
    <row r="273" spans="3:19">
      <c r="C273" s="71">
        <v>39507</v>
      </c>
      <c r="D273" s="118">
        <f t="shared" si="24"/>
        <v>14.217422073693657</v>
      </c>
      <c r="E273" s="92">
        <f t="shared" si="25"/>
        <v>123.4189826042346</v>
      </c>
      <c r="F273" s="92">
        <f t="shared" si="26"/>
        <v>0</v>
      </c>
      <c r="G273" s="92">
        <f t="shared" si="28"/>
        <v>137.63640467792825</v>
      </c>
      <c r="H273" s="92">
        <f t="shared" si="27"/>
        <v>137.57449615465879</v>
      </c>
      <c r="I273" s="91">
        <f t="shared" si="29"/>
        <v>1.5498676558096232E-2</v>
      </c>
      <c r="J273" s="115"/>
      <c r="K273" s="64"/>
      <c r="L273" s="119">
        <v>39507</v>
      </c>
      <c r="M273" s="117">
        <v>4.5757904108548247E-3</v>
      </c>
      <c r="N273" s="117">
        <v>1.6772230282014116E-2</v>
      </c>
      <c r="O273" s="117">
        <v>1.8607635547000265E-2</v>
      </c>
      <c r="P273" s="89">
        <v>5.783642880417216E-3</v>
      </c>
      <c r="R273" s="71">
        <v>39507</v>
      </c>
      <c r="S273" s="99">
        <f>+I273-[1]Data!W271</f>
        <v>1.5119830404250079E-2</v>
      </c>
    </row>
    <row r="274" spans="3:19">
      <c r="C274" s="71">
        <v>39514</v>
      </c>
      <c r="D274" s="118">
        <f t="shared" si="24"/>
        <v>13.784812202823412</v>
      </c>
      <c r="E274" s="92">
        <f t="shared" si="25"/>
        <v>122.92504896931247</v>
      </c>
      <c r="F274" s="92">
        <f t="shared" si="26"/>
        <v>0</v>
      </c>
      <c r="G274" s="92">
        <f t="shared" si="28"/>
        <v>136.70986117213587</v>
      </c>
      <c r="H274" s="92">
        <f t="shared" si="27"/>
        <v>136.64836940590337</v>
      </c>
      <c r="I274" s="91">
        <f t="shared" si="29"/>
        <v>-6.7318200294499862E-3</v>
      </c>
      <c r="J274" s="115"/>
      <c r="K274" s="64"/>
      <c r="L274" s="119">
        <v>39514</v>
      </c>
      <c r="M274" s="117">
        <v>-3.0428151364423291E-2</v>
      </c>
      <c r="N274" s="117">
        <v>-4.0020880459371291E-3</v>
      </c>
      <c r="O274" s="117">
        <v>-5.6797900262467158E-2</v>
      </c>
      <c r="P274" s="89">
        <v>-3.1910585567344427E-2</v>
      </c>
      <c r="R274" s="71">
        <v>39514</v>
      </c>
      <c r="S274" s="99">
        <f>+I274-[1]Data!W272</f>
        <v>-7.0241277217576786E-3</v>
      </c>
    </row>
    <row r="275" spans="3:19">
      <c r="C275" s="71">
        <v>39521</v>
      </c>
      <c r="D275" s="118">
        <f t="shared" si="24"/>
        <v>13.7527742625106</v>
      </c>
      <c r="E275" s="92">
        <f t="shared" si="25"/>
        <v>124.21357149519626</v>
      </c>
      <c r="F275" s="92">
        <f t="shared" si="26"/>
        <v>0</v>
      </c>
      <c r="G275" s="92">
        <f t="shared" si="28"/>
        <v>137.96634575770688</v>
      </c>
      <c r="H275" s="92">
        <f t="shared" si="27"/>
        <v>137.90428882773452</v>
      </c>
      <c r="I275" s="91">
        <f t="shared" si="29"/>
        <v>9.1908848037589135E-3</v>
      </c>
      <c r="J275" s="115"/>
      <c r="K275" s="64"/>
      <c r="L275" s="119">
        <v>39521</v>
      </c>
      <c r="M275" s="117">
        <v>-2.324147753441916E-3</v>
      </c>
      <c r="N275" s="117">
        <v>1.0482180293501049E-2</v>
      </c>
      <c r="O275" s="117">
        <v>-4.7306322350845632E-3</v>
      </c>
      <c r="P275" s="89">
        <v>-4.6292423101591462E-3</v>
      </c>
      <c r="R275" s="71">
        <v>39521</v>
      </c>
      <c r="S275" s="99">
        <f>+I275-[1]Data!W273</f>
        <v>8.9331924960666057E-3</v>
      </c>
    </row>
    <row r="276" spans="3:19">
      <c r="C276" s="71">
        <v>39528</v>
      </c>
      <c r="D276" s="118">
        <f t="shared" si="24"/>
        <v>13.74290892113379</v>
      </c>
      <c r="E276" s="92">
        <f t="shared" si="25"/>
        <v>124.76334110624003</v>
      </c>
      <c r="F276" s="92">
        <f t="shared" si="26"/>
        <v>0</v>
      </c>
      <c r="G276" s="92">
        <f t="shared" si="28"/>
        <v>138.50625002737382</v>
      </c>
      <c r="H276" s="92">
        <f t="shared" si="27"/>
        <v>138.44395024976154</v>
      </c>
      <c r="I276" s="91">
        <f t="shared" si="29"/>
        <v>3.9133041228409582E-3</v>
      </c>
      <c r="J276" s="115"/>
      <c r="K276" s="64"/>
      <c r="L276" s="119">
        <v>39528</v>
      </c>
      <c r="M276" s="117">
        <v>-7.1733464016079018E-4</v>
      </c>
      <c r="N276" s="117">
        <v>4.4260027662518311E-3</v>
      </c>
      <c r="O276" s="117">
        <v>1.8900631885030449E-2</v>
      </c>
      <c r="P276" s="89">
        <v>-4.8468887456924832E-3</v>
      </c>
      <c r="R276" s="71">
        <v>39528</v>
      </c>
      <c r="S276" s="99">
        <f>+I276-[1]Data!W274</f>
        <v>3.7575348920717276E-3</v>
      </c>
    </row>
    <row r="277" spans="3:19">
      <c r="C277" s="71">
        <v>39535</v>
      </c>
      <c r="D277" s="118">
        <f t="shared" si="24"/>
        <v>14.022654838987114</v>
      </c>
      <c r="E277" s="92">
        <f t="shared" si="25"/>
        <v>124.33383359761211</v>
      </c>
      <c r="F277" s="92">
        <f t="shared" si="26"/>
        <v>0</v>
      </c>
      <c r="G277" s="92">
        <f t="shared" si="28"/>
        <v>138.35648843659922</v>
      </c>
      <c r="H277" s="92">
        <f t="shared" si="27"/>
        <v>138.29425602138971</v>
      </c>
      <c r="I277" s="91">
        <f t="shared" si="29"/>
        <v>-1.0812623310861224E-3</v>
      </c>
      <c r="J277" s="115"/>
      <c r="K277" s="64"/>
      <c r="L277" s="119">
        <v>39535</v>
      </c>
      <c r="M277" s="117">
        <v>2.0355655375342844E-2</v>
      </c>
      <c r="N277" s="117">
        <v>-3.442577802258331E-3</v>
      </c>
      <c r="O277" s="117">
        <v>3.0239833159541138E-2</v>
      </c>
      <c r="P277" s="89">
        <v>2.4465090090090083E-2</v>
      </c>
      <c r="R277" s="71">
        <v>39535</v>
      </c>
      <c r="S277" s="99">
        <f>+I277-[1]Data!W275</f>
        <v>-1.3254931003168916E-3</v>
      </c>
    </row>
    <row r="278" spans="3:19">
      <c r="C278" s="71">
        <v>39542</v>
      </c>
      <c r="D278" s="118">
        <f t="shared" si="24"/>
        <v>14.578923345333024</v>
      </c>
      <c r="E278" s="92">
        <f t="shared" si="25"/>
        <v>123.5220644063053</v>
      </c>
      <c r="F278" s="92">
        <f t="shared" si="26"/>
        <v>0</v>
      </c>
      <c r="G278" s="92">
        <f t="shared" si="28"/>
        <v>138.10098775163834</v>
      </c>
      <c r="H278" s="92">
        <f t="shared" si="27"/>
        <v>138.03887026002144</v>
      </c>
      <c r="I278" s="91">
        <f t="shared" si="29"/>
        <v>-1.8466837937851424E-3</v>
      </c>
      <c r="J278" s="115"/>
      <c r="K278" s="64"/>
      <c r="L278" s="119">
        <v>39542</v>
      </c>
      <c r="M278" s="117">
        <v>3.9669271812875308E-2</v>
      </c>
      <c r="N278" s="117">
        <v>-6.528948459306491E-3</v>
      </c>
      <c r="O278" s="117">
        <v>6.0622203281483038E-2</v>
      </c>
      <c r="P278" s="89">
        <v>3.8473164967435212E-2</v>
      </c>
      <c r="R278" s="71">
        <v>39542</v>
      </c>
      <c r="S278" s="99">
        <f>+I278-[1]Data!W276</f>
        <v>-2.110145332246681E-3</v>
      </c>
    </row>
    <row r="279" spans="3:19">
      <c r="C279" s="71">
        <v>39549</v>
      </c>
      <c r="D279" s="118">
        <f t="shared" si="24"/>
        <v>14.274660589008615</v>
      </c>
      <c r="E279" s="92">
        <f t="shared" si="25"/>
        <v>124.68173467960072</v>
      </c>
      <c r="F279" s="92">
        <f t="shared" si="26"/>
        <v>0</v>
      </c>
      <c r="G279" s="92">
        <f t="shared" si="28"/>
        <v>138.95639526860933</v>
      </c>
      <c r="H279" s="92">
        <f t="shared" si="27"/>
        <v>138.89389301675192</v>
      </c>
      <c r="I279" s="91">
        <f t="shared" si="29"/>
        <v>6.1940724023594636E-3</v>
      </c>
      <c r="J279" s="115"/>
      <c r="K279" s="64"/>
      <c r="L279" s="119">
        <v>39549</v>
      </c>
      <c r="M279" s="117">
        <v>-2.0870042946059392E-2</v>
      </c>
      <c r="N279" s="117">
        <v>9.3883653812721086E-3</v>
      </c>
      <c r="O279" s="117">
        <v>-3.0336514314414829E-2</v>
      </c>
      <c r="P279" s="89">
        <v>-1.7041996348143636E-2</v>
      </c>
      <c r="R279" s="71">
        <v>39549</v>
      </c>
      <c r="S279" s="99">
        <f>+I279-[1]Data!W277</f>
        <v>5.9421493254363869E-3</v>
      </c>
    </row>
    <row r="280" spans="3:19">
      <c r="C280" s="71">
        <v>39556</v>
      </c>
      <c r="D280" s="118">
        <f t="shared" si="24"/>
        <v>14.696037645439915</v>
      </c>
      <c r="E280" s="92">
        <f t="shared" si="25"/>
        <v>122.91645881913995</v>
      </c>
      <c r="F280" s="92">
        <f t="shared" si="26"/>
        <v>0</v>
      </c>
      <c r="G280" s="92">
        <f t="shared" si="28"/>
        <v>137.61249646457986</v>
      </c>
      <c r="H280" s="92">
        <f t="shared" si="27"/>
        <v>137.55059869516714</v>
      </c>
      <c r="I280" s="91">
        <f t="shared" si="29"/>
        <v>-9.6713706586276232E-3</v>
      </c>
      <c r="J280" s="115"/>
      <c r="K280" s="64"/>
      <c r="L280" s="119">
        <v>39556</v>
      </c>
      <c r="M280" s="117">
        <v>2.9519234716919071E-2</v>
      </c>
      <c r="N280" s="117">
        <v>-1.4158255537565929E-2</v>
      </c>
      <c r="O280" s="117">
        <v>2.2946234331296004E-2</v>
      </c>
      <c r="P280" s="89">
        <v>2.764840489971743E-2</v>
      </c>
      <c r="R280" s="71">
        <v>39556</v>
      </c>
      <c r="S280" s="99">
        <f>+I280-[1]Data!W278</f>
        <v>-9.8944475817045463E-3</v>
      </c>
    </row>
    <row r="281" spans="3:19">
      <c r="C281" s="71">
        <v>39563</v>
      </c>
      <c r="D281" s="118">
        <f t="shared" si="24"/>
        <v>14.793323586145888</v>
      </c>
      <c r="E281" s="92">
        <f t="shared" si="25"/>
        <v>122.51272176102971</v>
      </c>
      <c r="F281" s="92">
        <f t="shared" si="26"/>
        <v>0</v>
      </c>
      <c r="G281" s="92">
        <f t="shared" si="28"/>
        <v>137.3060453471756</v>
      </c>
      <c r="H281" s="92">
        <f t="shared" si="27"/>
        <v>137.24428541873726</v>
      </c>
      <c r="I281" s="91">
        <f t="shared" si="29"/>
        <v>-2.2269134364781072E-3</v>
      </c>
      <c r="J281" s="115"/>
      <c r="K281" s="64"/>
      <c r="L281" s="119">
        <v>39563</v>
      </c>
      <c r="M281" s="117">
        <v>6.6198755782421684E-3</v>
      </c>
      <c r="N281" s="117">
        <v>-3.2846460269760212E-3</v>
      </c>
      <c r="O281" s="117">
        <v>2.1925160767633723E-2</v>
      </c>
      <c r="P281" s="89">
        <v>7.1518390443255824E-3</v>
      </c>
      <c r="R281" s="71">
        <v>39563</v>
      </c>
      <c r="S281" s="99">
        <f>+I281-[1]Data!W279</f>
        <v>-2.4730672826319532E-3</v>
      </c>
    </row>
    <row r="282" spans="3:19">
      <c r="C282" s="71">
        <v>39570</v>
      </c>
      <c r="D282" s="118">
        <f t="shared" si="24"/>
        <v>14.946382892457397</v>
      </c>
      <c r="E282" s="92">
        <f t="shared" si="25"/>
        <v>122.80478686689671</v>
      </c>
      <c r="F282" s="92">
        <f t="shared" si="26"/>
        <v>0</v>
      </c>
      <c r="G282" s="92">
        <f t="shared" si="28"/>
        <v>137.7511697593541</v>
      </c>
      <c r="H282" s="92">
        <f t="shared" si="27"/>
        <v>137.68920961502744</v>
      </c>
      <c r="I282" s="91">
        <f t="shared" si="29"/>
        <v>3.2418413264544603E-3</v>
      </c>
      <c r="J282" s="115"/>
      <c r="K282" s="64"/>
      <c r="L282" s="119">
        <v>39570</v>
      </c>
      <c r="M282" s="117">
        <v>1.0346512426379363E-2</v>
      </c>
      <c r="N282" s="117">
        <v>2.3839573692329506E-3</v>
      </c>
      <c r="O282" s="117">
        <v>2.3585373104746902E-2</v>
      </c>
      <c r="P282" s="89">
        <v>1.0950708804786153E-2</v>
      </c>
      <c r="R282" s="71">
        <v>39570</v>
      </c>
      <c r="S282" s="99">
        <f>+I282-[1]Data!W280</f>
        <v>2.9668413264544603E-3</v>
      </c>
    </row>
    <row r="283" spans="3:19">
      <c r="C283" s="71">
        <v>39577</v>
      </c>
      <c r="D283" s="118">
        <f t="shared" si="24"/>
        <v>14.785216424420389</v>
      </c>
      <c r="E283" s="92">
        <f t="shared" si="25"/>
        <v>123.65950680906629</v>
      </c>
      <c r="F283" s="92">
        <f t="shared" si="26"/>
        <v>0</v>
      </c>
      <c r="G283" s="92">
        <f t="shared" si="28"/>
        <v>138.44472323348668</v>
      </c>
      <c r="H283" s="92">
        <f t="shared" si="27"/>
        <v>138.38245113047807</v>
      </c>
      <c r="I283" s="91">
        <f t="shared" si="29"/>
        <v>5.0348282003281741E-3</v>
      </c>
      <c r="J283" s="115"/>
      <c r="K283" s="64"/>
      <c r="L283" s="119">
        <v>39577</v>
      </c>
      <c r="M283" s="117">
        <v>-1.0782974663277109E-2</v>
      </c>
      <c r="N283" s="117">
        <v>6.9599888080582291E-3</v>
      </c>
      <c r="O283" s="117">
        <v>-3.3739955465195072E-2</v>
      </c>
      <c r="P283" s="89">
        <v>-1.134667833067469E-2</v>
      </c>
      <c r="R283" s="71">
        <v>39577</v>
      </c>
      <c r="S283" s="99">
        <f>+I283-[1]Data!W281</f>
        <v>4.7252128157127893E-3</v>
      </c>
    </row>
    <row r="284" spans="3:19">
      <c r="C284" s="71">
        <v>39584</v>
      </c>
      <c r="D284" s="118">
        <f t="shared" si="24"/>
        <v>15.194676929881679</v>
      </c>
      <c r="E284" s="92">
        <f t="shared" si="25"/>
        <v>123.19134362466183</v>
      </c>
      <c r="F284" s="92">
        <f t="shared" si="26"/>
        <v>0</v>
      </c>
      <c r="G284" s="92">
        <f t="shared" si="28"/>
        <v>138.38602055454351</v>
      </c>
      <c r="H284" s="92">
        <f t="shared" si="27"/>
        <v>138.32377485585849</v>
      </c>
      <c r="I284" s="91">
        <f t="shared" si="29"/>
        <v>-4.2401528618871777E-4</v>
      </c>
      <c r="J284" s="115"/>
      <c r="K284" s="64"/>
      <c r="L284" s="119">
        <v>39584</v>
      </c>
      <c r="M284" s="117">
        <v>2.7693913549009273E-2</v>
      </c>
      <c r="N284" s="117">
        <v>-3.7859053176340931E-3</v>
      </c>
      <c r="O284" s="117">
        <v>2.6000701367666936E-2</v>
      </c>
      <c r="P284" s="89">
        <v>2.9512036434612816E-2</v>
      </c>
      <c r="R284" s="71">
        <v>39584</v>
      </c>
      <c r="S284" s="99">
        <f>+I284-[1]Data!W282</f>
        <v>-7.6824605541948691E-4</v>
      </c>
    </row>
    <row r="285" spans="3:19">
      <c r="C285" s="71">
        <v>39591</v>
      </c>
      <c r="D285" s="118">
        <f t="shared" si="24"/>
        <v>14.821552137214187</v>
      </c>
      <c r="E285" s="92">
        <f t="shared" si="25"/>
        <v>123.39750722880324</v>
      </c>
      <c r="F285" s="92">
        <f t="shared" si="26"/>
        <v>0</v>
      </c>
      <c r="G285" s="92">
        <f t="shared" si="28"/>
        <v>138.21905936601743</v>
      </c>
      <c r="H285" s="92">
        <f t="shared" si="27"/>
        <v>138.1568887660728</v>
      </c>
      <c r="I285" s="91">
        <f t="shared" si="29"/>
        <v>-1.2064888336050456E-3</v>
      </c>
      <c r="J285" s="115"/>
      <c r="K285" s="64"/>
      <c r="L285" s="119">
        <v>39591</v>
      </c>
      <c r="M285" s="117">
        <v>-2.4556283387224188E-2</v>
      </c>
      <c r="N285" s="117">
        <v>1.6735234641936344E-3</v>
      </c>
      <c r="O285" s="117">
        <v>-4.0283203125E-2</v>
      </c>
      <c r="P285" s="89">
        <v>-2.4747844991025971E-2</v>
      </c>
      <c r="R285" s="71">
        <v>39591</v>
      </c>
      <c r="S285" s="99">
        <f>+I285-[1]Data!W283</f>
        <v>-1.5564888336050456E-3</v>
      </c>
    </row>
    <row r="286" spans="3:19">
      <c r="C286" s="71">
        <v>39598</v>
      </c>
      <c r="D286" s="118">
        <f t="shared" si="24"/>
        <v>14.902819107763754</v>
      </c>
      <c r="E286" s="92">
        <f t="shared" si="25"/>
        <v>122.00590290084875</v>
      </c>
      <c r="F286" s="92">
        <f t="shared" si="26"/>
        <v>0</v>
      </c>
      <c r="G286" s="92">
        <f t="shared" si="28"/>
        <v>136.9087220086125</v>
      </c>
      <c r="H286" s="92">
        <f t="shared" si="27"/>
        <v>136.84714079525475</v>
      </c>
      <c r="I286" s="91">
        <f t="shared" si="29"/>
        <v>-9.4801495786121549E-3</v>
      </c>
      <c r="J286" s="115"/>
      <c r="K286" s="64"/>
      <c r="L286" s="119">
        <v>39598</v>
      </c>
      <c r="M286" s="117">
        <v>5.4830269999538266E-3</v>
      </c>
      <c r="N286" s="117">
        <v>-1.1277410372433029E-2</v>
      </c>
      <c r="O286" s="117">
        <v>6.5123378275248082E-3</v>
      </c>
      <c r="P286" s="89">
        <v>5.0544323483669995E-3</v>
      </c>
      <c r="R286" s="71">
        <v>39598</v>
      </c>
      <c r="S286" s="99">
        <f>+I286-[1]Data!W284</f>
        <v>-9.8378418863044621E-3</v>
      </c>
    </row>
    <row r="287" spans="3:19">
      <c r="C287" s="71">
        <v>39605</v>
      </c>
      <c r="D287" s="118">
        <f t="shared" si="24"/>
        <v>14.617114914425425</v>
      </c>
      <c r="E287" s="92">
        <f t="shared" si="25"/>
        <v>122.52990206137481</v>
      </c>
      <c r="F287" s="92">
        <f t="shared" si="26"/>
        <v>0</v>
      </c>
      <c r="G287" s="92">
        <f t="shared" si="28"/>
        <v>137.14701697580023</v>
      </c>
      <c r="H287" s="92">
        <f t="shared" si="27"/>
        <v>137.08532857794029</v>
      </c>
      <c r="I287" s="91">
        <f t="shared" si="29"/>
        <v>1.7405389787566704E-3</v>
      </c>
      <c r="J287" s="115"/>
      <c r="K287" s="64"/>
      <c r="L287" s="119">
        <v>39605</v>
      </c>
      <c r="M287" s="117">
        <v>-1.91711508589331E-2</v>
      </c>
      <c r="N287" s="117">
        <v>4.2948672815601293E-3</v>
      </c>
      <c r="O287" s="117">
        <v>-1.6933730981145541E-2</v>
      </c>
      <c r="P287" s="89">
        <v>-1.9574468085106319E-2</v>
      </c>
      <c r="R287" s="71">
        <v>39605</v>
      </c>
      <c r="S287" s="99">
        <f>+I287-[1]Data!W285</f>
        <v>1.3905389787566703E-3</v>
      </c>
    </row>
    <row r="288" spans="3:19">
      <c r="C288" s="71">
        <v>39612</v>
      </c>
      <c r="D288" s="118">
        <f t="shared" si="24"/>
        <v>14.260302121856222</v>
      </c>
      <c r="E288" s="92">
        <f t="shared" si="25"/>
        <v>120.33941376737241</v>
      </c>
      <c r="F288" s="92">
        <f t="shared" si="26"/>
        <v>0</v>
      </c>
      <c r="G288" s="92">
        <f t="shared" si="28"/>
        <v>134.59971588922863</v>
      </c>
      <c r="H288" s="92">
        <f t="shared" si="27"/>
        <v>134.53917326126117</v>
      </c>
      <c r="I288" s="91">
        <f t="shared" si="29"/>
        <v>-1.857350704916241E-2</v>
      </c>
      <c r="J288" s="115"/>
      <c r="K288" s="64"/>
      <c r="L288" s="119">
        <v>39612</v>
      </c>
      <c r="M288" s="117">
        <v>-2.4410616914359012E-2</v>
      </c>
      <c r="N288" s="117">
        <v>-1.7877173303421083E-2</v>
      </c>
      <c r="O288" s="117">
        <v>-5.3218839983545839E-2</v>
      </c>
      <c r="P288" s="89">
        <v>-2.7751473063973093E-2</v>
      </c>
      <c r="R288" s="71">
        <v>39612</v>
      </c>
      <c r="S288" s="99">
        <f>+I288-[1]Data!W286</f>
        <v>-1.8944660895316257E-2</v>
      </c>
    </row>
    <row r="289" spans="3:19">
      <c r="C289" s="71">
        <v>39619</v>
      </c>
      <c r="D289" s="118">
        <f t="shared" si="24"/>
        <v>13.972058335688217</v>
      </c>
      <c r="E289" s="92">
        <f t="shared" si="25"/>
        <v>121.19413370954199</v>
      </c>
      <c r="F289" s="92">
        <f t="shared" si="26"/>
        <v>0</v>
      </c>
      <c r="G289" s="92">
        <f t="shared" si="28"/>
        <v>135.16619204523022</v>
      </c>
      <c r="H289" s="92">
        <f t="shared" si="27"/>
        <v>135.10539461765237</v>
      </c>
      <c r="I289" s="91">
        <f t="shared" si="29"/>
        <v>4.2085984525239567E-3</v>
      </c>
      <c r="J289" s="115"/>
      <c r="K289" s="64"/>
      <c r="L289" s="119">
        <v>39619</v>
      </c>
      <c r="M289" s="117">
        <v>-2.0213020993869645E-2</v>
      </c>
      <c r="N289" s="117">
        <v>7.1025769148404918E-3</v>
      </c>
      <c r="O289" s="117">
        <v>-1.0101558681366345E-2</v>
      </c>
      <c r="P289" s="89">
        <v>-1.8884770433700435E-2</v>
      </c>
      <c r="R289" s="71">
        <v>39619</v>
      </c>
      <c r="S289" s="99">
        <f>+I289-[1]Data!W287</f>
        <v>3.8393676832931874E-3</v>
      </c>
    </row>
    <row r="290" spans="3:19">
      <c r="C290" s="71">
        <v>39626</v>
      </c>
      <c r="D290" s="118">
        <f t="shared" si="24"/>
        <v>13.65119054932363</v>
      </c>
      <c r="E290" s="92">
        <f t="shared" si="25"/>
        <v>121.84269004757016</v>
      </c>
      <c r="F290" s="92">
        <f t="shared" si="26"/>
        <v>0</v>
      </c>
      <c r="G290" s="92">
        <f t="shared" si="28"/>
        <v>135.4938805968938</v>
      </c>
      <c r="H290" s="92">
        <f t="shared" si="27"/>
        <v>135.43293577579479</v>
      </c>
      <c r="I290" s="91">
        <f t="shared" si="29"/>
        <v>2.4243381181733243E-3</v>
      </c>
      <c r="J290" s="115"/>
      <c r="K290" s="64"/>
      <c r="L290" s="119">
        <v>39626</v>
      </c>
      <c r="M290" s="117">
        <v>-2.296496182992655E-2</v>
      </c>
      <c r="N290" s="117">
        <v>5.3513839174965123E-3</v>
      </c>
      <c r="O290" s="117">
        <v>-4.7292478191693667E-2</v>
      </c>
      <c r="P290" s="89">
        <v>-2.2998648760444461E-2</v>
      </c>
      <c r="R290" s="71">
        <v>39626</v>
      </c>
      <c r="S290" s="99">
        <f>+I290-[1]Data!W288</f>
        <v>2.0877996566348628E-3</v>
      </c>
    </row>
    <row r="291" spans="3:19">
      <c r="C291" s="71">
        <v>39633</v>
      </c>
      <c r="D291" s="118">
        <f t="shared" si="24"/>
        <v>13.352788391836931</v>
      </c>
      <c r="E291" s="92">
        <f t="shared" si="25"/>
        <v>121.9414767745546</v>
      </c>
      <c r="F291" s="92">
        <f t="shared" si="26"/>
        <v>0</v>
      </c>
      <c r="G291" s="92">
        <f t="shared" si="28"/>
        <v>135.29426516639154</v>
      </c>
      <c r="H291" s="92">
        <f t="shared" si="27"/>
        <v>135.2334101318323</v>
      </c>
      <c r="I291" s="91">
        <f t="shared" si="29"/>
        <v>-1.47324314295894E-3</v>
      </c>
      <c r="J291" s="115"/>
      <c r="K291" s="64"/>
      <c r="L291" s="119">
        <v>39633</v>
      </c>
      <c r="M291" s="117">
        <v>-2.1859057377342395E-2</v>
      </c>
      <c r="N291" s="117">
        <v>8.107727016357099E-4</v>
      </c>
      <c r="O291" s="117">
        <v>-2.320760149726462E-2</v>
      </c>
      <c r="P291" s="89">
        <v>-2.5120663862937237E-2</v>
      </c>
      <c r="R291" s="71">
        <v>39633</v>
      </c>
      <c r="S291" s="99">
        <f>+I291-[1]Data!W289</f>
        <v>-1.8251662198820169E-3</v>
      </c>
    </row>
    <row r="292" spans="3:19">
      <c r="C292" s="71">
        <v>39640</v>
      </c>
      <c r="D292" s="118">
        <f t="shared" si="24"/>
        <v>13.142099863621281</v>
      </c>
      <c r="E292" s="92">
        <f t="shared" si="25"/>
        <v>122.95940957000276</v>
      </c>
      <c r="F292" s="92">
        <f t="shared" si="26"/>
        <v>0</v>
      </c>
      <c r="G292" s="92">
        <f t="shared" si="28"/>
        <v>136.10150943362405</v>
      </c>
      <c r="H292" s="92">
        <f t="shared" si="27"/>
        <v>136.04029130253801</v>
      </c>
      <c r="I292" s="91">
        <f t="shared" si="29"/>
        <v>5.9665815564298782E-3</v>
      </c>
      <c r="J292" s="115"/>
      <c r="K292" s="64"/>
      <c r="L292" s="119">
        <v>39640</v>
      </c>
      <c r="M292" s="117">
        <v>-1.5778616573033661E-2</v>
      </c>
      <c r="N292" s="117">
        <v>8.3477158254374531E-3</v>
      </c>
      <c r="O292" s="117">
        <v>-1.2321660181582381E-2</v>
      </c>
      <c r="P292" s="89">
        <v>-1.2623411216306245E-2</v>
      </c>
      <c r="R292" s="71">
        <v>39640</v>
      </c>
      <c r="S292" s="99">
        <f>+I292-[1]Data!W290</f>
        <v>5.6319661718144936E-3</v>
      </c>
    </row>
    <row r="293" spans="3:19">
      <c r="C293" s="71">
        <v>39647</v>
      </c>
      <c r="D293" s="118">
        <f t="shared" si="24"/>
        <v>13.30863854725952</v>
      </c>
      <c r="E293" s="92">
        <f t="shared" si="25"/>
        <v>121.28003521126759</v>
      </c>
      <c r="F293" s="92">
        <f t="shared" si="26"/>
        <v>0</v>
      </c>
      <c r="G293" s="92">
        <f t="shared" si="28"/>
        <v>134.58867375852711</v>
      </c>
      <c r="H293" s="92">
        <f t="shared" si="27"/>
        <v>134.52813609728344</v>
      </c>
      <c r="I293" s="91">
        <f t="shared" si="29"/>
        <v>-1.1115495202018589E-2</v>
      </c>
      <c r="J293" s="115"/>
      <c r="K293" s="64"/>
      <c r="L293" s="119">
        <v>39647</v>
      </c>
      <c r="M293" s="117">
        <v>1.2672151738797561E-2</v>
      </c>
      <c r="N293" s="117">
        <v>-1.3657957244655471E-2</v>
      </c>
      <c r="O293" s="117">
        <v>7.8194950158180752E-3</v>
      </c>
      <c r="P293" s="89">
        <v>8.8848488402780684E-3</v>
      </c>
      <c r="R293" s="71">
        <v>39647</v>
      </c>
      <c r="S293" s="99">
        <f>+I293-[1]Data!W291</f>
        <v>-1.1386649048172435E-2</v>
      </c>
    </row>
    <row r="294" spans="3:19">
      <c r="C294" s="71">
        <v>39654</v>
      </c>
      <c r="D294" s="118">
        <f t="shared" si="24"/>
        <v>13.290763720804508</v>
      </c>
      <c r="E294" s="92">
        <f t="shared" si="25"/>
        <v>121.09534698255759</v>
      </c>
      <c r="F294" s="92">
        <f t="shared" si="26"/>
        <v>0</v>
      </c>
      <c r="G294" s="92">
        <f t="shared" si="28"/>
        <v>134.38611070336211</v>
      </c>
      <c r="H294" s="92">
        <f t="shared" si="27"/>
        <v>134.32566415449267</v>
      </c>
      <c r="I294" s="91">
        <f t="shared" si="29"/>
        <v>-1.5050527619318893E-3</v>
      </c>
      <c r="J294" s="115"/>
      <c r="K294" s="64"/>
      <c r="L294" s="119">
        <v>39654</v>
      </c>
      <c r="M294" s="117">
        <v>-1.3430995508322281E-3</v>
      </c>
      <c r="N294" s="117">
        <v>-1.5228246626766541E-3</v>
      </c>
      <c r="O294" s="117">
        <v>3.2397536128879405E-2</v>
      </c>
      <c r="P294" s="89">
        <v>-9.3007033656918319E-4</v>
      </c>
      <c r="R294" s="71">
        <v>39654</v>
      </c>
      <c r="S294" s="99">
        <f>+I294-[1]Data!W292</f>
        <v>-1.8069758388549663E-3</v>
      </c>
    </row>
    <row r="295" spans="3:19">
      <c r="C295" s="71">
        <v>39661</v>
      </c>
      <c r="D295" s="118">
        <f t="shared" si="24"/>
        <v>13.205003624479362</v>
      </c>
      <c r="E295" s="92">
        <f t="shared" si="25"/>
        <v>121.93718169946833</v>
      </c>
      <c r="F295" s="92">
        <f t="shared" si="26"/>
        <v>0</v>
      </c>
      <c r="G295" s="92">
        <f t="shared" si="28"/>
        <v>135.1421853239477</v>
      </c>
      <c r="H295" s="92">
        <f t="shared" si="27"/>
        <v>135.08139869453524</v>
      </c>
      <c r="I295" s="91">
        <f t="shared" si="29"/>
        <v>5.6261366344213309E-3</v>
      </c>
      <c r="J295" s="115"/>
      <c r="K295" s="64"/>
      <c r="L295" s="119">
        <v>39661</v>
      </c>
      <c r="M295" s="117">
        <v>-6.4526086029881692E-3</v>
      </c>
      <c r="N295" s="117">
        <v>6.9518337234871939E-3</v>
      </c>
      <c r="O295" s="117">
        <v>-7.0563937811943646E-3</v>
      </c>
      <c r="P295" s="89">
        <v>-5.1201489497876033E-3</v>
      </c>
      <c r="R295" s="71">
        <v>39661</v>
      </c>
      <c r="S295" s="99">
        <f>+I295-[1]Data!W293</f>
        <v>5.3049827882674849E-3</v>
      </c>
    </row>
    <row r="296" spans="3:19">
      <c r="C296" s="71">
        <v>39668</v>
      </c>
      <c r="D296" s="118">
        <f t="shared" si="24"/>
        <v>13.262828199678092</v>
      </c>
      <c r="E296" s="92">
        <f t="shared" si="25"/>
        <v>121.76967377110344</v>
      </c>
      <c r="F296" s="92">
        <f t="shared" si="26"/>
        <v>0</v>
      </c>
      <c r="G296" s="92">
        <f t="shared" si="28"/>
        <v>135.03250197078154</v>
      </c>
      <c r="H296" s="92">
        <f t="shared" si="27"/>
        <v>134.97176467667711</v>
      </c>
      <c r="I296" s="91">
        <f t="shared" si="29"/>
        <v>-8.1161447036869104E-4</v>
      </c>
      <c r="J296" s="115"/>
      <c r="K296" s="64"/>
      <c r="L296" s="119">
        <v>39668</v>
      </c>
      <c r="M296" s="117">
        <v>4.3789897256473025E-3</v>
      </c>
      <c r="N296" s="117">
        <v>-1.3737231419513433E-3</v>
      </c>
      <c r="O296" s="117">
        <v>-3.871042292581557E-3</v>
      </c>
      <c r="P296" s="89">
        <v>-5.2634656997487222E-4</v>
      </c>
      <c r="R296" s="71">
        <v>39668</v>
      </c>
      <c r="S296" s="99">
        <f>+I296-[1]Data!W294</f>
        <v>-1.1327683165225371E-3</v>
      </c>
    </row>
    <row r="297" spans="3:19">
      <c r="C297" s="71">
        <v>39675</v>
      </c>
      <c r="D297" s="118">
        <f t="shared" si="24"/>
        <v>13.117583025150196</v>
      </c>
      <c r="E297" s="92">
        <f t="shared" si="25"/>
        <v>121.36593671299319</v>
      </c>
      <c r="F297" s="92">
        <f t="shared" si="26"/>
        <v>0</v>
      </c>
      <c r="G297" s="92">
        <f t="shared" si="28"/>
        <v>134.4835197381434</v>
      </c>
      <c r="H297" s="92">
        <f t="shared" si="27"/>
        <v>134.42302937492477</v>
      </c>
      <c r="I297" s="91">
        <f t="shared" si="29"/>
        <v>-4.0655562522045408E-3</v>
      </c>
      <c r="J297" s="115"/>
      <c r="K297" s="64"/>
      <c r="L297" s="119">
        <v>39675</v>
      </c>
      <c r="M297" s="117">
        <v>-1.0951297290529663E-2</v>
      </c>
      <c r="N297" s="117">
        <v>-3.3155796973651642E-3</v>
      </c>
      <c r="O297" s="117">
        <v>-2.0706455542021884E-2</v>
      </c>
      <c r="P297" s="89">
        <v>-1.1761263897015912E-2</v>
      </c>
      <c r="R297" s="71">
        <v>39675</v>
      </c>
      <c r="S297" s="99">
        <f>+I297-[1]Data!W295</f>
        <v>-4.4174793291276177E-3</v>
      </c>
    </row>
    <row r="298" spans="3:19">
      <c r="C298" s="71">
        <v>39682</v>
      </c>
      <c r="D298" s="118">
        <f t="shared" si="24"/>
        <v>13.064544605668926</v>
      </c>
      <c r="E298" s="92">
        <f t="shared" si="25"/>
        <v>121.59787076765227</v>
      </c>
      <c r="F298" s="92">
        <f t="shared" si="26"/>
        <v>0</v>
      </c>
      <c r="G298" s="92">
        <f t="shared" si="28"/>
        <v>134.66241537332118</v>
      </c>
      <c r="H298" s="92">
        <f t="shared" si="27"/>
        <v>134.60184454327683</v>
      </c>
      <c r="I298" s="91">
        <f t="shared" si="29"/>
        <v>1.3302420662855237E-3</v>
      </c>
      <c r="J298" s="115"/>
      <c r="K298" s="64"/>
      <c r="L298" s="119">
        <v>39682</v>
      </c>
      <c r="M298" s="117">
        <v>-4.0433073211414063E-3</v>
      </c>
      <c r="N298" s="117">
        <v>1.9110308949995417E-3</v>
      </c>
      <c r="O298" s="117">
        <v>-2.3158019426676123E-2</v>
      </c>
      <c r="P298" s="89">
        <v>-5.3585173781749828E-3</v>
      </c>
      <c r="R298" s="71">
        <v>39682</v>
      </c>
      <c r="S298" s="99">
        <f>+I298-[1]Data!W296</f>
        <v>9.9947283551629282E-4</v>
      </c>
    </row>
    <row r="299" spans="3:19">
      <c r="C299" s="71">
        <v>39689</v>
      </c>
      <c r="D299" s="118">
        <f t="shared" si="24"/>
        <v>13.136141588136274</v>
      </c>
      <c r="E299" s="92">
        <f t="shared" si="25"/>
        <v>122.09609947766064</v>
      </c>
      <c r="F299" s="92">
        <f t="shared" si="26"/>
        <v>0</v>
      </c>
      <c r="G299" s="92">
        <f t="shared" si="28"/>
        <v>135.23224106579693</v>
      </c>
      <c r="H299" s="92">
        <f t="shared" si="27"/>
        <v>135.17141392952874</v>
      </c>
      <c r="I299" s="91">
        <f t="shared" si="29"/>
        <v>4.2315124891827696E-3</v>
      </c>
      <c r="J299" s="115"/>
      <c r="K299" s="64"/>
      <c r="L299" s="119">
        <v>39689</v>
      </c>
      <c r="M299" s="117">
        <v>5.4802509102599029E-3</v>
      </c>
      <c r="N299" s="117">
        <v>4.0973473208292472E-3</v>
      </c>
      <c r="O299" s="117">
        <v>2.6617352816346244E-2</v>
      </c>
      <c r="P299" s="89">
        <v>4.8813882191861956E-3</v>
      </c>
      <c r="R299" s="71">
        <v>39689</v>
      </c>
      <c r="S299" s="99">
        <f>+I299-[1]Data!W297</f>
        <v>3.9065124891827698E-3</v>
      </c>
    </row>
    <row r="300" spans="3:19">
      <c r="C300" s="71">
        <v>39696</v>
      </c>
      <c r="D300" s="118">
        <f t="shared" si="24"/>
        <v>12.396436338170064</v>
      </c>
      <c r="E300" s="92">
        <f t="shared" si="25"/>
        <v>122.51272176102974</v>
      </c>
      <c r="F300" s="92">
        <f t="shared" si="26"/>
        <v>0</v>
      </c>
      <c r="G300" s="92">
        <f t="shared" si="28"/>
        <v>134.9091580991998</v>
      </c>
      <c r="H300" s="92">
        <f t="shared" si="27"/>
        <v>134.84847628487171</v>
      </c>
      <c r="I300" s="91">
        <f t="shared" si="29"/>
        <v>-2.3890971860765918E-3</v>
      </c>
      <c r="J300" s="115"/>
      <c r="K300" s="64"/>
      <c r="L300" s="119">
        <v>39696</v>
      </c>
      <c r="M300" s="117">
        <v>-5.6310694049938131E-2</v>
      </c>
      <c r="N300" s="117">
        <v>3.4122489182820113E-3</v>
      </c>
      <c r="O300" s="117">
        <v>-4.4826364280652044E-2</v>
      </c>
      <c r="P300" s="89">
        <v>-5.9536151180356094E-2</v>
      </c>
      <c r="R300" s="71">
        <v>39696</v>
      </c>
      <c r="S300" s="99">
        <f>+I300-[1]Data!W298</f>
        <v>-2.7102510322304378E-3</v>
      </c>
    </row>
    <row r="301" spans="3:19">
      <c r="C301" s="71">
        <v>39703</v>
      </c>
      <c r="D301" s="118">
        <f t="shared" si="24"/>
        <v>12.533281321030577</v>
      </c>
      <c r="E301" s="92">
        <f t="shared" si="25"/>
        <v>122.16911575412739</v>
      </c>
      <c r="F301" s="92">
        <f t="shared" si="26"/>
        <v>0</v>
      </c>
      <c r="G301" s="92">
        <f t="shared" si="28"/>
        <v>134.70239707515796</v>
      </c>
      <c r="H301" s="92">
        <f t="shared" si="27"/>
        <v>134.64180826144042</v>
      </c>
      <c r="I301" s="91">
        <f t="shared" si="29"/>
        <v>-1.5325944283916002E-3</v>
      </c>
      <c r="J301" s="115"/>
      <c r="K301" s="64"/>
      <c r="L301" s="119">
        <v>39703</v>
      </c>
      <c r="M301" s="117">
        <v>1.1039058252503675E-2</v>
      </c>
      <c r="N301" s="117">
        <v>-2.8046557285093653E-3</v>
      </c>
      <c r="O301" s="117">
        <v>4.0437766648117358E-2</v>
      </c>
      <c r="P301" s="89">
        <v>7.6847973292179707E-3</v>
      </c>
      <c r="R301" s="71">
        <v>39703</v>
      </c>
      <c r="S301" s="99">
        <f>+I301-[1]Data!W299</f>
        <v>-1.8402867360839078E-3</v>
      </c>
    </row>
    <row r="302" spans="3:19">
      <c r="C302" s="71">
        <v>39710</v>
      </c>
      <c r="D302" s="118">
        <f t="shared" si="24"/>
        <v>12.565514614637978</v>
      </c>
      <c r="E302" s="92">
        <f t="shared" si="25"/>
        <v>120.90636367876129</v>
      </c>
      <c r="F302" s="92">
        <f t="shared" si="26"/>
        <v>0</v>
      </c>
      <c r="G302" s="92">
        <f t="shared" si="28"/>
        <v>133.47187829339927</v>
      </c>
      <c r="H302" s="92">
        <f t="shared" si="27"/>
        <v>133.41184296406553</v>
      </c>
      <c r="I302" s="91">
        <f t="shared" si="29"/>
        <v>-9.1350919395453076E-3</v>
      </c>
      <c r="J302" s="115"/>
      <c r="K302" s="64"/>
      <c r="L302" s="119">
        <v>39710</v>
      </c>
      <c r="M302" s="117">
        <v>2.5718160138410106E-3</v>
      </c>
      <c r="N302" s="117">
        <v>-1.0336099001546891E-2</v>
      </c>
      <c r="O302" s="117">
        <v>-1.3074225946395774E-2</v>
      </c>
      <c r="P302" s="89">
        <v>1.1251758087201553E-3</v>
      </c>
      <c r="R302" s="71">
        <v>39710</v>
      </c>
      <c r="S302" s="99">
        <f>+I302-[1]Data!W300</f>
        <v>-9.2543227087760766E-3</v>
      </c>
    </row>
    <row r="303" spans="3:19">
      <c r="C303" s="71">
        <v>39717</v>
      </c>
      <c r="D303" s="118">
        <f t="shared" si="24"/>
        <v>12.21319494784435</v>
      </c>
      <c r="E303" s="92">
        <f t="shared" si="25"/>
        <v>120.64006902341198</v>
      </c>
      <c r="F303" s="92">
        <f t="shared" si="26"/>
        <v>0</v>
      </c>
      <c r="G303" s="92">
        <f t="shared" si="28"/>
        <v>132.85326397125633</v>
      </c>
      <c r="H303" s="92">
        <f t="shared" si="27"/>
        <v>132.7935068931545</v>
      </c>
      <c r="I303" s="91">
        <f t="shared" si="29"/>
        <v>-4.6347914635852553E-3</v>
      </c>
      <c r="J303" s="115"/>
      <c r="K303" s="64"/>
      <c r="L303" s="119">
        <v>39717</v>
      </c>
      <c r="M303" s="117">
        <v>-2.8038618202170455E-2</v>
      </c>
      <c r="N303" s="117">
        <v>-2.2024866785080089E-3</v>
      </c>
      <c r="O303" s="117">
        <v>-4.3114349370747256E-2</v>
      </c>
      <c r="P303" s="89">
        <v>-2.7816802472604742E-2</v>
      </c>
      <c r="R303" s="71">
        <v>39717</v>
      </c>
      <c r="S303" s="99">
        <f>+I303-[1]Data!W301</f>
        <v>-4.7963299251237166E-3</v>
      </c>
    </row>
    <row r="304" spans="3:19">
      <c r="C304" s="71">
        <v>39724</v>
      </c>
      <c r="D304" s="118">
        <f t="shared" si="24"/>
        <v>11.122146797557466</v>
      </c>
      <c r="E304" s="92">
        <f t="shared" si="25"/>
        <v>120.23633196530173</v>
      </c>
      <c r="F304" s="92">
        <f t="shared" si="26"/>
        <v>0</v>
      </c>
      <c r="G304" s="92">
        <f t="shared" si="28"/>
        <v>131.35847876285919</v>
      </c>
      <c r="H304" s="92">
        <f t="shared" si="27"/>
        <v>131.29939403554329</v>
      </c>
      <c r="I304" s="91">
        <f t="shared" si="29"/>
        <v>-1.1251399955973563E-2</v>
      </c>
      <c r="J304" s="115"/>
      <c r="K304" s="64"/>
      <c r="L304" s="119">
        <v>39724</v>
      </c>
      <c r="M304" s="117">
        <v>-8.9333557267048821E-2</v>
      </c>
      <c r="N304" s="117">
        <v>-3.3466248931928147E-3</v>
      </c>
      <c r="O304" s="117">
        <v>-0.12031967780504692</v>
      </c>
      <c r="P304" s="89">
        <v>-9.033397559409119E-2</v>
      </c>
      <c r="R304" s="71">
        <v>39724</v>
      </c>
      <c r="S304" s="99">
        <f>+I304-[1]Data!W302</f>
        <v>-1.1397553802127409E-2</v>
      </c>
    </row>
    <row r="305" spans="3:19">
      <c r="C305" s="71">
        <v>39731</v>
      </c>
      <c r="D305" s="118">
        <f t="shared" si="24"/>
        <v>8.8917982332198857</v>
      </c>
      <c r="E305" s="92">
        <f t="shared" si="25"/>
        <v>118.63856403320585</v>
      </c>
      <c r="F305" s="92">
        <f t="shared" si="26"/>
        <v>0</v>
      </c>
      <c r="G305" s="92">
        <f t="shared" si="28"/>
        <v>127.53036226642574</v>
      </c>
      <c r="H305" s="92">
        <f t="shared" si="27"/>
        <v>127.47299941668831</v>
      </c>
      <c r="I305" s="91">
        <f t="shared" si="29"/>
        <v>-2.9142515446942244E-2</v>
      </c>
      <c r="J305" s="115"/>
      <c r="K305" s="64"/>
      <c r="L305" s="119">
        <v>39731</v>
      </c>
      <c r="M305" s="117">
        <v>-0.20053219984719015</v>
      </c>
      <c r="N305" s="117">
        <v>-1.3288561834678754E-2</v>
      </c>
      <c r="O305" s="117">
        <v>-0.16374561842764138</v>
      </c>
      <c r="P305" s="89">
        <v>-0.20069191937021216</v>
      </c>
      <c r="R305" s="71">
        <v>39731</v>
      </c>
      <c r="S305" s="99">
        <f>+I305-[1]Data!W303</f>
        <v>-2.9252130831557629E-2</v>
      </c>
    </row>
    <row r="306" spans="3:19">
      <c r="C306" s="71">
        <v>39738</v>
      </c>
      <c r="D306" s="118">
        <f t="shared" si="24"/>
        <v>9.2868025948814932</v>
      </c>
      <c r="E306" s="92">
        <f t="shared" si="25"/>
        <v>117.42305778378879</v>
      </c>
      <c r="F306" s="92">
        <f t="shared" si="26"/>
        <v>0</v>
      </c>
      <c r="G306" s="92">
        <f t="shared" si="28"/>
        <v>126.70986037867029</v>
      </c>
      <c r="H306" s="92">
        <f t="shared" si="27"/>
        <v>126.65286658870545</v>
      </c>
      <c r="I306" s="91">
        <f t="shared" si="29"/>
        <v>-6.4337768134095641E-3</v>
      </c>
      <c r="J306" s="115"/>
      <c r="K306" s="64"/>
      <c r="L306" s="119">
        <v>39738</v>
      </c>
      <c r="M306" s="117">
        <v>4.4423450836509767E-2</v>
      </c>
      <c r="N306" s="117">
        <v>-1.0245456520165234E-2</v>
      </c>
      <c r="O306" s="117">
        <v>-1.6595380667237057E-2</v>
      </c>
      <c r="P306" s="89">
        <v>3.5995053440508816E-2</v>
      </c>
      <c r="R306" s="71">
        <v>39738</v>
      </c>
      <c r="S306" s="99">
        <f>+I306-[1]Data!W304</f>
        <v>-6.5203152749480258E-3</v>
      </c>
    </row>
    <row r="307" spans="3:19">
      <c r="C307" s="71">
        <v>39745</v>
      </c>
      <c r="D307" s="118">
        <f t="shared" si="24"/>
        <v>8.5138872848349276</v>
      </c>
      <c r="E307" s="92">
        <f t="shared" si="25"/>
        <v>118.72017045984515</v>
      </c>
      <c r="F307" s="92">
        <f t="shared" si="26"/>
        <v>0</v>
      </c>
      <c r="G307" s="92">
        <f t="shared" si="28"/>
        <v>127.23405774468007</v>
      </c>
      <c r="H307" s="92">
        <f t="shared" si="27"/>
        <v>127.17682817200277</v>
      </c>
      <c r="I307" s="91">
        <f t="shared" si="29"/>
        <v>4.1369895321741335E-3</v>
      </c>
      <c r="J307" s="115"/>
      <c r="K307" s="64"/>
      <c r="L307" s="119">
        <v>39745</v>
      </c>
      <c r="M307" s="117">
        <v>-8.3227278942330951E-2</v>
      </c>
      <c r="N307" s="117">
        <v>1.1046490361754412E-2</v>
      </c>
      <c r="O307" s="117">
        <v>-0.11812804453723033</v>
      </c>
      <c r="P307" s="89">
        <v>-9.0804450697020006E-2</v>
      </c>
      <c r="R307" s="71">
        <v>39745</v>
      </c>
      <c r="S307" s="99">
        <f>+I307-[1]Data!W305</f>
        <v>3.9369895321741339E-3</v>
      </c>
    </row>
    <row r="308" spans="3:19">
      <c r="C308" s="71">
        <v>39752</v>
      </c>
      <c r="D308" s="118">
        <f t="shared" si="24"/>
        <v>9.3500970623287518</v>
      </c>
      <c r="E308" s="92">
        <f t="shared" si="25"/>
        <v>116.91623892360784</v>
      </c>
      <c r="F308" s="92">
        <f t="shared" si="26"/>
        <v>0</v>
      </c>
      <c r="G308" s="92">
        <f t="shared" si="28"/>
        <v>126.26633598593659</v>
      </c>
      <c r="H308" s="92">
        <f t="shared" si="27"/>
        <v>126.20954169217521</v>
      </c>
      <c r="I308" s="91">
        <f t="shared" si="29"/>
        <v>-7.6058390017349591E-3</v>
      </c>
      <c r="J308" s="115"/>
      <c r="K308" s="64"/>
      <c r="L308" s="119">
        <v>39752</v>
      </c>
      <c r="M308" s="117">
        <v>9.8217153870864132E-2</v>
      </c>
      <c r="N308" s="117">
        <v>-1.5194819290185034E-2</v>
      </c>
      <c r="O308" s="117">
        <v>0.10100611560465585</v>
      </c>
      <c r="P308" s="89">
        <v>0.10709429361841798</v>
      </c>
      <c r="R308" s="71">
        <v>39752</v>
      </c>
      <c r="S308" s="99">
        <f>+I308-[1]Data!W306</f>
        <v>-7.7231466940426517E-3</v>
      </c>
    </row>
    <row r="309" spans="3:19">
      <c r="C309" s="71">
        <v>39759</v>
      </c>
      <c r="D309" s="118">
        <f t="shared" si="24"/>
        <v>9.1745721271393563</v>
      </c>
      <c r="E309" s="92">
        <f t="shared" si="25"/>
        <v>118.78030151105305</v>
      </c>
      <c r="F309" s="92">
        <f t="shared" si="26"/>
        <v>0</v>
      </c>
      <c r="G309" s="92">
        <f t="shared" si="28"/>
        <v>127.95487363819241</v>
      </c>
      <c r="H309" s="92">
        <f t="shared" si="27"/>
        <v>127.8973198442626</v>
      </c>
      <c r="I309" s="91">
        <f t="shared" si="29"/>
        <v>1.3372825298770808E-2</v>
      </c>
      <c r="J309" s="115"/>
      <c r="K309" s="64"/>
      <c r="L309" s="119">
        <v>39759</v>
      </c>
      <c r="M309" s="117">
        <v>-1.877252546356754E-2</v>
      </c>
      <c r="N309" s="117">
        <v>1.5943572976746014E-2</v>
      </c>
      <c r="O309" s="117">
        <v>-1.505106611718336E-2</v>
      </c>
      <c r="P309" s="89">
        <v>-1.7957731565795641E-2</v>
      </c>
      <c r="R309" s="71">
        <v>39759</v>
      </c>
      <c r="S309" s="99">
        <f>+I309-[1]Data!W307</f>
        <v>1.3297825298770808E-2</v>
      </c>
    </row>
    <row r="310" spans="3:19">
      <c r="C310" s="71">
        <v>39766</v>
      </c>
      <c r="D310" s="118">
        <f t="shared" si="24"/>
        <v>8.5898797164305556</v>
      </c>
      <c r="E310" s="92">
        <f t="shared" si="25"/>
        <v>119.29141544632029</v>
      </c>
      <c r="F310" s="92">
        <f t="shared" si="26"/>
        <v>0</v>
      </c>
      <c r="G310" s="92">
        <f t="shared" si="28"/>
        <v>127.88129516275085</v>
      </c>
      <c r="H310" s="92">
        <f t="shared" si="27"/>
        <v>127.82377446424204</v>
      </c>
      <c r="I310" s="91">
        <f t="shared" si="29"/>
        <v>-5.7503456765252208E-4</v>
      </c>
      <c r="J310" s="115"/>
      <c r="K310" s="64"/>
      <c r="L310" s="119">
        <v>39766</v>
      </c>
      <c r="M310" s="117">
        <v>-6.3729665275530215E-2</v>
      </c>
      <c r="N310" s="117">
        <v>4.3030193455071333E-3</v>
      </c>
      <c r="O310" s="117">
        <v>-0.13025286519919951</v>
      </c>
      <c r="P310" s="89">
        <v>-6.3483848708327933E-2</v>
      </c>
      <c r="R310" s="71">
        <v>39766</v>
      </c>
      <c r="S310" s="99">
        <f>+I310-[1]Data!W308</f>
        <v>-6.154191830371375E-4</v>
      </c>
    </row>
    <row r="311" spans="3:19">
      <c r="C311" s="71">
        <v>39773</v>
      </c>
      <c r="D311" s="118">
        <f t="shared" si="24"/>
        <v>7.763730633608132</v>
      </c>
      <c r="E311" s="92">
        <f t="shared" si="25"/>
        <v>120.33511869228616</v>
      </c>
      <c r="F311" s="92">
        <f t="shared" si="26"/>
        <v>0</v>
      </c>
      <c r="G311" s="92">
        <f t="shared" si="28"/>
        <v>128.09884932589429</v>
      </c>
      <c r="H311" s="92">
        <f t="shared" si="27"/>
        <v>128.04123077204696</v>
      </c>
      <c r="I311" s="91">
        <f t="shared" si="29"/>
        <v>1.7012195791930346E-3</v>
      </c>
      <c r="J311" s="115"/>
      <c r="K311" s="64"/>
      <c r="L311" s="119">
        <v>39773</v>
      </c>
      <c r="M311" s="117">
        <v>-9.6177025766982713E-2</v>
      </c>
      <c r="N311" s="117">
        <v>8.749189889825041E-3</v>
      </c>
      <c r="O311" s="117">
        <v>-0.14453043296381518</v>
      </c>
      <c r="P311" s="89">
        <v>-9.8227032005526183E-2</v>
      </c>
      <c r="R311" s="71">
        <v>39773</v>
      </c>
      <c r="S311" s="99">
        <f>+I311-[1]Data!W309</f>
        <v>1.6877580407314962E-3</v>
      </c>
    </row>
    <row r="312" spans="3:19">
      <c r="C312" s="71">
        <v>39780</v>
      </c>
      <c r="D312" s="118">
        <f t="shared" si="24"/>
        <v>8.7218408669263106</v>
      </c>
      <c r="E312" s="92">
        <f t="shared" si="25"/>
        <v>121.8598703479153</v>
      </c>
      <c r="F312" s="92">
        <f t="shared" si="26"/>
        <v>0</v>
      </c>
      <c r="G312" s="92">
        <f t="shared" si="28"/>
        <v>130.58171121484162</v>
      </c>
      <c r="H312" s="92">
        <f t="shared" si="27"/>
        <v>130.52297587569765</v>
      </c>
      <c r="I312" s="91">
        <f t="shared" si="29"/>
        <v>1.9382390255752616E-2</v>
      </c>
      <c r="J312" s="115"/>
      <c r="K312" s="64"/>
      <c r="L312" s="119">
        <v>39780</v>
      </c>
      <c r="M312" s="117">
        <v>0.12340848472648573</v>
      </c>
      <c r="N312" s="117">
        <v>1.2670878395260061E-2</v>
      </c>
      <c r="O312" s="117">
        <v>0.18178484107579468</v>
      </c>
      <c r="P312" s="89">
        <v>0.12373608415892155</v>
      </c>
      <c r="R312" s="71">
        <v>39780</v>
      </c>
      <c r="S312" s="99">
        <f>+I312-[1]Data!W310</f>
        <v>1.9368928717291078E-2</v>
      </c>
    </row>
    <row r="313" spans="3:19">
      <c r="C313" s="71">
        <v>39787</v>
      </c>
      <c r="D313" s="118">
        <f t="shared" si="24"/>
        <v>8.2868867565209836</v>
      </c>
      <c r="E313" s="92">
        <f t="shared" si="25"/>
        <v>123.01095047103813</v>
      </c>
      <c r="F313" s="92">
        <f t="shared" si="26"/>
        <v>0</v>
      </c>
      <c r="G313" s="92">
        <f t="shared" si="28"/>
        <v>131.29783722755911</v>
      </c>
      <c r="H313" s="92">
        <f t="shared" si="27"/>
        <v>131.23877977665973</v>
      </c>
      <c r="I313" s="91">
        <f t="shared" si="29"/>
        <v>5.4841218272847336E-3</v>
      </c>
      <c r="J313" s="115"/>
      <c r="K313" s="64"/>
      <c r="L313" s="119">
        <v>39787</v>
      </c>
      <c r="M313" s="117">
        <v>-4.9869530646299232E-2</v>
      </c>
      <c r="N313" s="117">
        <v>9.4459326096149356E-3</v>
      </c>
      <c r="O313" s="117">
        <v>-5.2343022654391252E-2</v>
      </c>
      <c r="P313" s="89">
        <v>-5.0397636900704396E-2</v>
      </c>
      <c r="R313" s="71">
        <v>39787</v>
      </c>
      <c r="S313" s="99">
        <f>+I313-[1]Data!W311</f>
        <v>5.476429519592426E-3</v>
      </c>
    </row>
    <row r="314" spans="3:19">
      <c r="C314" s="71">
        <v>39794</v>
      </c>
      <c r="D314" s="118">
        <f t="shared" si="24"/>
        <v>8.6479973215711734</v>
      </c>
      <c r="E314" s="92">
        <f t="shared" si="25"/>
        <v>124.47127600037309</v>
      </c>
      <c r="F314" s="92">
        <f t="shared" si="26"/>
        <v>0</v>
      </c>
      <c r="G314" s="92">
        <f t="shared" si="28"/>
        <v>133.11927332194426</v>
      </c>
      <c r="H314" s="92">
        <f t="shared" si="27"/>
        <v>133.05939659347729</v>
      </c>
      <c r="I314" s="91">
        <f t="shared" si="29"/>
        <v>1.3872552152007675E-2</v>
      </c>
      <c r="J314" s="115"/>
      <c r="K314" s="64"/>
      <c r="L314" s="119">
        <v>39794</v>
      </c>
      <c r="M314" s="117">
        <v>4.3576143328618609E-2</v>
      </c>
      <c r="N314" s="117">
        <v>1.1871508379888387E-2</v>
      </c>
      <c r="O314" s="117">
        <v>5.9709638685732987E-2</v>
      </c>
      <c r="P314" s="89">
        <v>4.9435298621745713E-2</v>
      </c>
      <c r="R314" s="71">
        <v>39794</v>
      </c>
      <c r="S314" s="99">
        <f>+I314-[1]Data!W312</f>
        <v>1.3868705998161521E-2</v>
      </c>
    </row>
    <row r="315" spans="3:19">
      <c r="C315" s="71">
        <v>39801</v>
      </c>
      <c r="D315" s="118">
        <f t="shared" si="24"/>
        <v>8.858490496492232</v>
      </c>
      <c r="E315" s="92">
        <f t="shared" si="25"/>
        <v>127.60238573827066</v>
      </c>
      <c r="F315" s="92">
        <f t="shared" si="26"/>
        <v>0</v>
      </c>
      <c r="G315" s="92">
        <f t="shared" si="28"/>
        <v>136.46087623476288</v>
      </c>
      <c r="H315" s="92">
        <f t="shared" si="27"/>
        <v>136.3994964613554</v>
      </c>
      <c r="I315" s="91">
        <f t="shared" si="29"/>
        <v>2.5102322371735784E-2</v>
      </c>
      <c r="J315" s="115"/>
      <c r="K315" s="64"/>
      <c r="L315" s="119">
        <v>39801</v>
      </c>
      <c r="M315" s="117">
        <v>2.4340106396195889E-2</v>
      </c>
      <c r="N315" s="117">
        <v>2.5155279503105463E-2</v>
      </c>
      <c r="O315" s="117">
        <v>8.2200247218788672E-2</v>
      </c>
      <c r="P315" s="89">
        <v>2.7269825345433072E-2</v>
      </c>
      <c r="R315" s="71">
        <v>39801</v>
      </c>
      <c r="S315" s="99">
        <f>+I315-[1]Data!W313</f>
        <v>2.5096553140966555E-2</v>
      </c>
    </row>
    <row r="316" spans="3:19">
      <c r="C316" s="71">
        <v>39808</v>
      </c>
      <c r="D316" s="118">
        <f t="shared" si="24"/>
        <v>8.7266270226437719</v>
      </c>
      <c r="E316" s="92">
        <f t="shared" si="25"/>
        <v>127.77418874172183</v>
      </c>
      <c r="F316" s="92">
        <f t="shared" si="26"/>
        <v>0</v>
      </c>
      <c r="G316" s="92">
        <f t="shared" si="28"/>
        <v>136.5008157643656</v>
      </c>
      <c r="H316" s="92">
        <f t="shared" si="27"/>
        <v>136.43941802625392</v>
      </c>
      <c r="I316" s="91">
        <f t="shared" si="29"/>
        <v>2.9268117503521027E-4</v>
      </c>
      <c r="J316" s="115"/>
      <c r="K316" s="64"/>
      <c r="L316" s="119">
        <v>39808</v>
      </c>
      <c r="M316" s="117">
        <v>-1.4885546685484939E-2</v>
      </c>
      <c r="N316" s="117">
        <v>1.3463933488169718E-3</v>
      </c>
      <c r="O316" s="117">
        <v>-2.3034456501047035E-2</v>
      </c>
      <c r="P316" s="89">
        <v>-1.8555511164380551E-2</v>
      </c>
      <c r="R316" s="71">
        <v>39808</v>
      </c>
      <c r="S316" s="99">
        <f>+I316-[1]Data!W314</f>
        <v>2.888350211890564E-4</v>
      </c>
    </row>
    <row r="317" spans="3:19">
      <c r="C317" s="71">
        <v>39815</v>
      </c>
      <c r="D317" s="118">
        <f t="shared" si="24"/>
        <v>9.2399178041798145</v>
      </c>
      <c r="E317" s="92">
        <f t="shared" si="25"/>
        <v>127.19005852998785</v>
      </c>
      <c r="F317" s="92">
        <f t="shared" si="26"/>
        <v>0</v>
      </c>
      <c r="G317" s="92">
        <f t="shared" si="28"/>
        <v>136.42997633416766</v>
      </c>
      <c r="H317" s="92">
        <f t="shared" si="27"/>
        <v>136.36861045946105</v>
      </c>
      <c r="I317" s="91">
        <f t="shared" si="29"/>
        <v>-5.1896708309940502E-4</v>
      </c>
      <c r="J317" s="115"/>
      <c r="K317" s="64"/>
      <c r="L317" s="119">
        <v>39815</v>
      </c>
      <c r="M317" s="117">
        <v>5.8818920552483792E-2</v>
      </c>
      <c r="N317" s="117">
        <v>-4.5715822380584682E-3</v>
      </c>
      <c r="O317" s="117">
        <v>1.9388152766952407E-2</v>
      </c>
      <c r="P317" s="89">
        <v>5.8302048939345902E-2</v>
      </c>
      <c r="R317" s="71">
        <v>39815</v>
      </c>
      <c r="S317" s="99">
        <f>+I317-[1]Data!W315</f>
        <v>-5.3627477540709736E-4</v>
      </c>
    </row>
    <row r="318" spans="3:19">
      <c r="C318" s="71">
        <v>39822</v>
      </c>
      <c r="D318" s="118">
        <f t="shared" si="24"/>
        <v>9.0119405093929217</v>
      </c>
      <c r="E318" s="92">
        <f t="shared" si="25"/>
        <v>127.83861486801601</v>
      </c>
      <c r="F318" s="92">
        <f t="shared" si="26"/>
        <v>0</v>
      </c>
      <c r="G318" s="92">
        <f t="shared" si="28"/>
        <v>136.85055537740894</v>
      </c>
      <c r="H318" s="92">
        <f t="shared" si="27"/>
        <v>136.78900032726182</v>
      </c>
      <c r="I318" s="91">
        <f t="shared" si="29"/>
        <v>3.082746582108322E-3</v>
      </c>
      <c r="J318" s="115"/>
      <c r="K318" s="64"/>
      <c r="L318" s="119">
        <v>39822</v>
      </c>
      <c r="M318" s="117">
        <v>-2.4673086884362115E-2</v>
      </c>
      <c r="N318" s="117">
        <v>5.0991118765406776E-3</v>
      </c>
      <c r="O318" s="117">
        <v>-1.1468985950492103E-2</v>
      </c>
      <c r="P318" s="89">
        <v>-2.393366954440548E-2</v>
      </c>
      <c r="R318" s="71">
        <v>39822</v>
      </c>
      <c r="S318" s="99">
        <f>+I318-[1]Data!W316</f>
        <v>3.0615927359544759E-3</v>
      </c>
    </row>
    <row r="319" spans="3:19">
      <c r="C319" s="71">
        <v>39829</v>
      </c>
      <c r="D319" s="118">
        <f t="shared" si="24"/>
        <v>8.4571371527564398</v>
      </c>
      <c r="E319" s="92">
        <f t="shared" si="25"/>
        <v>127.60668081335695</v>
      </c>
      <c r="F319" s="92">
        <f t="shared" si="26"/>
        <v>0</v>
      </c>
      <c r="G319" s="92">
        <f t="shared" si="28"/>
        <v>136.06381796611339</v>
      </c>
      <c r="H319" s="92">
        <f t="shared" si="27"/>
        <v>136.0026167885587</v>
      </c>
      <c r="I319" s="91">
        <f t="shared" si="29"/>
        <v>-5.748879930562628E-3</v>
      </c>
      <c r="J319" s="115"/>
      <c r="K319" s="64"/>
      <c r="L319" s="119">
        <v>39829</v>
      </c>
      <c r="M319" s="117">
        <v>-6.1563140153691027E-2</v>
      </c>
      <c r="N319" s="117">
        <v>-1.8142722752317016E-3</v>
      </c>
      <c r="O319" s="117">
        <v>-8.7305423958232625E-2</v>
      </c>
      <c r="P319" s="89">
        <v>-6.1257553200805719E-2</v>
      </c>
      <c r="R319" s="71">
        <v>39829</v>
      </c>
      <c r="S319" s="99">
        <f>+I319-[1]Data!W317</f>
        <v>-5.7719568536395514E-3</v>
      </c>
    </row>
    <row r="320" spans="3:19">
      <c r="C320" s="71">
        <v>39836</v>
      </c>
      <c r="D320" s="118">
        <f t="shared" si="24"/>
        <v>8.0620351144475357</v>
      </c>
      <c r="E320" s="92">
        <f t="shared" si="25"/>
        <v>125.83710987780988</v>
      </c>
      <c r="F320" s="92">
        <f t="shared" si="26"/>
        <v>0</v>
      </c>
      <c r="G320" s="92">
        <f t="shared" si="28"/>
        <v>133.89914499225742</v>
      </c>
      <c r="H320" s="92">
        <f t="shared" si="27"/>
        <v>133.83891747939185</v>
      </c>
      <c r="I320" s="91">
        <f t="shared" si="29"/>
        <v>-1.5909247632571046E-2</v>
      </c>
      <c r="J320" s="115"/>
      <c r="K320" s="64"/>
      <c r="L320" s="119">
        <v>39836</v>
      </c>
      <c r="M320" s="117">
        <v>-4.6718177933312593E-2</v>
      </c>
      <c r="N320" s="117">
        <v>-1.3867384718949863E-2</v>
      </c>
      <c r="O320" s="117">
        <v>-4.1631355932203462E-2</v>
      </c>
      <c r="P320" s="89">
        <v>-4.7670133868184146E-2</v>
      </c>
      <c r="R320" s="71">
        <v>39836</v>
      </c>
      <c r="S320" s="99">
        <f>+I320-[1]Data!W318</f>
        <v>-1.5930401478724893E-2</v>
      </c>
    </row>
    <row r="321" spans="3:19">
      <c r="C321" s="71">
        <v>39843</v>
      </c>
      <c r="D321" s="118">
        <f t="shared" si="24"/>
        <v>8.1934102050595197</v>
      </c>
      <c r="E321" s="92">
        <f t="shared" si="25"/>
        <v>125.78556897677451</v>
      </c>
      <c r="F321" s="92">
        <f t="shared" si="26"/>
        <v>0</v>
      </c>
      <c r="G321" s="92">
        <f t="shared" si="28"/>
        <v>133.97897918183403</v>
      </c>
      <c r="H321" s="92">
        <f t="shared" si="27"/>
        <v>133.91871575974233</v>
      </c>
      <c r="I321" s="91">
        <f t="shared" si="29"/>
        <v>5.962262834557137E-4</v>
      </c>
      <c r="J321" s="115"/>
      <c r="K321" s="64"/>
      <c r="L321" s="119">
        <v>39843</v>
      </c>
      <c r="M321" s="117">
        <v>1.6295524485691493E-2</v>
      </c>
      <c r="N321" s="117">
        <v>-4.0958427196397207E-4</v>
      </c>
      <c r="O321" s="117">
        <v>1.2379794406985792E-2</v>
      </c>
      <c r="P321" s="89">
        <v>1.8856834990449246E-2</v>
      </c>
      <c r="R321" s="71">
        <v>39843</v>
      </c>
      <c r="S321" s="99">
        <f>+I321-[1]Data!W319</f>
        <v>5.5968782191725215E-4</v>
      </c>
    </row>
    <row r="322" spans="3:19">
      <c r="C322" s="71">
        <v>39850</v>
      </c>
      <c r="D322" s="118">
        <f t="shared" si="24"/>
        <v>8.5050963865783586</v>
      </c>
      <c r="E322" s="92">
        <f t="shared" si="25"/>
        <v>125.36894669340542</v>
      </c>
      <c r="F322" s="92">
        <f t="shared" si="26"/>
        <v>0</v>
      </c>
      <c r="G322" s="92">
        <f t="shared" si="28"/>
        <v>133.87404307998378</v>
      </c>
      <c r="H322" s="92">
        <f t="shared" si="27"/>
        <v>133.81382685789791</v>
      </c>
      <c r="I322" s="91">
        <f t="shared" si="29"/>
        <v>-7.8322810407318374E-4</v>
      </c>
      <c r="J322" s="115"/>
      <c r="K322" s="64"/>
      <c r="L322" s="119">
        <v>39850</v>
      </c>
      <c r="M322" s="117">
        <v>3.8041081029529182E-2</v>
      </c>
      <c r="N322" s="117">
        <v>-3.3121628081678183E-3</v>
      </c>
      <c r="O322" s="117">
        <v>-1.4957964843323556E-2</v>
      </c>
      <c r="P322" s="89">
        <v>3.9467358907797227E-2</v>
      </c>
      <c r="R322" s="71">
        <v>39850</v>
      </c>
      <c r="S322" s="99">
        <f>+I322-[1]Data!W320</f>
        <v>-8.389973348424145E-4</v>
      </c>
    </row>
    <row r="323" spans="3:19">
      <c r="C323" s="71">
        <v>39857</v>
      </c>
      <c r="D323" s="118">
        <f t="shared" si="24"/>
        <v>8.1757307318990939</v>
      </c>
      <c r="E323" s="92">
        <f t="shared" si="25"/>
        <v>126.10769960824547</v>
      </c>
      <c r="F323" s="92">
        <f t="shared" si="26"/>
        <v>0</v>
      </c>
      <c r="G323" s="92">
        <f t="shared" si="28"/>
        <v>134.28343034014455</v>
      </c>
      <c r="H323" s="92">
        <f t="shared" si="27"/>
        <v>134.22302997665525</v>
      </c>
      <c r="I323" s="91">
        <f t="shared" si="29"/>
        <v>3.0580032599463393E-3</v>
      </c>
      <c r="J323" s="115"/>
      <c r="K323" s="64"/>
      <c r="L323" s="119">
        <v>39857</v>
      </c>
      <c r="M323" s="117">
        <v>-3.8725681604152823E-2</v>
      </c>
      <c r="N323" s="117">
        <v>5.8926307855699999E-3</v>
      </c>
      <c r="O323" s="117">
        <v>-6.2403014852582525E-2</v>
      </c>
      <c r="P323" s="89">
        <v>-3.5471488692595789E-2</v>
      </c>
      <c r="R323" s="71">
        <v>39857</v>
      </c>
      <c r="S323" s="99">
        <f>+I323-[1]Data!W321</f>
        <v>3.0003109522540317E-3</v>
      </c>
    </row>
    <row r="324" spans="3:19">
      <c r="C324" s="71">
        <v>39864</v>
      </c>
      <c r="D324" s="118">
        <f t="shared" si="24"/>
        <v>7.5488420095587871</v>
      </c>
      <c r="E324" s="92">
        <f t="shared" si="25"/>
        <v>125.42907774461334</v>
      </c>
      <c r="F324" s="92">
        <f t="shared" si="26"/>
        <v>0</v>
      </c>
      <c r="G324" s="92">
        <f t="shared" si="28"/>
        <v>132.97791975417212</v>
      </c>
      <c r="H324" s="92">
        <f t="shared" si="27"/>
        <v>132.9181066061995</v>
      </c>
      <c r="I324" s="91">
        <f t="shared" si="29"/>
        <v>-9.7220526960441322E-3</v>
      </c>
      <c r="J324" s="115"/>
      <c r="K324" s="64"/>
      <c r="L324" s="119">
        <v>39864</v>
      </c>
      <c r="M324" s="117">
        <v>-7.6676781916800024E-2</v>
      </c>
      <c r="N324" s="117">
        <v>-5.3812881032663769E-3</v>
      </c>
      <c r="O324" s="117">
        <v>-8.3343184773613868E-2</v>
      </c>
      <c r="P324" s="89">
        <v>-7.8394706559263491E-2</v>
      </c>
      <c r="R324" s="71">
        <v>39864</v>
      </c>
      <c r="S324" s="99">
        <f>+I324-[1]Data!W322</f>
        <v>-9.7797450037364394E-3</v>
      </c>
    </row>
    <row r="325" spans="3:19">
      <c r="C325" s="71">
        <v>39871</v>
      </c>
      <c r="D325" s="118">
        <f t="shared" ref="D325:D388" si="30">+D324*(1+M325)</f>
        <v>7.3341487388040356</v>
      </c>
      <c r="E325" s="92">
        <f t="shared" ref="E325:E388" si="31">+E324*(1+N325)</f>
        <v>123.96016206510585</v>
      </c>
      <c r="F325" s="92">
        <f t="shared" ref="F325:F388" si="32">+F324*(1+O325)</f>
        <v>0</v>
      </c>
      <c r="G325" s="92">
        <f t="shared" si="28"/>
        <v>131.29431080390989</v>
      </c>
      <c r="H325" s="92">
        <f t="shared" ref="H325:H388" si="33">+H324*(1+(((D324/G324)*M325)+((E324/G324)*N325)+((F324/G324)*O325)))</f>
        <v>131.23525493918743</v>
      </c>
      <c r="I325" s="91">
        <f t="shared" si="29"/>
        <v>-1.2660815820961917E-2</v>
      </c>
      <c r="J325" s="115"/>
      <c r="K325" s="64"/>
      <c r="L325" s="119">
        <v>39871</v>
      </c>
      <c r="M325" s="117">
        <v>-2.8440556906992414E-2</v>
      </c>
      <c r="N325" s="117">
        <v>-1.1711125569290687E-2</v>
      </c>
      <c r="O325" s="117">
        <v>-3.1854526695899055E-2</v>
      </c>
      <c r="P325" s="89">
        <v>-2.622132043077894E-2</v>
      </c>
      <c r="R325" s="71">
        <v>39871</v>
      </c>
      <c r="S325" s="99">
        <f>+I325-[1]Data!W323</f>
        <v>-1.2716585051731148E-2</v>
      </c>
    </row>
    <row r="326" spans="3:19">
      <c r="C326" s="71">
        <v>39878</v>
      </c>
      <c r="D326" s="118">
        <f t="shared" si="30"/>
        <v>6.8129461488370859</v>
      </c>
      <c r="E326" s="92">
        <f t="shared" si="31"/>
        <v>124.0288832664863</v>
      </c>
      <c r="F326" s="92">
        <f t="shared" si="32"/>
        <v>0</v>
      </c>
      <c r="G326" s="92">
        <f t="shared" ref="G326:G389" si="34">+SUM(D326:F326)</f>
        <v>130.84182941532339</v>
      </c>
      <c r="H326" s="92">
        <f t="shared" si="33"/>
        <v>130.78297707563954</v>
      </c>
      <c r="I326" s="91">
        <f t="shared" si="29"/>
        <v>-3.446313749742557E-3</v>
      </c>
      <c r="J326" s="115"/>
      <c r="K326" s="64"/>
      <c r="L326" s="119">
        <v>39878</v>
      </c>
      <c r="M326" s="117">
        <v>-7.1065178595210846E-2</v>
      </c>
      <c r="N326" s="117">
        <v>5.5438134506762817E-4</v>
      </c>
      <c r="O326" s="117">
        <v>-9.5111229519115326E-2</v>
      </c>
      <c r="P326" s="89">
        <v>-6.6089651119303178E-2</v>
      </c>
      <c r="R326" s="71">
        <v>39878</v>
      </c>
      <c r="S326" s="99">
        <f>+I326-[1]Data!W324</f>
        <v>-3.4924675958964029E-3</v>
      </c>
    </row>
    <row r="327" spans="3:19">
      <c r="C327" s="71">
        <v>39885</v>
      </c>
      <c r="D327" s="118">
        <f t="shared" si="30"/>
        <v>7.3883592780528469</v>
      </c>
      <c r="E327" s="92">
        <f t="shared" si="31"/>
        <v>124.04176849174516</v>
      </c>
      <c r="F327" s="92">
        <f t="shared" si="32"/>
        <v>0</v>
      </c>
      <c r="G327" s="92">
        <f t="shared" si="34"/>
        <v>131.43012776979802</v>
      </c>
      <c r="H327" s="92">
        <f t="shared" si="33"/>
        <v>131.37101081493145</v>
      </c>
      <c r="I327" s="91">
        <f t="shared" ref="I327:I390" si="35">+(H327-H326)/H326</f>
        <v>4.4962559534932533E-3</v>
      </c>
      <c r="J327" s="115"/>
      <c r="K327" s="64"/>
      <c r="L327" s="119">
        <v>39885</v>
      </c>
      <c r="M327" s="117">
        <v>8.4458781362007129E-2</v>
      </c>
      <c r="N327" s="117">
        <v>1.0388890812767795E-4</v>
      </c>
      <c r="O327" s="117">
        <v>0.11600176652436324</v>
      </c>
      <c r="P327" s="89">
        <v>8.4153318077803074E-2</v>
      </c>
      <c r="R327" s="71">
        <v>39885</v>
      </c>
      <c r="S327" s="99">
        <f>+I327-[1]Data!W325</f>
        <v>4.4539482611855611E-3</v>
      </c>
    </row>
    <row r="328" spans="3:19">
      <c r="C328" s="71">
        <v>39892</v>
      </c>
      <c r="D328" s="118">
        <f t="shared" si="30"/>
        <v>7.7157713997862079</v>
      </c>
      <c r="E328" s="92">
        <f t="shared" si="31"/>
        <v>126.70901012032459</v>
      </c>
      <c r="F328" s="92">
        <f t="shared" si="32"/>
        <v>0</v>
      </c>
      <c r="G328" s="92">
        <f t="shared" si="34"/>
        <v>134.4247815201108</v>
      </c>
      <c r="H328" s="92">
        <f t="shared" si="33"/>
        <v>134.36431757720121</v>
      </c>
      <c r="I328" s="91">
        <f t="shared" si="35"/>
        <v>2.2785139154379852E-2</v>
      </c>
      <c r="J328" s="115"/>
      <c r="K328" s="64"/>
      <c r="L328" s="119">
        <v>39892</v>
      </c>
      <c r="M328" s="117">
        <v>4.4314591293081775E-2</v>
      </c>
      <c r="N328" s="117">
        <v>2.1502770083102422E-2</v>
      </c>
      <c r="O328" s="117">
        <v>1.7807677087455405E-2</v>
      </c>
      <c r="P328" s="89">
        <v>4.4641443723286413E-2</v>
      </c>
      <c r="R328" s="71">
        <v>39892</v>
      </c>
      <c r="S328" s="99">
        <f>+I328-[1]Data!W326</f>
        <v>2.274283146207216E-2</v>
      </c>
    </row>
    <row r="329" spans="3:19">
      <c r="C329" s="71">
        <v>39899</v>
      </c>
      <c r="D329" s="118">
        <f t="shared" si="30"/>
        <v>8.055295425784168</v>
      </c>
      <c r="E329" s="92">
        <f t="shared" si="31"/>
        <v>125.54074969685665</v>
      </c>
      <c r="F329" s="92">
        <f t="shared" si="32"/>
        <v>0</v>
      </c>
      <c r="G329" s="92">
        <f t="shared" si="34"/>
        <v>133.59604512264082</v>
      </c>
      <c r="H329" s="92">
        <f t="shared" si="33"/>
        <v>133.53595394336645</v>
      </c>
      <c r="I329" s="91">
        <f t="shared" si="35"/>
        <v>-6.1650566815018059E-3</v>
      </c>
      <c r="J329" s="115"/>
      <c r="K329" s="64"/>
      <c r="L329" s="119">
        <v>39899</v>
      </c>
      <c r="M329" s="117">
        <v>4.4003899079665419E-2</v>
      </c>
      <c r="N329" s="117">
        <v>-9.2200264397816027E-3</v>
      </c>
      <c r="O329" s="117">
        <v>7.7501296008294501E-2</v>
      </c>
      <c r="P329" s="89">
        <v>4.6673738445219021E-2</v>
      </c>
      <c r="R329" s="71">
        <v>39899</v>
      </c>
      <c r="S329" s="99">
        <f>+I329-[1]Data!W327</f>
        <v>-6.1996720661171905E-3</v>
      </c>
    </row>
    <row r="330" spans="3:19">
      <c r="C330" s="71">
        <v>39906</v>
      </c>
      <c r="D330" s="118">
        <f t="shared" si="30"/>
        <v>8.350376577262832</v>
      </c>
      <c r="E330" s="92">
        <f t="shared" si="31"/>
        <v>125.12412741348754</v>
      </c>
      <c r="F330" s="92">
        <f t="shared" si="32"/>
        <v>0</v>
      </c>
      <c r="G330" s="92">
        <f t="shared" si="34"/>
        <v>133.47450399075038</v>
      </c>
      <c r="H330" s="92">
        <f t="shared" si="33"/>
        <v>133.41446748038436</v>
      </c>
      <c r="I330" s="91">
        <f t="shared" si="35"/>
        <v>-9.0976594238892502E-4</v>
      </c>
      <c r="J330" s="115"/>
      <c r="K330" s="64"/>
      <c r="L330" s="119">
        <v>39906</v>
      </c>
      <c r="M330" s="117">
        <v>3.6631946549612486E-2</v>
      </c>
      <c r="N330" s="117">
        <v>-3.3186219165897814E-3</v>
      </c>
      <c r="O330" s="117">
        <v>7.7940822708684201E-2</v>
      </c>
      <c r="P330" s="89">
        <v>3.7401669803580909E-2</v>
      </c>
      <c r="R330" s="71">
        <v>39906</v>
      </c>
      <c r="S330" s="99">
        <f>+I330-[1]Data!W328</f>
        <v>-9.5015055777354044E-4</v>
      </c>
    </row>
    <row r="331" spans="3:19">
      <c r="C331" s="71">
        <v>39913</v>
      </c>
      <c r="D331" s="118">
        <f t="shared" si="30"/>
        <v>8.4193362902532112</v>
      </c>
      <c r="E331" s="92">
        <f t="shared" si="31"/>
        <v>124.99957023598544</v>
      </c>
      <c r="F331" s="92">
        <f t="shared" si="32"/>
        <v>0</v>
      </c>
      <c r="G331" s="92">
        <f t="shared" si="34"/>
        <v>133.41890652623866</v>
      </c>
      <c r="H331" s="92">
        <f t="shared" si="33"/>
        <v>133.35889502347823</v>
      </c>
      <c r="I331" s="91">
        <f t="shared" si="35"/>
        <v>-4.1653995968843999E-4</v>
      </c>
      <c r="J331" s="115"/>
      <c r="K331" s="64"/>
      <c r="L331" s="119">
        <v>39913</v>
      </c>
      <c r="M331" s="117">
        <v>8.2582758217336055E-3</v>
      </c>
      <c r="N331" s="117">
        <v>-9.9546890017856819E-4</v>
      </c>
      <c r="O331" s="117">
        <v>3.0127203749163004E-2</v>
      </c>
      <c r="P331" s="89">
        <v>1.0746185336806859E-2</v>
      </c>
      <c r="R331" s="71">
        <v>39913</v>
      </c>
      <c r="S331" s="99">
        <f>+I331-[1]Data!W329</f>
        <v>-4.5307842122690155E-4</v>
      </c>
    </row>
    <row r="332" spans="3:19">
      <c r="C332" s="71">
        <v>39920</v>
      </c>
      <c r="D332" s="118">
        <f t="shared" si="30"/>
        <v>8.6079498961801555</v>
      </c>
      <c r="E332" s="92">
        <f t="shared" si="31"/>
        <v>125.86288032832759</v>
      </c>
      <c r="F332" s="92">
        <f t="shared" si="32"/>
        <v>0</v>
      </c>
      <c r="G332" s="92">
        <f t="shared" si="34"/>
        <v>134.47083022450775</v>
      </c>
      <c r="H332" s="92">
        <f t="shared" si="33"/>
        <v>134.41034556900183</v>
      </c>
      <c r="I332" s="91">
        <f t="shared" si="35"/>
        <v>7.8843675582232191E-3</v>
      </c>
      <c r="J332" s="115"/>
      <c r="K332" s="64"/>
      <c r="L332" s="119">
        <v>39920</v>
      </c>
      <c r="M332" s="117">
        <v>2.240243166736269E-2</v>
      </c>
      <c r="N332" s="117">
        <v>6.9065044840739718E-3</v>
      </c>
      <c r="O332" s="117">
        <v>3.4987001733102298E-2</v>
      </c>
      <c r="P332" s="89">
        <v>2.1171813872140628E-2</v>
      </c>
      <c r="R332" s="71">
        <v>39920</v>
      </c>
      <c r="S332" s="99">
        <f>+I332-[1]Data!W330</f>
        <v>7.8555214043770655E-3</v>
      </c>
    </row>
    <row r="333" spans="3:19">
      <c r="C333" s="71">
        <v>39927</v>
      </c>
      <c r="D333" s="118">
        <f t="shared" si="30"/>
        <v>8.6176198842623748</v>
      </c>
      <c r="E333" s="92">
        <f t="shared" si="31"/>
        <v>125.97455228057085</v>
      </c>
      <c r="F333" s="92">
        <f t="shared" si="32"/>
        <v>0</v>
      </c>
      <c r="G333" s="92">
        <f t="shared" si="34"/>
        <v>134.59217216483322</v>
      </c>
      <c r="H333" s="92">
        <f t="shared" si="33"/>
        <v>134.53163293001484</v>
      </c>
      <c r="I333" s="91">
        <f t="shared" si="35"/>
        <v>9.0236626131385298E-4</v>
      </c>
      <c r="J333" s="115"/>
      <c r="K333" s="64"/>
      <c r="L333" s="119">
        <v>39927</v>
      </c>
      <c r="M333" s="117">
        <v>1.1233787601983604E-3</v>
      </c>
      <c r="N333" s="117">
        <v>8.8725088725085614E-4</v>
      </c>
      <c r="O333" s="117">
        <v>-8.3725798011512007E-3</v>
      </c>
      <c r="P333" s="89">
        <v>1.7577860909541009E-3</v>
      </c>
      <c r="R333" s="71">
        <v>39927</v>
      </c>
      <c r="S333" s="99">
        <f>+I333-[1]Data!W331</f>
        <v>8.7736626131385302E-4</v>
      </c>
    </row>
    <row r="334" spans="3:19">
      <c r="C334" s="71">
        <v>39934</v>
      </c>
      <c r="D334" s="118">
        <f t="shared" si="30"/>
        <v>8.7539764838864116</v>
      </c>
      <c r="E334" s="92">
        <f t="shared" si="31"/>
        <v>126.25802723626526</v>
      </c>
      <c r="F334" s="92">
        <f t="shared" si="32"/>
        <v>0</v>
      </c>
      <c r="G334" s="92">
        <f t="shared" si="34"/>
        <v>135.01200372015168</v>
      </c>
      <c r="H334" s="92">
        <f t="shared" si="33"/>
        <v>134.95127564611104</v>
      </c>
      <c r="I334" s="91">
        <f t="shared" si="35"/>
        <v>3.1192865719136087E-3</v>
      </c>
      <c r="J334" s="115"/>
      <c r="K334" s="64"/>
      <c r="L334" s="119">
        <v>39934</v>
      </c>
      <c r="M334" s="117">
        <v>1.5823000022669096E-2</v>
      </c>
      <c r="N334" s="117">
        <v>2.2502557108761271E-3</v>
      </c>
      <c r="O334" s="117">
        <v>-3.6939313984168266E-3</v>
      </c>
      <c r="P334" s="89">
        <v>1.6647169981103289E-2</v>
      </c>
      <c r="R334" s="71">
        <v>39934</v>
      </c>
      <c r="S334" s="99">
        <f>+I334-[1]Data!W332</f>
        <v>3.0942865719136088E-3</v>
      </c>
    </row>
    <row r="335" spans="3:19">
      <c r="C335" s="71">
        <v>39941</v>
      </c>
      <c r="D335" s="118">
        <f t="shared" si="30"/>
        <v>9.3141520561241276</v>
      </c>
      <c r="E335" s="92">
        <f t="shared" si="31"/>
        <v>126.64887906911669</v>
      </c>
      <c r="F335" s="92">
        <f t="shared" si="32"/>
        <v>0</v>
      </c>
      <c r="G335" s="92">
        <f t="shared" si="34"/>
        <v>135.9630311252408</v>
      </c>
      <c r="H335" s="92">
        <f t="shared" si="33"/>
        <v>135.90187528136434</v>
      </c>
      <c r="I335" s="91">
        <f t="shared" si="35"/>
        <v>7.0440211157847725E-3</v>
      </c>
      <c r="J335" s="115"/>
      <c r="K335" s="64"/>
      <c r="L335" s="119">
        <v>39941</v>
      </c>
      <c r="M335" s="117">
        <v>6.3990984356519634E-2</v>
      </c>
      <c r="N335" s="117">
        <v>3.0956592733706119E-3</v>
      </c>
      <c r="O335" s="117">
        <v>8.2627118644067757E-2</v>
      </c>
      <c r="P335" s="89">
        <v>6.7357054345901918E-2</v>
      </c>
      <c r="R335" s="71">
        <v>39941</v>
      </c>
      <c r="S335" s="99">
        <f>+I335-[1]Data!W333</f>
        <v>7.0074826542463114E-3</v>
      </c>
    </row>
    <row r="336" spans="3:19">
      <c r="C336" s="71">
        <v>39948</v>
      </c>
      <c r="D336" s="118">
        <f t="shared" si="30"/>
        <v>8.9945540661743788</v>
      </c>
      <c r="E336" s="92">
        <f t="shared" si="31"/>
        <v>128.18222087491839</v>
      </c>
      <c r="F336" s="92">
        <f t="shared" si="32"/>
        <v>0</v>
      </c>
      <c r="G336" s="92">
        <f t="shared" si="34"/>
        <v>137.17677494109276</v>
      </c>
      <c r="H336" s="92">
        <f t="shared" si="33"/>
        <v>137.11507315817175</v>
      </c>
      <c r="I336" s="91">
        <f t="shared" si="35"/>
        <v>8.9270135110032164E-3</v>
      </c>
      <c r="J336" s="115"/>
      <c r="K336" s="64"/>
      <c r="L336" s="119">
        <v>39948</v>
      </c>
      <c r="M336" s="117">
        <v>-3.4313160019715412E-2</v>
      </c>
      <c r="N336" s="117">
        <v>1.2107030216705644E-2</v>
      </c>
      <c r="O336" s="117">
        <v>-5.8023483365949181E-2</v>
      </c>
      <c r="P336" s="89">
        <v>-3.3087320673356076E-2</v>
      </c>
      <c r="R336" s="71">
        <v>39948</v>
      </c>
      <c r="S336" s="99">
        <f>+I336-[1]Data!W334</f>
        <v>8.8923981263878318E-3</v>
      </c>
    </row>
    <row r="337" spans="3:19">
      <c r="C337" s="71">
        <v>39955</v>
      </c>
      <c r="D337" s="118">
        <f t="shared" si="30"/>
        <v>9.1938144266564947</v>
      </c>
      <c r="E337" s="92">
        <f t="shared" si="31"/>
        <v>128.20799132543607</v>
      </c>
      <c r="F337" s="92">
        <f t="shared" si="32"/>
        <v>0</v>
      </c>
      <c r="G337" s="92">
        <f t="shared" si="34"/>
        <v>137.40180575209257</v>
      </c>
      <c r="H337" s="92">
        <f t="shared" si="33"/>
        <v>137.34000275085486</v>
      </c>
      <c r="I337" s="91">
        <f t="shared" si="35"/>
        <v>1.6404439534057577E-3</v>
      </c>
      <c r="J337" s="115"/>
      <c r="K337" s="64"/>
      <c r="L337" s="119">
        <v>39955</v>
      </c>
      <c r="M337" s="117">
        <v>2.2153445186512435E-2</v>
      </c>
      <c r="N337" s="117">
        <v>2.0104543626860432E-4</v>
      </c>
      <c r="O337" s="117">
        <v>2.74228731692116E-2</v>
      </c>
      <c r="P337" s="89">
        <v>2.5900514579759951E-2</v>
      </c>
      <c r="R337" s="71">
        <v>39955</v>
      </c>
      <c r="S337" s="99">
        <f>+I337-[1]Data!W335</f>
        <v>1.605828568790373E-3</v>
      </c>
    </row>
    <row r="338" spans="3:19">
      <c r="C338" s="71">
        <v>39962</v>
      </c>
      <c r="D338" s="118">
        <f t="shared" si="30"/>
        <v>9.4746347876300661</v>
      </c>
      <c r="E338" s="92">
        <f t="shared" si="31"/>
        <v>128.46999090569912</v>
      </c>
      <c r="F338" s="92">
        <f t="shared" si="32"/>
        <v>0</v>
      </c>
      <c r="G338" s="92">
        <f t="shared" si="34"/>
        <v>137.94462569332919</v>
      </c>
      <c r="H338" s="92">
        <f t="shared" si="33"/>
        <v>137.88257853298953</v>
      </c>
      <c r="I338" s="91">
        <f t="shared" si="35"/>
        <v>3.9506026741453881E-3</v>
      </c>
      <c r="J338" s="115"/>
      <c r="K338" s="64"/>
      <c r="L338" s="119">
        <v>39962</v>
      </c>
      <c r="M338" s="117">
        <v>3.054448871181939E-2</v>
      </c>
      <c r="N338" s="117">
        <v>2.0435510887772653E-3</v>
      </c>
      <c r="O338" s="117">
        <v>9.1497320796683823E-2</v>
      </c>
      <c r="P338" s="89">
        <v>3.1140277545560896E-2</v>
      </c>
      <c r="R338" s="71">
        <v>39962</v>
      </c>
      <c r="S338" s="99">
        <f>+I338-[1]Data!W336</f>
        <v>3.9198334433761571E-3</v>
      </c>
    </row>
    <row r="339" spans="3:19">
      <c r="C339" s="71">
        <v>39969</v>
      </c>
      <c r="D339" s="118">
        <f t="shared" si="30"/>
        <v>9.5946793871558107</v>
      </c>
      <c r="E339" s="92">
        <f t="shared" si="31"/>
        <v>127.73123799085907</v>
      </c>
      <c r="F339" s="92">
        <f t="shared" si="32"/>
        <v>0</v>
      </c>
      <c r="G339" s="92">
        <f t="shared" si="34"/>
        <v>137.32591737801488</v>
      </c>
      <c r="H339" s="92">
        <f t="shared" si="33"/>
        <v>137.26414851118503</v>
      </c>
      <c r="I339" s="91">
        <f t="shared" si="35"/>
        <v>-4.4851933317778441E-3</v>
      </c>
      <c r="J339" s="115"/>
      <c r="K339" s="64"/>
      <c r="L339" s="119">
        <v>39969</v>
      </c>
      <c r="M339" s="117">
        <v>1.2670103092783467E-2</v>
      </c>
      <c r="N339" s="117">
        <v>-5.7503928320685608E-3</v>
      </c>
      <c r="O339" s="117">
        <v>1.7691737680622554E-2</v>
      </c>
      <c r="P339" s="89">
        <v>1.3296039563825048E-2</v>
      </c>
      <c r="R339" s="71">
        <v>39969</v>
      </c>
      <c r="S339" s="99">
        <f>+I339-[1]Data!W337</f>
        <v>-4.5140394856239977E-3</v>
      </c>
    </row>
    <row r="340" spans="3:19">
      <c r="C340" s="71">
        <v>39976</v>
      </c>
      <c r="D340" s="118">
        <f t="shared" si="30"/>
        <v>9.7128681303829492</v>
      </c>
      <c r="E340" s="92">
        <f t="shared" si="31"/>
        <v>127.62386111370209</v>
      </c>
      <c r="F340" s="92">
        <f t="shared" si="32"/>
        <v>0</v>
      </c>
      <c r="G340" s="92">
        <f t="shared" si="34"/>
        <v>137.33672924408503</v>
      </c>
      <c r="H340" s="92">
        <f t="shared" si="33"/>
        <v>137.27495551410388</v>
      </c>
      <c r="I340" s="91">
        <f t="shared" si="35"/>
        <v>7.8731431594258503E-5</v>
      </c>
      <c r="J340" s="115"/>
      <c r="K340" s="64"/>
      <c r="L340" s="119">
        <v>39976</v>
      </c>
      <c r="M340" s="117">
        <v>1.2318154516487007E-2</v>
      </c>
      <c r="N340" s="117">
        <v>-8.4064696190187978E-4</v>
      </c>
      <c r="O340" s="117">
        <v>3.0035496495858585E-3</v>
      </c>
      <c r="P340" s="89">
        <v>1.1361363363603647E-2</v>
      </c>
      <c r="R340" s="71">
        <v>39976</v>
      </c>
      <c r="S340" s="99">
        <f>+I340-[1]Data!W338</f>
        <v>4.2192970055796966E-5</v>
      </c>
    </row>
    <row r="341" spans="3:19">
      <c r="C341" s="71">
        <v>39983</v>
      </c>
      <c r="D341" s="118">
        <f t="shared" si="30"/>
        <v>9.4238429310365852</v>
      </c>
      <c r="E341" s="92">
        <f t="shared" si="31"/>
        <v>128.17363072474583</v>
      </c>
      <c r="F341" s="92">
        <f t="shared" si="32"/>
        <v>0</v>
      </c>
      <c r="G341" s="92">
        <f t="shared" si="34"/>
        <v>137.59747365578241</v>
      </c>
      <c r="H341" s="92">
        <f t="shared" si="33"/>
        <v>137.53558264359299</v>
      </c>
      <c r="I341" s="91">
        <f t="shared" si="35"/>
        <v>1.8985774099364498E-3</v>
      </c>
      <c r="J341" s="115"/>
      <c r="K341" s="64"/>
      <c r="L341" s="119">
        <v>39983</v>
      </c>
      <c r="M341" s="117">
        <v>-2.9756936413278524E-2</v>
      </c>
      <c r="N341" s="117">
        <v>4.3077337282090246E-3</v>
      </c>
      <c r="O341" s="117">
        <v>-4.5916515426497294E-2</v>
      </c>
      <c r="P341" s="89">
        <v>-3.223764882718249E-2</v>
      </c>
      <c r="R341" s="71">
        <v>39983</v>
      </c>
      <c r="S341" s="99">
        <f>+I341-[1]Data!W339</f>
        <v>1.865885102244142E-3</v>
      </c>
    </row>
    <row r="342" spans="3:19">
      <c r="C342" s="71">
        <v>39990</v>
      </c>
      <c r="D342" s="118">
        <f t="shared" si="30"/>
        <v>9.4137822363651846</v>
      </c>
      <c r="E342" s="92">
        <f t="shared" si="31"/>
        <v>129.63825132916705</v>
      </c>
      <c r="F342" s="92">
        <f t="shared" si="32"/>
        <v>0</v>
      </c>
      <c r="G342" s="92">
        <f t="shared" si="34"/>
        <v>139.05203356553224</v>
      </c>
      <c r="H342" s="92">
        <f t="shared" si="33"/>
        <v>138.9894882957993</v>
      </c>
      <c r="I342" s="91">
        <f t="shared" si="35"/>
        <v>1.0571123663131881E-2</v>
      </c>
      <c r="J342" s="115"/>
      <c r="K342" s="64"/>
      <c r="L342" s="119">
        <v>39990</v>
      </c>
      <c r="M342" s="117">
        <v>-1.0675787728026251E-3</v>
      </c>
      <c r="N342" s="117">
        <v>1.1426848066483372E-2</v>
      </c>
      <c r="O342" s="117">
        <v>2.6536047175195039E-2</v>
      </c>
      <c r="P342" s="89">
        <v>8.5833401455083773E-4</v>
      </c>
      <c r="R342" s="71">
        <v>39990</v>
      </c>
      <c r="S342" s="99">
        <f>+I342-[1]Data!W340</f>
        <v>1.053458520159342E-2</v>
      </c>
    </row>
    <row r="343" spans="3:19">
      <c r="C343" s="71">
        <v>39997</v>
      </c>
      <c r="D343" s="118">
        <f t="shared" si="30"/>
        <v>9.2480249659053051</v>
      </c>
      <c r="E343" s="92">
        <f t="shared" si="31"/>
        <v>130.25674214159125</v>
      </c>
      <c r="F343" s="92">
        <f t="shared" si="32"/>
        <v>0</v>
      </c>
      <c r="G343" s="92">
        <f t="shared" si="34"/>
        <v>139.50476710749655</v>
      </c>
      <c r="H343" s="92">
        <f t="shared" si="33"/>
        <v>139.44201819930706</v>
      </c>
      <c r="I343" s="91">
        <f t="shared" si="35"/>
        <v>3.2558570367902362E-3</v>
      </c>
      <c r="J343" s="115"/>
      <c r="K343" s="64"/>
      <c r="L343" s="119">
        <v>39997</v>
      </c>
      <c r="M343" s="117">
        <v>-1.7607935503284006E-2</v>
      </c>
      <c r="N343" s="117">
        <v>4.7708975250969014E-3</v>
      </c>
      <c r="O343" s="117">
        <v>-2.6961919762809327E-2</v>
      </c>
      <c r="P343" s="89">
        <v>-1.4824192428635584E-2</v>
      </c>
      <c r="R343" s="71">
        <v>39997</v>
      </c>
      <c r="S343" s="99">
        <f>+I343-[1]Data!W341</f>
        <v>3.2212416521748516E-3</v>
      </c>
    </row>
    <row r="344" spans="3:19">
      <c r="C344" s="71">
        <v>40004</v>
      </c>
      <c r="D344" s="118">
        <f t="shared" si="30"/>
        <v>8.9999262817756112</v>
      </c>
      <c r="E344" s="92">
        <f t="shared" si="31"/>
        <v>131.58821541833782</v>
      </c>
      <c r="F344" s="92">
        <f t="shared" si="32"/>
        <v>0</v>
      </c>
      <c r="G344" s="92">
        <f t="shared" si="34"/>
        <v>140.58814170011343</v>
      </c>
      <c r="H344" s="92">
        <f t="shared" si="33"/>
        <v>140.52490549264195</v>
      </c>
      <c r="I344" s="91">
        <f t="shared" si="35"/>
        <v>7.7658607306378847E-3</v>
      </c>
      <c r="J344" s="115"/>
      <c r="K344" s="64"/>
      <c r="L344" s="119">
        <v>40004</v>
      </c>
      <c r="M344" s="117">
        <v>-2.6827207435572431E-2</v>
      </c>
      <c r="N344" s="117">
        <v>1.022191446565774E-2</v>
      </c>
      <c r="O344" s="117">
        <v>-3.6564463911635779E-2</v>
      </c>
      <c r="P344" s="89">
        <v>-2.8394959376554563E-2</v>
      </c>
      <c r="R344" s="71">
        <v>40004</v>
      </c>
      <c r="S344" s="99">
        <f>+I344-[1]Data!W342</f>
        <v>7.7293222690994236E-3</v>
      </c>
    </row>
    <row r="345" spans="3:19">
      <c r="C345" s="71">
        <v>40011</v>
      </c>
      <c r="D345" s="118">
        <f t="shared" si="30"/>
        <v>9.5967305967490102</v>
      </c>
      <c r="E345" s="92">
        <f t="shared" si="31"/>
        <v>130.75497085159964</v>
      </c>
      <c r="F345" s="92">
        <f t="shared" si="32"/>
        <v>0</v>
      </c>
      <c r="G345" s="92">
        <f t="shared" si="34"/>
        <v>140.35170144834865</v>
      </c>
      <c r="H345" s="92">
        <f t="shared" si="33"/>
        <v>140.28857159113286</v>
      </c>
      <c r="I345" s="91">
        <f t="shared" si="35"/>
        <v>-1.6817937053973618E-3</v>
      </c>
      <c r="J345" s="115"/>
      <c r="K345" s="64"/>
      <c r="L345" s="119">
        <v>40011</v>
      </c>
      <c r="M345" s="117">
        <v>6.631213370957241E-2</v>
      </c>
      <c r="N345" s="117">
        <v>-6.3322126840095238E-3</v>
      </c>
      <c r="O345" s="117">
        <v>6.5823285234235973E-2</v>
      </c>
      <c r="P345" s="89">
        <v>6.6001109262340665E-2</v>
      </c>
      <c r="R345" s="71">
        <v>40011</v>
      </c>
      <c r="S345" s="99">
        <f>+I345-[1]Data!W343</f>
        <v>-1.7164090900127465E-3</v>
      </c>
    </row>
    <row r="346" spans="3:19">
      <c r="C346" s="71">
        <v>40018</v>
      </c>
      <c r="D346" s="118">
        <f t="shared" si="30"/>
        <v>10.036177832929914</v>
      </c>
      <c r="E346" s="92">
        <f t="shared" si="31"/>
        <v>130.806511752635</v>
      </c>
      <c r="F346" s="92">
        <f t="shared" si="32"/>
        <v>0</v>
      </c>
      <c r="G346" s="92">
        <f t="shared" si="34"/>
        <v>140.84268958556493</v>
      </c>
      <c r="H346" s="92">
        <f t="shared" si="33"/>
        <v>140.77933888306774</v>
      </c>
      <c r="I346" s="91">
        <f t="shared" si="35"/>
        <v>3.4982699329579054E-3</v>
      </c>
      <c r="J346" s="115"/>
      <c r="K346" s="64"/>
      <c r="L346" s="119">
        <v>40018</v>
      </c>
      <c r="M346" s="117">
        <v>4.5791348600508916E-2</v>
      </c>
      <c r="N346" s="117">
        <v>3.9417928587854201E-4</v>
      </c>
      <c r="O346" s="117">
        <v>4.9517804154302701E-2</v>
      </c>
      <c r="P346" s="89">
        <v>4.6586088209397206E-2</v>
      </c>
      <c r="R346" s="71">
        <v>40018</v>
      </c>
      <c r="S346" s="99">
        <f>+I346-[1]Data!W344</f>
        <v>3.4617314714194439E-3</v>
      </c>
    </row>
    <row r="347" spans="3:19">
      <c r="C347" s="71">
        <v>40025</v>
      </c>
      <c r="D347" s="118">
        <f t="shared" si="30"/>
        <v>10.204767726161352</v>
      </c>
      <c r="E347" s="92">
        <f t="shared" si="31"/>
        <v>131.98765740136179</v>
      </c>
      <c r="F347" s="92">
        <f t="shared" si="32"/>
        <v>0</v>
      </c>
      <c r="G347" s="92">
        <f t="shared" si="34"/>
        <v>142.19242512752314</v>
      </c>
      <c r="H347" s="92">
        <f t="shared" si="33"/>
        <v>142.12846731723062</v>
      </c>
      <c r="I347" s="91">
        <f t="shared" si="35"/>
        <v>9.5832843431909679E-3</v>
      </c>
      <c r="J347" s="115"/>
      <c r="K347" s="64"/>
      <c r="L347" s="119">
        <v>40025</v>
      </c>
      <c r="M347" s="117">
        <v>1.6798217014277503E-2</v>
      </c>
      <c r="N347" s="117">
        <v>9.0297159743884421E-3</v>
      </c>
      <c r="O347" s="117">
        <v>4.1084997349354932E-2</v>
      </c>
      <c r="P347" s="89">
        <v>1.774378585086037E-2</v>
      </c>
      <c r="R347" s="71">
        <v>40025</v>
      </c>
      <c r="S347" s="99">
        <f>+I347-[1]Data!W345</f>
        <v>9.5467458816525068E-3</v>
      </c>
    </row>
    <row r="348" spans="3:19">
      <c r="C348" s="71">
        <v>40032</v>
      </c>
      <c r="D348" s="118">
        <f t="shared" si="30"/>
        <v>10.385078817068209</v>
      </c>
      <c r="E348" s="92">
        <f t="shared" si="31"/>
        <v>131.4250025650592</v>
      </c>
      <c r="F348" s="92">
        <f t="shared" si="32"/>
        <v>0</v>
      </c>
      <c r="G348" s="92">
        <f t="shared" si="34"/>
        <v>141.81008138212741</v>
      </c>
      <c r="H348" s="92">
        <f t="shared" si="33"/>
        <v>141.74629554913054</v>
      </c>
      <c r="I348" s="91">
        <f t="shared" si="35"/>
        <v>-2.6889178171961292E-3</v>
      </c>
      <c r="J348" s="115"/>
      <c r="K348" s="64"/>
      <c r="L348" s="119">
        <v>40032</v>
      </c>
      <c r="M348" s="117">
        <v>1.7669298875329059E-2</v>
      </c>
      <c r="N348" s="117">
        <v>-4.2629352424341108E-3</v>
      </c>
      <c r="O348" s="117">
        <v>3.717219723330218E-2</v>
      </c>
      <c r="P348" s="89">
        <v>1.6795671451116056E-2</v>
      </c>
      <c r="R348" s="71">
        <v>40032</v>
      </c>
      <c r="S348" s="99">
        <f>+I348-[1]Data!W346</f>
        <v>-2.7235332018115139E-3</v>
      </c>
    </row>
    <row r="349" spans="3:19">
      <c r="C349" s="71">
        <v>40039</v>
      </c>
      <c r="D349" s="118">
        <f t="shared" si="30"/>
        <v>10.392599918909935</v>
      </c>
      <c r="E349" s="92">
        <f t="shared" si="31"/>
        <v>132.6448038895625</v>
      </c>
      <c r="F349" s="92">
        <f t="shared" si="32"/>
        <v>0</v>
      </c>
      <c r="G349" s="92">
        <f t="shared" si="34"/>
        <v>143.03740380847242</v>
      </c>
      <c r="H349" s="92">
        <f t="shared" si="33"/>
        <v>142.97306592880471</v>
      </c>
      <c r="I349" s="91">
        <f t="shared" si="35"/>
        <v>8.6546909386352802E-3</v>
      </c>
      <c r="J349" s="115"/>
      <c r="K349" s="64"/>
      <c r="L349" s="119">
        <v>40039</v>
      </c>
      <c r="M349" s="117">
        <v>7.2422193169738975E-4</v>
      </c>
      <c r="N349" s="117">
        <v>9.2813490636948093E-3</v>
      </c>
      <c r="O349" s="117">
        <v>5.6460191473693801E-3</v>
      </c>
      <c r="P349" s="89">
        <v>6.2821033960296763E-4</v>
      </c>
      <c r="R349" s="71">
        <v>40039</v>
      </c>
      <c r="S349" s="99">
        <f>+I349-[1]Data!W347</f>
        <v>8.6200755540198955E-3</v>
      </c>
    </row>
    <row r="350" spans="3:19">
      <c r="C350" s="71">
        <v>40046</v>
      </c>
      <c r="D350" s="118">
        <f t="shared" si="30"/>
        <v>10.554645476772597</v>
      </c>
      <c r="E350" s="92">
        <f t="shared" si="31"/>
        <v>132.79942659266857</v>
      </c>
      <c r="F350" s="92">
        <f t="shared" si="32"/>
        <v>0</v>
      </c>
      <c r="G350" s="92">
        <f t="shared" si="34"/>
        <v>143.35407206944117</v>
      </c>
      <c r="H350" s="92">
        <f t="shared" si="33"/>
        <v>143.28959175315248</v>
      </c>
      <c r="I350" s="91">
        <f t="shared" si="35"/>
        <v>2.2138842885651056E-3</v>
      </c>
      <c r="J350" s="115"/>
      <c r="K350" s="64"/>
      <c r="L350" s="119">
        <v>40046</v>
      </c>
      <c r="M350" s="117">
        <v>1.5592398353352429E-2</v>
      </c>
      <c r="N350" s="117">
        <v>1.1656898617362745E-3</v>
      </c>
      <c r="O350" s="117">
        <v>-8.6248982912937536E-3</v>
      </c>
      <c r="P350" s="89">
        <v>1.2667109830859027E-2</v>
      </c>
      <c r="R350" s="71">
        <v>40046</v>
      </c>
      <c r="S350" s="99">
        <f>+I350-[1]Data!W348</f>
        <v>2.1811919808727978E-3</v>
      </c>
    </row>
    <row r="351" spans="3:19">
      <c r="C351" s="71">
        <v>40053</v>
      </c>
      <c r="D351" s="118">
        <f t="shared" si="30"/>
        <v>10.686704303915647</v>
      </c>
      <c r="E351" s="92">
        <f t="shared" si="31"/>
        <v>133.83024461337558</v>
      </c>
      <c r="F351" s="92">
        <f t="shared" si="32"/>
        <v>0</v>
      </c>
      <c r="G351" s="92">
        <f t="shared" si="34"/>
        <v>144.51694891729124</v>
      </c>
      <c r="H351" s="92">
        <f t="shared" si="33"/>
        <v>144.45194554179767</v>
      </c>
      <c r="I351" s="91">
        <f t="shared" si="35"/>
        <v>8.1119205828124544E-3</v>
      </c>
      <c r="J351" s="115"/>
      <c r="K351" s="64"/>
      <c r="L351" s="119">
        <v>40053</v>
      </c>
      <c r="M351" s="117">
        <v>1.2511915007819931E-2</v>
      </c>
      <c r="N351" s="117">
        <v>7.7622174067724613E-3</v>
      </c>
      <c r="O351" s="117">
        <v>2.4458305975049159E-2</v>
      </c>
      <c r="P351" s="89">
        <v>1.1852230042668029E-2</v>
      </c>
      <c r="R351" s="71">
        <v>40053</v>
      </c>
      <c r="S351" s="99">
        <f>+I351-[1]Data!W349</f>
        <v>8.0811513520432244E-3</v>
      </c>
    </row>
    <row r="352" spans="3:19">
      <c r="C352" s="71">
        <v>40060</v>
      </c>
      <c r="D352" s="118">
        <f t="shared" si="30"/>
        <v>10.504244326768298</v>
      </c>
      <c r="E352" s="92">
        <f t="shared" si="31"/>
        <v>133.97627716630907</v>
      </c>
      <c r="F352" s="92">
        <f t="shared" si="32"/>
        <v>0</v>
      </c>
      <c r="G352" s="92">
        <f t="shared" si="34"/>
        <v>144.48052149307736</v>
      </c>
      <c r="H352" s="92">
        <f t="shared" si="33"/>
        <v>144.41553450255148</v>
      </c>
      <c r="I352" s="91">
        <f t="shared" si="35"/>
        <v>-2.5206333573163224E-4</v>
      </c>
      <c r="J352" s="115"/>
      <c r="K352" s="64"/>
      <c r="L352" s="119">
        <v>40060</v>
      </c>
      <c r="M352" s="117">
        <v>-1.7073549707976345E-2</v>
      </c>
      <c r="N352" s="117">
        <v>1.0911775089060363E-3</v>
      </c>
      <c r="O352" s="117">
        <v>-2.5316455696202507E-2</v>
      </c>
      <c r="P352" s="89">
        <v>-1.4776904779067131E-2</v>
      </c>
      <c r="R352" s="71">
        <v>40060</v>
      </c>
      <c r="S352" s="99">
        <f>+I352-[1]Data!W350</f>
        <v>-2.7898641265470918E-4</v>
      </c>
    </row>
    <row r="353" spans="3:19">
      <c r="C353" s="71">
        <v>40067</v>
      </c>
      <c r="D353" s="118">
        <f t="shared" si="30"/>
        <v>10.932263395215667</v>
      </c>
      <c r="E353" s="92">
        <f t="shared" si="31"/>
        <v>135.26909476727911</v>
      </c>
      <c r="F353" s="92">
        <f t="shared" si="32"/>
        <v>0</v>
      </c>
      <c r="G353" s="92">
        <f t="shared" si="34"/>
        <v>146.20135816249478</v>
      </c>
      <c r="H353" s="92">
        <f t="shared" si="33"/>
        <v>146.13559714378033</v>
      </c>
      <c r="I353" s="91">
        <f t="shared" si="35"/>
        <v>1.1910509815676793E-2</v>
      </c>
      <c r="J353" s="115"/>
      <c r="K353" s="64"/>
      <c r="L353" s="119">
        <v>40067</v>
      </c>
      <c r="M353" s="117">
        <v>4.0747249886089895E-2</v>
      </c>
      <c r="N353" s="117">
        <v>9.6496008719904811E-3</v>
      </c>
      <c r="O353" s="117">
        <v>6.5263850073976643E-2</v>
      </c>
      <c r="P353" s="89">
        <v>4.1593503072870956E-2</v>
      </c>
      <c r="R353" s="71">
        <v>40067</v>
      </c>
      <c r="S353" s="99">
        <f>+I353-[1]Data!W351</f>
        <v>1.1883586738753716E-2</v>
      </c>
    </row>
    <row r="354" spans="3:19">
      <c r="C354" s="71">
        <v>40074</v>
      </c>
      <c r="D354" s="118">
        <f t="shared" si="30"/>
        <v>11.129570222751882</v>
      </c>
      <c r="E354" s="92">
        <f t="shared" si="31"/>
        <v>135.35070119391841</v>
      </c>
      <c r="F354" s="92">
        <f t="shared" si="32"/>
        <v>0</v>
      </c>
      <c r="G354" s="92">
        <f t="shared" si="34"/>
        <v>146.48027141667029</v>
      </c>
      <c r="H354" s="92">
        <f t="shared" si="33"/>
        <v>146.41438494344601</v>
      </c>
      <c r="I354" s="91">
        <f t="shared" si="35"/>
        <v>1.9077336741669063E-3</v>
      </c>
      <c r="J354" s="115"/>
      <c r="K354" s="64"/>
      <c r="L354" s="119">
        <v>40074</v>
      </c>
      <c r="M354" s="117">
        <v>1.8048122369843593E-2</v>
      </c>
      <c r="N354" s="117">
        <v>6.0328951546325565E-4</v>
      </c>
      <c r="O354" s="117">
        <v>3.0015432098765546E-2</v>
      </c>
      <c r="P354" s="89">
        <v>1.9211182523794366E-2</v>
      </c>
      <c r="R354" s="71">
        <v>40074</v>
      </c>
      <c r="S354" s="99">
        <f>+I354-[1]Data!W352</f>
        <v>1.8865798280130602E-3</v>
      </c>
    </row>
    <row r="355" spans="3:19">
      <c r="C355" s="71">
        <v>40081</v>
      </c>
      <c r="D355" s="118">
        <f t="shared" si="30"/>
        <v>10.894853239301623</v>
      </c>
      <c r="E355" s="92">
        <f t="shared" si="31"/>
        <v>135.88758557970334</v>
      </c>
      <c r="F355" s="92">
        <f t="shared" si="32"/>
        <v>0</v>
      </c>
      <c r="G355" s="92">
        <f t="shared" si="34"/>
        <v>146.78243881900497</v>
      </c>
      <c r="H355" s="92">
        <f t="shared" si="33"/>
        <v>146.71641643161098</v>
      </c>
      <c r="I355" s="91">
        <f t="shared" si="35"/>
        <v>2.0628539216391456E-3</v>
      </c>
      <c r="J355" s="115"/>
      <c r="K355" s="64"/>
      <c r="L355" s="119">
        <v>40081</v>
      </c>
      <c r="M355" s="117">
        <v>-2.1089492114478265E-2</v>
      </c>
      <c r="N355" s="117">
        <v>3.9666169517342054E-3</v>
      </c>
      <c r="O355" s="117">
        <v>-4.0901940220241274E-2</v>
      </c>
      <c r="P355" s="89">
        <v>-1.9951757408683542E-2</v>
      </c>
      <c r="R355" s="71">
        <v>40081</v>
      </c>
      <c r="S355" s="99">
        <f>+I355-[1]Data!W353</f>
        <v>2.0417000754852995E-3</v>
      </c>
    </row>
    <row r="356" spans="3:19">
      <c r="C356" s="71">
        <v>40088</v>
      </c>
      <c r="D356" s="118">
        <f t="shared" si="30"/>
        <v>10.636010123969463</v>
      </c>
      <c r="E356" s="92">
        <f t="shared" si="31"/>
        <v>136.53184684264522</v>
      </c>
      <c r="F356" s="92">
        <f t="shared" si="32"/>
        <v>0</v>
      </c>
      <c r="G356" s="92">
        <f t="shared" si="34"/>
        <v>147.16785696661469</v>
      </c>
      <c r="H356" s="92">
        <f t="shared" si="33"/>
        <v>147.10166121906636</v>
      </c>
      <c r="I356" s="91">
        <f t="shared" si="35"/>
        <v>2.6257783336396572E-3</v>
      </c>
      <c r="J356" s="115"/>
      <c r="K356" s="64"/>
      <c r="L356" s="119">
        <v>40088</v>
      </c>
      <c r="M356" s="117">
        <v>-2.3758292989062218E-2</v>
      </c>
      <c r="N356" s="117">
        <v>4.741134079271762E-3</v>
      </c>
      <c r="O356" s="117">
        <v>-3.0383503866281344E-2</v>
      </c>
      <c r="P356" s="89">
        <v>-2.1729193769558054E-2</v>
      </c>
      <c r="R356" s="71">
        <v>40088</v>
      </c>
      <c r="S356" s="99">
        <f>+I356-[1]Data!W354</f>
        <v>2.6027014105627342E-3</v>
      </c>
    </row>
    <row r="357" spans="3:19">
      <c r="C357" s="71">
        <v>40095</v>
      </c>
      <c r="D357" s="118">
        <f t="shared" si="30"/>
        <v>11.133574965290983</v>
      </c>
      <c r="E357" s="92">
        <f t="shared" si="31"/>
        <v>136.60486311911197</v>
      </c>
      <c r="F357" s="92">
        <f t="shared" si="32"/>
        <v>0</v>
      </c>
      <c r="G357" s="92">
        <f t="shared" si="34"/>
        <v>147.73843808440296</v>
      </c>
      <c r="H357" s="92">
        <f t="shared" si="33"/>
        <v>147.67198569084232</v>
      </c>
      <c r="I357" s="91">
        <f t="shared" si="35"/>
        <v>3.8770770299230307E-3</v>
      </c>
      <c r="J357" s="115"/>
      <c r="K357" s="64"/>
      <c r="L357" s="119">
        <v>40095</v>
      </c>
      <c r="M357" s="117">
        <v>4.6781155294333569E-2</v>
      </c>
      <c r="N357" s="117">
        <v>5.3479300364922587E-4</v>
      </c>
      <c r="O357" s="117">
        <v>5.0668599967778366E-2</v>
      </c>
      <c r="P357" s="89">
        <v>4.7191172770729234E-2</v>
      </c>
      <c r="R357" s="71">
        <v>40095</v>
      </c>
      <c r="S357" s="99">
        <f>+I357-[1]Data!W355</f>
        <v>3.8616924145384152E-3</v>
      </c>
    </row>
    <row r="358" spans="3:19">
      <c r="C358" s="71">
        <v>40102</v>
      </c>
      <c r="D358" s="118">
        <f t="shared" si="30"/>
        <v>11.293373960265859</v>
      </c>
      <c r="E358" s="92">
        <f t="shared" si="31"/>
        <v>136.13669993470751</v>
      </c>
      <c r="F358" s="92">
        <f t="shared" si="32"/>
        <v>0</v>
      </c>
      <c r="G358" s="92">
        <f t="shared" si="34"/>
        <v>147.43007389497336</v>
      </c>
      <c r="H358" s="92">
        <f t="shared" si="33"/>
        <v>147.36376020288233</v>
      </c>
      <c r="I358" s="91">
        <f t="shared" si="35"/>
        <v>-2.0872306044917052E-3</v>
      </c>
      <c r="J358" s="115"/>
      <c r="K358" s="64"/>
      <c r="L358" s="119">
        <v>40102</v>
      </c>
      <c r="M358" s="117">
        <v>1.4352891633913645E-2</v>
      </c>
      <c r="N358" s="117">
        <v>-3.4271340984122992E-3</v>
      </c>
      <c r="O358" s="117">
        <v>2.0700759027829623E-3</v>
      </c>
      <c r="P358" s="89">
        <v>1.5135914332784075E-2</v>
      </c>
      <c r="R358" s="71">
        <v>40102</v>
      </c>
      <c r="S358" s="99">
        <f>+I358-[1]Data!W356</f>
        <v>-2.1006921429532438E-3</v>
      </c>
    </row>
    <row r="359" spans="3:19">
      <c r="C359" s="71">
        <v>40109</v>
      </c>
      <c r="D359" s="118">
        <f t="shared" si="30"/>
        <v>11.266219852317807</v>
      </c>
      <c r="E359" s="92">
        <f t="shared" si="31"/>
        <v>136.21830636134683</v>
      </c>
      <c r="F359" s="92">
        <f t="shared" si="32"/>
        <v>0</v>
      </c>
      <c r="G359" s="92">
        <f t="shared" si="34"/>
        <v>147.48452621366465</v>
      </c>
      <c r="H359" s="92">
        <f t="shared" si="33"/>
        <v>147.41818802905181</v>
      </c>
      <c r="I359" s="91">
        <f t="shared" si="35"/>
        <v>3.6934335887289787E-4</v>
      </c>
      <c r="J359" s="115"/>
      <c r="K359" s="64"/>
      <c r="L359" s="119">
        <v>40109</v>
      </c>
      <c r="M359" s="117">
        <v>-2.4044282996021214E-3</v>
      </c>
      <c r="N359" s="117">
        <v>5.9944472488641389E-4</v>
      </c>
      <c r="O359" s="117">
        <v>1.5837796480489837E-2</v>
      </c>
      <c r="P359" s="89">
        <v>-1.8257429759609279E-3</v>
      </c>
      <c r="R359" s="71">
        <v>40109</v>
      </c>
      <c r="S359" s="99">
        <f>+I359-[1]Data!W357</f>
        <v>3.558818204113594E-4</v>
      </c>
    </row>
    <row r="360" spans="3:19">
      <c r="C360" s="71">
        <v>40116</v>
      </c>
      <c r="D360" s="118">
        <f t="shared" si="30"/>
        <v>10.804697693848198</v>
      </c>
      <c r="E360" s="92">
        <f t="shared" si="31"/>
        <v>136.58768281876687</v>
      </c>
      <c r="F360" s="92">
        <f t="shared" si="32"/>
        <v>0</v>
      </c>
      <c r="G360" s="92">
        <f t="shared" si="34"/>
        <v>147.39238051261506</v>
      </c>
      <c r="H360" s="92">
        <f t="shared" si="33"/>
        <v>147.32608377491658</v>
      </c>
      <c r="I360" s="91">
        <f t="shared" si="35"/>
        <v>-6.2478216132375139E-4</v>
      </c>
      <c r="J360" s="115"/>
      <c r="K360" s="64"/>
      <c r="L360" s="119">
        <v>40116</v>
      </c>
      <c r="M360" s="117">
        <v>-4.0965129787935005E-2</v>
      </c>
      <c r="N360" s="117">
        <v>2.7116506384991762E-3</v>
      </c>
      <c r="O360" s="117">
        <v>-3.5324244934849723E-2</v>
      </c>
      <c r="P360" s="89">
        <v>-4.281407716018034E-2</v>
      </c>
      <c r="R360" s="71">
        <v>40116</v>
      </c>
      <c r="S360" s="99">
        <f>+I360-[1]Data!W358</f>
        <v>-6.3824369978528986E-4</v>
      </c>
    </row>
    <row r="361" spans="3:19">
      <c r="C361" s="71">
        <v>40123</v>
      </c>
      <c r="D361" s="118">
        <f t="shared" si="30"/>
        <v>11.058852330110192</v>
      </c>
      <c r="E361" s="92">
        <f t="shared" si="31"/>
        <v>136.56620744333546</v>
      </c>
      <c r="F361" s="92">
        <f t="shared" si="32"/>
        <v>0</v>
      </c>
      <c r="G361" s="92">
        <f t="shared" si="34"/>
        <v>147.62505977344566</v>
      </c>
      <c r="H361" s="92">
        <f t="shared" si="33"/>
        <v>147.55865837717619</v>
      </c>
      <c r="I361" s="91">
        <f t="shared" si="35"/>
        <v>1.5786383259527139E-3</v>
      </c>
      <c r="J361" s="115"/>
      <c r="K361" s="64"/>
      <c r="L361" s="119">
        <v>40123</v>
      </c>
      <c r="M361" s="117">
        <v>2.3522605024544129E-2</v>
      </c>
      <c r="N361" s="117">
        <v>-1.5722776013336491E-4</v>
      </c>
      <c r="O361" s="117">
        <v>-1.0071830106183684E-2</v>
      </c>
      <c r="P361" s="89">
        <v>2.3603099897377886E-2</v>
      </c>
      <c r="R361" s="71">
        <v>40123</v>
      </c>
      <c r="S361" s="99">
        <f>+I361-[1]Data!W359</f>
        <v>1.5690229413373293E-3</v>
      </c>
    </row>
    <row r="362" spans="3:19">
      <c r="C362" s="71">
        <v>40130</v>
      </c>
      <c r="D362" s="118">
        <f t="shared" si="30"/>
        <v>11.31349534960866</v>
      </c>
      <c r="E362" s="92">
        <f t="shared" si="31"/>
        <v>137.07732137860268</v>
      </c>
      <c r="F362" s="92">
        <f t="shared" si="32"/>
        <v>0</v>
      </c>
      <c r="G362" s="92">
        <f t="shared" si="34"/>
        <v>148.39081672821135</v>
      </c>
      <c r="H362" s="92">
        <f t="shared" si="33"/>
        <v>148.32407089630829</v>
      </c>
      <c r="I362" s="91">
        <f t="shared" si="35"/>
        <v>5.1871745619672133E-3</v>
      </c>
      <c r="J362" s="115"/>
      <c r="K362" s="64"/>
      <c r="L362" s="119">
        <v>40130</v>
      </c>
      <c r="M362" s="117">
        <v>2.3026170519082428E-2</v>
      </c>
      <c r="N362" s="117">
        <v>3.742609133224298E-3</v>
      </c>
      <c r="O362" s="117">
        <v>3.0601782474958445E-2</v>
      </c>
      <c r="P362" s="89">
        <v>2.3646546359676526E-2</v>
      </c>
      <c r="R362" s="71">
        <v>40130</v>
      </c>
      <c r="S362" s="99">
        <f>+I362-[1]Data!W360</f>
        <v>5.1737130235056748E-3</v>
      </c>
    </row>
    <row r="363" spans="3:19">
      <c r="C363" s="71">
        <v>40137</v>
      </c>
      <c r="D363" s="118">
        <f t="shared" si="30"/>
        <v>11.191008833900536</v>
      </c>
      <c r="E363" s="92">
        <f t="shared" si="31"/>
        <v>137.99217237198016</v>
      </c>
      <c r="F363" s="92">
        <f t="shared" si="32"/>
        <v>0</v>
      </c>
      <c r="G363" s="92">
        <f t="shared" si="34"/>
        <v>149.18318120588069</v>
      </c>
      <c r="H363" s="92">
        <f t="shared" si="33"/>
        <v>149.11607897034432</v>
      </c>
      <c r="I363" s="91">
        <f t="shared" si="35"/>
        <v>5.3397137042558484E-3</v>
      </c>
      <c r="J363" s="115"/>
      <c r="K363" s="64"/>
      <c r="L363" s="119">
        <v>40137</v>
      </c>
      <c r="M363" s="117">
        <v>-1.0826584704643141E-2</v>
      </c>
      <c r="N363" s="117">
        <v>6.6739777534074746E-3</v>
      </c>
      <c r="O363" s="117">
        <v>-1.6224075916430523E-2</v>
      </c>
      <c r="P363" s="89">
        <v>-9.1185410334348026E-3</v>
      </c>
      <c r="R363" s="71">
        <v>40137</v>
      </c>
      <c r="S363" s="99">
        <f>+I363-[1]Data!W361</f>
        <v>5.3320213965635408E-3</v>
      </c>
    </row>
    <row r="364" spans="3:19">
      <c r="C364" s="71">
        <v>40144</v>
      </c>
      <c r="D364" s="118">
        <f t="shared" si="30"/>
        <v>11.179873696108887</v>
      </c>
      <c r="E364" s="92">
        <f t="shared" si="31"/>
        <v>139.22056384665603</v>
      </c>
      <c r="F364" s="92">
        <f t="shared" si="32"/>
        <v>0</v>
      </c>
      <c r="G364" s="92">
        <f t="shared" si="34"/>
        <v>150.40043754276493</v>
      </c>
      <c r="H364" s="92">
        <f t="shared" si="33"/>
        <v>150.33278778826048</v>
      </c>
      <c r="I364" s="91">
        <f t="shared" si="35"/>
        <v>8.1594743257575285E-3</v>
      </c>
      <c r="J364" s="115"/>
      <c r="K364" s="64"/>
      <c r="L364" s="119">
        <v>40144</v>
      </c>
      <c r="M364" s="117">
        <v>-9.9500750619706388E-4</v>
      </c>
      <c r="N364" s="117">
        <v>8.9018924302789269E-3</v>
      </c>
      <c r="O364" s="117">
        <v>-2.567094515752634E-2</v>
      </c>
      <c r="P364" s="89">
        <v>-4.0558963871847233E-3</v>
      </c>
      <c r="R364" s="71">
        <v>40144</v>
      </c>
      <c r="S364" s="99">
        <f>+I364-[1]Data!W362</f>
        <v>8.1498589411421445E-3</v>
      </c>
    </row>
    <row r="365" spans="3:19">
      <c r="C365" s="71">
        <v>40151</v>
      </c>
      <c r="D365" s="118">
        <f t="shared" si="30"/>
        <v>11.417423302330707</v>
      </c>
      <c r="E365" s="92">
        <f t="shared" si="31"/>
        <v>138.22840150172553</v>
      </c>
      <c r="F365" s="92">
        <f t="shared" si="32"/>
        <v>0</v>
      </c>
      <c r="G365" s="92">
        <f t="shared" si="34"/>
        <v>149.64582480405625</v>
      </c>
      <c r="H365" s="92">
        <f t="shared" si="33"/>
        <v>149.57851447254387</v>
      </c>
      <c r="I365" s="91">
        <f t="shared" si="35"/>
        <v>-5.01735733643798E-3</v>
      </c>
      <c r="J365" s="115"/>
      <c r="K365" s="64"/>
      <c r="L365" s="119">
        <v>40151</v>
      </c>
      <c r="M365" s="117">
        <v>2.1247968687204185E-2</v>
      </c>
      <c r="N365" s="117">
        <v>-7.1265502560622024E-3</v>
      </c>
      <c r="O365" s="117">
        <v>6.0439121756486969E-2</v>
      </c>
      <c r="P365" s="89">
        <v>2.4229150268642557E-2</v>
      </c>
      <c r="R365" s="71">
        <v>40151</v>
      </c>
      <c r="S365" s="99">
        <f>+I365-[1]Data!W363</f>
        <v>-5.0288957979764412E-3</v>
      </c>
    </row>
    <row r="366" spans="3:19">
      <c r="C366" s="71">
        <v>40158</v>
      </c>
      <c r="D366" s="118">
        <f t="shared" si="30"/>
        <v>11.286927301544379</v>
      </c>
      <c r="E366" s="92">
        <f t="shared" si="31"/>
        <v>137.89768072008204</v>
      </c>
      <c r="F366" s="92">
        <f t="shared" si="32"/>
        <v>0</v>
      </c>
      <c r="G366" s="92">
        <f t="shared" si="34"/>
        <v>149.18460802162642</v>
      </c>
      <c r="H366" s="92">
        <f t="shared" si="33"/>
        <v>149.11750514431176</v>
      </c>
      <c r="I366" s="91">
        <f t="shared" si="35"/>
        <v>-3.0820558009802281E-3</v>
      </c>
      <c r="J366" s="115"/>
      <c r="K366" s="64"/>
      <c r="L366" s="119">
        <v>40158</v>
      </c>
      <c r="M366" s="117">
        <v>-1.1429549148772459E-2</v>
      </c>
      <c r="N366" s="117">
        <v>-2.3925675045831088E-3</v>
      </c>
      <c r="O366" s="117">
        <v>-1.5359132660743804E-2</v>
      </c>
      <c r="P366" s="89">
        <v>-1.1326806776036764E-2</v>
      </c>
      <c r="R366" s="71">
        <v>40158</v>
      </c>
      <c r="S366" s="99">
        <f>+I366-[1]Data!W364</f>
        <v>-3.0878250317494587E-3</v>
      </c>
    </row>
    <row r="367" spans="3:19">
      <c r="C367" s="71">
        <v>40165</v>
      </c>
      <c r="D367" s="118">
        <f t="shared" si="30"/>
        <v>11.175282893686017</v>
      </c>
      <c r="E367" s="92">
        <f t="shared" si="31"/>
        <v>137.46387813636784</v>
      </c>
      <c r="F367" s="92">
        <f t="shared" si="32"/>
        <v>0</v>
      </c>
      <c r="G367" s="92">
        <f t="shared" si="34"/>
        <v>148.63916103005386</v>
      </c>
      <c r="H367" s="92">
        <f t="shared" si="33"/>
        <v>148.57230349348208</v>
      </c>
      <c r="I367" s="91">
        <f t="shared" si="35"/>
        <v>-3.656188120248198E-3</v>
      </c>
      <c r="J367" s="115"/>
      <c r="K367" s="64"/>
      <c r="L367" s="119">
        <v>40165</v>
      </c>
      <c r="M367" s="117">
        <v>-9.8914793083753599E-3</v>
      </c>
      <c r="N367" s="117">
        <v>-3.1458294399800378E-3</v>
      </c>
      <c r="O367" s="117">
        <v>-8.6404649028903151E-3</v>
      </c>
      <c r="P367" s="89">
        <v>-1.1625549172017568E-2</v>
      </c>
      <c r="R367" s="71">
        <v>40165</v>
      </c>
      <c r="S367" s="99">
        <f>+I367-[1]Data!W365</f>
        <v>-3.6638804279405055E-3</v>
      </c>
    </row>
    <row r="368" spans="3:19" ht="16.5" thickBot="1">
      <c r="C368" s="120">
        <v>40172</v>
      </c>
      <c r="D368" s="118">
        <f t="shared" si="30"/>
        <v>11.443405290511219</v>
      </c>
      <c r="E368" s="92">
        <f t="shared" si="31"/>
        <v>136.020732907378</v>
      </c>
      <c r="F368" s="92">
        <f t="shared" si="32"/>
        <v>0</v>
      </c>
      <c r="G368" s="92">
        <f t="shared" si="34"/>
        <v>147.46413819788921</v>
      </c>
      <c r="H368" s="92">
        <f t="shared" si="33"/>
        <v>147.39780918375681</v>
      </c>
      <c r="I368" s="91">
        <f t="shared" si="35"/>
        <v>-7.905203608671257E-3</v>
      </c>
      <c r="J368" s="115"/>
      <c r="K368" s="64"/>
      <c r="L368" s="120">
        <v>40172</v>
      </c>
      <c r="M368" s="121">
        <v>2.3992448278574656E-2</v>
      </c>
      <c r="N368" s="121">
        <v>-1.0498359631307651E-2</v>
      </c>
      <c r="O368" s="121">
        <v>2.1056691091399841E-2</v>
      </c>
      <c r="P368" s="89">
        <v>2.4140053340627788E-2</v>
      </c>
      <c r="R368" s="120">
        <v>40172</v>
      </c>
      <c r="S368" s="99">
        <f>+I368-[1]Data!W366</f>
        <v>-7.9186651471327956E-3</v>
      </c>
    </row>
    <row r="369" spans="3:19">
      <c r="C369" s="71">
        <v>40179</v>
      </c>
      <c r="D369" s="118">
        <f t="shared" si="30"/>
        <v>11.413223206497017</v>
      </c>
      <c r="E369" s="92">
        <f t="shared" si="31"/>
        <v>135.94771663091126</v>
      </c>
      <c r="F369" s="92">
        <f t="shared" si="32"/>
        <v>0</v>
      </c>
      <c r="G369" s="92">
        <f t="shared" si="34"/>
        <v>147.36093983740827</v>
      </c>
      <c r="H369" s="92">
        <f t="shared" si="33"/>
        <v>147.29465724164979</v>
      </c>
      <c r="I369" s="91">
        <f t="shared" si="35"/>
        <v>-6.9982004941757255E-4</v>
      </c>
      <c r="J369" s="115"/>
      <c r="K369" s="64"/>
      <c r="L369" s="119">
        <v>40179</v>
      </c>
      <c r="M369" s="117">
        <v>-2.637508962409026E-3</v>
      </c>
      <c r="N369" s="117">
        <v>-5.3680255139100042E-4</v>
      </c>
      <c r="O369" s="117">
        <v>4.0036259253663784E-3</v>
      </c>
      <c r="P369" s="89">
        <v>-2.6709401709396399E-4</v>
      </c>
      <c r="R369" s="71">
        <v>40179</v>
      </c>
      <c r="S369" s="99">
        <f>+I369-[1]Data!W367</f>
        <v>-7.152046648021879E-4</v>
      </c>
    </row>
    <row r="370" spans="3:19">
      <c r="C370" s="71">
        <v>40186</v>
      </c>
      <c r="D370" s="118">
        <f t="shared" si="30"/>
        <v>11.704201938789284</v>
      </c>
      <c r="E370" s="92">
        <f t="shared" si="31"/>
        <v>136.25696203712337</v>
      </c>
      <c r="F370" s="92">
        <f t="shared" si="32"/>
        <v>0</v>
      </c>
      <c r="G370" s="92">
        <f t="shared" si="34"/>
        <v>147.96116397591265</v>
      </c>
      <c r="H370" s="92">
        <f t="shared" si="33"/>
        <v>147.89461140078257</v>
      </c>
      <c r="I370" s="91">
        <f t="shared" si="35"/>
        <v>4.0731562866431811E-3</v>
      </c>
      <c r="J370" s="115"/>
      <c r="K370" s="64"/>
      <c r="L370" s="119">
        <v>40186</v>
      </c>
      <c r="M370" s="117">
        <v>2.5494877917276407E-2</v>
      </c>
      <c r="N370" s="117">
        <v>2.2747377732845551E-3</v>
      </c>
      <c r="O370" s="117">
        <v>1.0382965916785761E-2</v>
      </c>
      <c r="P370" s="89">
        <v>2.5714667379107631E-2</v>
      </c>
      <c r="R370" s="71">
        <v>40186</v>
      </c>
      <c r="S370" s="99">
        <f>+I370-[1]Data!W368</f>
        <v>4.0616178251047198E-3</v>
      </c>
    </row>
    <row r="371" spans="3:19">
      <c r="C371" s="71">
        <v>40193</v>
      </c>
      <c r="D371" s="118">
        <f t="shared" si="30"/>
        <v>11.678806010492544</v>
      </c>
      <c r="E371" s="92">
        <f t="shared" si="31"/>
        <v>137.58414023878365</v>
      </c>
      <c r="F371" s="92">
        <f t="shared" si="32"/>
        <v>0</v>
      </c>
      <c r="G371" s="92">
        <f t="shared" si="34"/>
        <v>149.26294624927618</v>
      </c>
      <c r="H371" s="92">
        <f t="shared" si="33"/>
        <v>149.19580813561544</v>
      </c>
      <c r="I371" s="91">
        <f t="shared" si="35"/>
        <v>8.798134850949586E-3</v>
      </c>
      <c r="J371" s="115"/>
      <c r="K371" s="64"/>
      <c r="L371" s="119">
        <v>40193</v>
      </c>
      <c r="M371" s="117">
        <v>-2.16981289536487E-3</v>
      </c>
      <c r="N371" s="117">
        <v>9.740259740259662E-3</v>
      </c>
      <c r="O371" s="117">
        <v>-9.1592821505695875E-3</v>
      </c>
      <c r="P371" s="89">
        <v>-2.6372338347333537E-3</v>
      </c>
      <c r="R371" s="71">
        <v>40193</v>
      </c>
      <c r="S371" s="99">
        <f>+I371-[1]Data!W369</f>
        <v>8.788519466334202E-3</v>
      </c>
    </row>
    <row r="372" spans="3:19">
      <c r="C372" s="71">
        <v>40200</v>
      </c>
      <c r="D372" s="118">
        <f t="shared" si="30"/>
        <v>11.231739995822618</v>
      </c>
      <c r="E372" s="92">
        <f t="shared" si="31"/>
        <v>137.36079633429713</v>
      </c>
      <c r="F372" s="92">
        <f t="shared" si="32"/>
        <v>0</v>
      </c>
      <c r="G372" s="92">
        <f t="shared" si="34"/>
        <v>148.59253633011974</v>
      </c>
      <c r="H372" s="92">
        <f t="shared" si="33"/>
        <v>148.52569976522568</v>
      </c>
      <c r="I372" s="91">
        <f t="shared" si="35"/>
        <v>-4.491469155625624E-3</v>
      </c>
      <c r="J372" s="115"/>
      <c r="K372" s="64"/>
      <c r="L372" s="119">
        <v>40200</v>
      </c>
      <c r="M372" s="117">
        <v>-3.8280113075623484E-2</v>
      </c>
      <c r="N372" s="117">
        <v>-1.6233259451190391E-3</v>
      </c>
      <c r="O372" s="117">
        <v>-3.6750338193296365E-2</v>
      </c>
      <c r="P372" s="89">
        <v>-3.9304018542095011E-2</v>
      </c>
      <c r="R372" s="71">
        <v>40200</v>
      </c>
      <c r="S372" s="99">
        <f>+I372-[1]Data!W370</f>
        <v>-4.5030076171640853E-3</v>
      </c>
    </row>
    <row r="373" spans="3:19">
      <c r="C373" s="71">
        <v>40207</v>
      </c>
      <c r="D373" s="118">
        <f t="shared" si="30"/>
        <v>10.935291371281821</v>
      </c>
      <c r="E373" s="92">
        <f t="shared" si="31"/>
        <v>137.54118948792086</v>
      </c>
      <c r="F373" s="92">
        <f t="shared" si="32"/>
        <v>0</v>
      </c>
      <c r="G373" s="92">
        <f t="shared" si="34"/>
        <v>148.4764808592027</v>
      </c>
      <c r="H373" s="92">
        <f t="shared" si="33"/>
        <v>148.40969649577985</v>
      </c>
      <c r="I373" s="91">
        <f t="shared" si="35"/>
        <v>-7.8103163041273521E-4</v>
      </c>
      <c r="J373" s="115"/>
      <c r="K373" s="64"/>
      <c r="L373" s="119">
        <v>40207</v>
      </c>
      <c r="M373" s="117">
        <v>-2.6393828974945546E-2</v>
      </c>
      <c r="N373" s="117">
        <v>1.313279759857465E-3</v>
      </c>
      <c r="O373" s="117">
        <v>-2.5434969181555678E-2</v>
      </c>
      <c r="P373" s="89">
        <v>-2.7048149784226566E-2</v>
      </c>
      <c r="R373" s="71">
        <v>40207</v>
      </c>
      <c r="S373" s="99">
        <f>+I373-[1]Data!W371</f>
        <v>-7.9449316887427368E-4</v>
      </c>
    </row>
    <row r="374" spans="3:19">
      <c r="C374" s="71">
        <v>40214</v>
      </c>
      <c r="D374" s="118">
        <f t="shared" si="30"/>
        <v>10.700281357889677</v>
      </c>
      <c r="E374" s="92">
        <f t="shared" si="31"/>
        <v>137.45099291110898</v>
      </c>
      <c r="F374" s="92">
        <f t="shared" si="32"/>
        <v>0</v>
      </c>
      <c r="G374" s="92">
        <f t="shared" si="34"/>
        <v>148.15127426899866</v>
      </c>
      <c r="H374" s="92">
        <f t="shared" si="33"/>
        <v>148.08463618271671</v>
      </c>
      <c r="I374" s="91">
        <f t="shared" si="35"/>
        <v>-2.1902902622834412E-3</v>
      </c>
      <c r="J374" s="115"/>
      <c r="K374" s="64"/>
      <c r="L374" s="119">
        <v>40214</v>
      </c>
      <c r="M374" s="117">
        <v>-2.14909695053325E-2</v>
      </c>
      <c r="N374" s="117">
        <v>-6.5577865908889347E-4</v>
      </c>
      <c r="O374" s="117">
        <v>-1.2088703866784012E-2</v>
      </c>
      <c r="P374" s="89">
        <v>-2.3678971815736992E-2</v>
      </c>
      <c r="R374" s="71">
        <v>40214</v>
      </c>
      <c r="S374" s="99">
        <f>+I374-[1]Data!W372</f>
        <v>-2.2095210315142104E-3</v>
      </c>
    </row>
    <row r="375" spans="3:19">
      <c r="C375" s="71">
        <v>40221</v>
      </c>
      <c r="D375" s="118">
        <f t="shared" si="30"/>
        <v>10.81593050828714</v>
      </c>
      <c r="E375" s="92">
        <f t="shared" si="31"/>
        <v>136.76378089730431</v>
      </c>
      <c r="F375" s="92">
        <f t="shared" si="32"/>
        <v>0</v>
      </c>
      <c r="G375" s="92">
        <f t="shared" si="34"/>
        <v>147.57971140559147</v>
      </c>
      <c r="H375" s="92">
        <f t="shared" si="33"/>
        <v>147.51333040690861</v>
      </c>
      <c r="I375" s="91">
        <f t="shared" si="35"/>
        <v>-3.857967919799486E-3</v>
      </c>
      <c r="J375" s="115"/>
      <c r="K375" s="64"/>
      <c r="L375" s="119">
        <v>40221</v>
      </c>
      <c r="M375" s="117">
        <v>1.0808047613831305E-2</v>
      </c>
      <c r="N375" s="117">
        <v>-4.9996875195299235E-3</v>
      </c>
      <c r="O375" s="117">
        <v>6.2398703403565318E-3</v>
      </c>
      <c r="P375" s="89">
        <v>1.2842067608656679E-2</v>
      </c>
      <c r="R375" s="71">
        <v>40221</v>
      </c>
      <c r="S375" s="99">
        <f>+I375-[1]Data!W373</f>
        <v>-3.8791217659533321E-3</v>
      </c>
    </row>
    <row r="376" spans="3:19">
      <c r="C376" s="71">
        <v>40228</v>
      </c>
      <c r="D376" s="118">
        <f t="shared" si="30"/>
        <v>11.080927252398899</v>
      </c>
      <c r="E376" s="92">
        <f t="shared" si="31"/>
        <v>136.23978173677824</v>
      </c>
      <c r="F376" s="92">
        <f t="shared" si="32"/>
        <v>0</v>
      </c>
      <c r="G376" s="92">
        <f t="shared" si="34"/>
        <v>147.32070898917715</v>
      </c>
      <c r="H376" s="92">
        <f t="shared" si="33"/>
        <v>147.25444448915727</v>
      </c>
      <c r="I376" s="91">
        <f t="shared" si="35"/>
        <v>-1.7550001551535585E-3</v>
      </c>
      <c r="J376" s="115"/>
      <c r="K376" s="64"/>
      <c r="L376" s="119">
        <v>40228</v>
      </c>
      <c r="M376" s="117">
        <v>2.4500596033666971E-2</v>
      </c>
      <c r="N376" s="117">
        <v>-3.8314176245211585E-3</v>
      </c>
      <c r="O376" s="117">
        <v>9.7447048401384691E-3</v>
      </c>
      <c r="P376" s="89">
        <v>2.2956841138659322E-2</v>
      </c>
      <c r="R376" s="71">
        <v>40228</v>
      </c>
      <c r="S376" s="99">
        <f>+I376-[1]Data!W374</f>
        <v>-1.7742309243843277E-3</v>
      </c>
    </row>
    <row r="377" spans="3:19">
      <c r="C377" s="71">
        <v>40235</v>
      </c>
      <c r="D377" s="118">
        <f t="shared" si="30"/>
        <v>11.070182821196431</v>
      </c>
      <c r="E377" s="92">
        <f t="shared" si="31"/>
        <v>137.55407471317969</v>
      </c>
      <c r="F377" s="92">
        <f t="shared" si="32"/>
        <v>0</v>
      </c>
      <c r="G377" s="92">
        <f t="shared" si="34"/>
        <v>148.62425753437611</v>
      </c>
      <c r="H377" s="92">
        <f t="shared" si="33"/>
        <v>148.55740670136075</v>
      </c>
      <c r="I377" s="91">
        <f t="shared" si="35"/>
        <v>8.8483727382464364E-3</v>
      </c>
      <c r="J377" s="115"/>
      <c r="K377" s="64"/>
      <c r="L377" s="119">
        <v>40235</v>
      </c>
      <c r="M377" s="117">
        <v>-9.6963286173928898E-4</v>
      </c>
      <c r="N377" s="117">
        <v>9.6469104665826057E-3</v>
      </c>
      <c r="O377" s="117">
        <v>2.2491625458605783E-2</v>
      </c>
      <c r="P377" s="89">
        <v>-4.8335865211982589E-4</v>
      </c>
      <c r="R377" s="71">
        <v>40235</v>
      </c>
      <c r="S377" s="99">
        <f>+I377-[1]Data!W375</f>
        <v>8.8252958151695138E-3</v>
      </c>
    </row>
    <row r="378" spans="3:19">
      <c r="C378" s="71">
        <v>40242</v>
      </c>
      <c r="D378" s="118">
        <f t="shared" si="30"/>
        <v>11.432660859308752</v>
      </c>
      <c r="E378" s="92">
        <f t="shared" si="31"/>
        <v>137.54118948792086</v>
      </c>
      <c r="F378" s="92">
        <f t="shared" si="32"/>
        <v>0</v>
      </c>
      <c r="G378" s="92">
        <f t="shared" si="34"/>
        <v>148.97385034722961</v>
      </c>
      <c r="H378" s="92">
        <f t="shared" si="33"/>
        <v>148.90684226820918</v>
      </c>
      <c r="I378" s="91">
        <f t="shared" si="35"/>
        <v>2.3521921566043782E-3</v>
      </c>
      <c r="J378" s="115"/>
      <c r="K378" s="64"/>
      <c r="L378" s="119">
        <v>40242</v>
      </c>
      <c r="M378" s="117">
        <v>3.2743636122998306E-2</v>
      </c>
      <c r="N378" s="117">
        <v>-9.3673889964318734E-5</v>
      </c>
      <c r="O378" s="117">
        <v>2.6209048361934585E-2</v>
      </c>
      <c r="P378" s="89">
        <v>3.3886010362694306E-2</v>
      </c>
      <c r="R378" s="71">
        <v>40242</v>
      </c>
      <c r="S378" s="99">
        <f>+I378-[1]Data!W376</f>
        <v>2.3252690796813015E-3</v>
      </c>
    </row>
    <row r="379" spans="3:19">
      <c r="C379" s="71">
        <v>40249</v>
      </c>
      <c r="D379" s="118">
        <f t="shared" si="30"/>
        <v>11.597832069884859</v>
      </c>
      <c r="E379" s="92">
        <f t="shared" si="31"/>
        <v>137.39086185990107</v>
      </c>
      <c r="F379" s="92">
        <f t="shared" si="32"/>
        <v>0</v>
      </c>
      <c r="G379" s="92">
        <f t="shared" si="34"/>
        <v>148.98869392978594</v>
      </c>
      <c r="H379" s="92">
        <f t="shared" si="33"/>
        <v>148.92167917415782</v>
      </c>
      <c r="I379" s="91">
        <f t="shared" si="35"/>
        <v>9.9638846158037759E-5</v>
      </c>
      <c r="J379" s="115"/>
      <c r="K379" s="64"/>
      <c r="L379" s="119">
        <v>40249</v>
      </c>
      <c r="M379" s="117">
        <v>1.4447311313500549E-2</v>
      </c>
      <c r="N379" s="117">
        <v>-1.0929644318147041E-3</v>
      </c>
      <c r="O379" s="117">
        <v>2.1435086652477904E-2</v>
      </c>
      <c r="P379" s="89">
        <v>1.4934349002706125E-2</v>
      </c>
      <c r="R379" s="71">
        <v>40249</v>
      </c>
      <c r="S379" s="99">
        <f>+I379-[1]Data!W377</f>
        <v>6.8869615388806991E-5</v>
      </c>
    </row>
    <row r="380" spans="3:19">
      <c r="C380" s="71">
        <v>40256</v>
      </c>
      <c r="D380" s="118">
        <f t="shared" si="30"/>
        <v>11.631139806612509</v>
      </c>
      <c r="E380" s="92">
        <f t="shared" si="31"/>
        <v>137.70010726611318</v>
      </c>
      <c r="F380" s="92">
        <f t="shared" si="32"/>
        <v>0</v>
      </c>
      <c r="G380" s="92">
        <f t="shared" si="34"/>
        <v>149.33124707272569</v>
      </c>
      <c r="H380" s="92">
        <f t="shared" si="33"/>
        <v>149.26407823751907</v>
      </c>
      <c r="I380" s="91">
        <f t="shared" si="35"/>
        <v>2.2991888438273276E-3</v>
      </c>
      <c r="J380" s="115"/>
      <c r="K380" s="64"/>
      <c r="L380" s="119">
        <v>40256</v>
      </c>
      <c r="M380" s="117">
        <v>2.8718933441135301E-3</v>
      </c>
      <c r="N380" s="117">
        <v>2.2508440665250321E-3</v>
      </c>
      <c r="O380" s="117">
        <v>1.1906533710373526E-2</v>
      </c>
      <c r="P380" s="89">
        <v>3.1601817104484706E-3</v>
      </c>
      <c r="R380" s="71">
        <v>40256</v>
      </c>
      <c r="S380" s="99">
        <f>+I380-[1]Data!W378</f>
        <v>2.2684196130580967E-3</v>
      </c>
    </row>
    <row r="381" spans="3:19">
      <c r="C381" s="71">
        <v>40263</v>
      </c>
      <c r="D381" s="118">
        <f t="shared" si="30"/>
        <v>11.656828764851136</v>
      </c>
      <c r="E381" s="92">
        <f t="shared" si="31"/>
        <v>136.22260143643311</v>
      </c>
      <c r="F381" s="92">
        <f t="shared" si="32"/>
        <v>0</v>
      </c>
      <c r="G381" s="92">
        <f t="shared" si="34"/>
        <v>147.87943020128424</v>
      </c>
      <c r="H381" s="92">
        <f t="shared" si="33"/>
        <v>147.81291438980909</v>
      </c>
      <c r="I381" s="91">
        <f t="shared" si="35"/>
        <v>-9.7221238012858528E-3</v>
      </c>
      <c r="J381" s="115"/>
      <c r="K381" s="64"/>
      <c r="L381" s="119">
        <v>40263</v>
      </c>
      <c r="M381" s="117">
        <v>2.2086363560020398E-3</v>
      </c>
      <c r="N381" s="117">
        <v>-1.0729881472239543E-2</v>
      </c>
      <c r="O381" s="117">
        <v>6.6186203853510386E-4</v>
      </c>
      <c r="P381" s="89">
        <v>1.3125943427183082E-3</v>
      </c>
      <c r="R381" s="71">
        <v>40263</v>
      </c>
      <c r="S381" s="99">
        <f>+I381-[1]Data!W379</f>
        <v>-9.74904687820893E-3</v>
      </c>
    </row>
    <row r="382" spans="3:19">
      <c r="C382" s="71">
        <v>40270</v>
      </c>
      <c r="D382" s="118">
        <f t="shared" si="30"/>
        <v>11.84583307736726</v>
      </c>
      <c r="E382" s="92">
        <f t="shared" si="31"/>
        <v>136.67358432049241</v>
      </c>
      <c r="F382" s="92">
        <f t="shared" si="32"/>
        <v>0</v>
      </c>
      <c r="G382" s="92">
        <f t="shared" si="34"/>
        <v>148.51941739785968</v>
      </c>
      <c r="H382" s="92">
        <f t="shared" si="33"/>
        <v>148.4526137216852</v>
      </c>
      <c r="I382" s="91">
        <f t="shared" si="35"/>
        <v>4.3277634739620954E-3</v>
      </c>
      <c r="J382" s="115"/>
      <c r="K382" s="64"/>
      <c r="L382" s="119">
        <v>40270</v>
      </c>
      <c r="M382" s="117">
        <v>1.6214042114612671E-2</v>
      </c>
      <c r="N382" s="117">
        <v>3.3106318577372758E-3</v>
      </c>
      <c r="O382" s="117">
        <v>5.1444109649446393E-3</v>
      </c>
      <c r="P382" s="89">
        <v>1.8712722029232604E-2</v>
      </c>
      <c r="R382" s="71">
        <v>40270</v>
      </c>
      <c r="S382" s="99">
        <f>+I382-[1]Data!W380</f>
        <v>4.2969942431928644E-3</v>
      </c>
    </row>
    <row r="383" spans="3:19">
      <c r="C383" s="71">
        <v>40277</v>
      </c>
      <c r="D383" s="118">
        <f t="shared" si="30"/>
        <v>11.948979616910945</v>
      </c>
      <c r="E383" s="92">
        <f t="shared" si="31"/>
        <v>136.62633849454338</v>
      </c>
      <c r="F383" s="92">
        <f t="shared" si="32"/>
        <v>0</v>
      </c>
      <c r="G383" s="92">
        <f t="shared" si="34"/>
        <v>148.57531811145432</v>
      </c>
      <c r="H383" s="92">
        <f t="shared" si="33"/>
        <v>148.50848929127352</v>
      </c>
      <c r="I383" s="91">
        <f t="shared" si="35"/>
        <v>3.7638656664595659E-4</v>
      </c>
      <c r="J383" s="115"/>
      <c r="K383" s="64"/>
      <c r="L383" s="119">
        <v>40277</v>
      </c>
      <c r="M383" s="117">
        <v>8.7074111943005583E-3</v>
      </c>
      <c r="N383" s="117">
        <v>-3.4568366801783983E-4</v>
      </c>
      <c r="O383" s="117">
        <v>1.6304745192659134E-2</v>
      </c>
      <c r="P383" s="89">
        <v>9.5222776258644982E-3</v>
      </c>
      <c r="R383" s="71">
        <v>40277</v>
      </c>
      <c r="S383" s="99">
        <f>+I383-[1]Data!W381</f>
        <v>3.4369425895364891E-4</v>
      </c>
    </row>
    <row r="384" spans="3:19">
      <c r="C384" s="71">
        <v>40284</v>
      </c>
      <c r="D384" s="118">
        <f t="shared" si="30"/>
        <v>11.938528215650363</v>
      </c>
      <c r="E384" s="92">
        <f t="shared" si="31"/>
        <v>137.3264357336069</v>
      </c>
      <c r="F384" s="92">
        <f t="shared" si="32"/>
        <v>0</v>
      </c>
      <c r="G384" s="92">
        <f t="shared" si="34"/>
        <v>149.26496394925726</v>
      </c>
      <c r="H384" s="92">
        <f t="shared" si="33"/>
        <v>149.19782492803989</v>
      </c>
      <c r="I384" s="91">
        <f t="shared" si="35"/>
        <v>4.6417254667129575E-3</v>
      </c>
      <c r="J384" s="115"/>
      <c r="K384" s="64"/>
      <c r="L384" s="119">
        <v>40284</v>
      </c>
      <c r="M384" s="117">
        <v>-8.7466893372129646E-4</v>
      </c>
      <c r="N384" s="117">
        <v>5.1241747878025632E-3</v>
      </c>
      <c r="O384" s="117">
        <v>-7.5539568345324559E-3</v>
      </c>
      <c r="P384" s="89">
        <v>-2.2625155348777273E-3</v>
      </c>
      <c r="R384" s="71">
        <v>40284</v>
      </c>
      <c r="S384" s="99">
        <f>+I384-[1]Data!W382</f>
        <v>4.6109562359437266E-3</v>
      </c>
    </row>
    <row r="385" spans="3:19">
      <c r="C385" s="71">
        <v>40291</v>
      </c>
      <c r="D385" s="118">
        <f t="shared" si="30"/>
        <v>11.969101006253748</v>
      </c>
      <c r="E385" s="92">
        <f t="shared" si="31"/>
        <v>137.21476378136364</v>
      </c>
      <c r="F385" s="92">
        <f t="shared" si="32"/>
        <v>0</v>
      </c>
      <c r="G385" s="92">
        <f t="shared" si="34"/>
        <v>149.18386478761738</v>
      </c>
      <c r="H385" s="92">
        <f t="shared" si="33"/>
        <v>149.11676224460757</v>
      </c>
      <c r="I385" s="91">
        <f t="shared" si="35"/>
        <v>-5.4332349329770191E-4</v>
      </c>
      <c r="J385" s="115"/>
      <c r="K385" s="64"/>
      <c r="L385" s="119">
        <v>40291</v>
      </c>
      <c r="M385" s="117">
        <v>2.5608508897525949E-3</v>
      </c>
      <c r="N385" s="117">
        <v>-8.1318612579360993E-4</v>
      </c>
      <c r="O385" s="117">
        <v>6.0166727075028096E-3</v>
      </c>
      <c r="P385" s="89">
        <v>1.2136697540721668E-3</v>
      </c>
      <c r="R385" s="71">
        <v>40291</v>
      </c>
      <c r="S385" s="99">
        <f>+I385-[1]Data!W383</f>
        <v>-5.7409272406693272E-4</v>
      </c>
    </row>
    <row r="386" spans="3:19">
      <c r="C386" s="71">
        <v>40298</v>
      </c>
      <c r="D386" s="118">
        <f t="shared" si="30"/>
        <v>11.707132238208139</v>
      </c>
      <c r="E386" s="92">
        <f t="shared" si="31"/>
        <v>137.85472996921922</v>
      </c>
      <c r="F386" s="92">
        <f t="shared" si="32"/>
        <v>0</v>
      </c>
      <c r="G386" s="92">
        <f t="shared" si="34"/>
        <v>149.56186220742737</v>
      </c>
      <c r="H386" s="92">
        <f t="shared" si="33"/>
        <v>149.4945896420887</v>
      </c>
      <c r="I386" s="91">
        <f t="shared" si="35"/>
        <v>2.5337687849025852E-3</v>
      </c>
      <c r="J386" s="115"/>
      <c r="K386" s="64"/>
      <c r="L386" s="119">
        <v>40298</v>
      </c>
      <c r="M386" s="117">
        <v>-2.188708808696091E-2</v>
      </c>
      <c r="N386" s="117">
        <v>4.6639747081101577E-3</v>
      </c>
      <c r="O386" s="117">
        <v>-1.3690733535091347E-3</v>
      </c>
      <c r="P386" s="89">
        <v>-1.9554676534388141E-2</v>
      </c>
      <c r="R386" s="71">
        <v>40298</v>
      </c>
      <c r="S386" s="99">
        <f>+I386-[1]Data!W384</f>
        <v>2.5029995541333543E-3</v>
      </c>
    </row>
    <row r="387" spans="3:19">
      <c r="C387" s="71">
        <v>40305</v>
      </c>
      <c r="D387" s="118">
        <f t="shared" si="30"/>
        <v>10.740328783280692</v>
      </c>
      <c r="E387" s="92">
        <f t="shared" si="31"/>
        <v>138.15968030034506</v>
      </c>
      <c r="F387" s="92">
        <f t="shared" si="32"/>
        <v>0</v>
      </c>
      <c r="G387" s="92">
        <f t="shared" si="34"/>
        <v>148.90000908362575</v>
      </c>
      <c r="H387" s="92">
        <f t="shared" si="33"/>
        <v>148.83303421822782</v>
      </c>
      <c r="I387" s="91">
        <f t="shared" si="35"/>
        <v>-4.4252800415368401E-3</v>
      </c>
      <c r="J387" s="115"/>
      <c r="K387" s="64"/>
      <c r="L387" s="119">
        <v>40305</v>
      </c>
      <c r="M387" s="117">
        <v>-8.2582432252035792E-2</v>
      </c>
      <c r="N387" s="117">
        <v>2.2121136590230448E-3</v>
      </c>
      <c r="O387" s="117">
        <v>-6.78259614690815E-2</v>
      </c>
      <c r="P387" s="89">
        <v>-8.3715633642427248E-2</v>
      </c>
      <c r="R387" s="71">
        <v>40305</v>
      </c>
      <c r="S387" s="99">
        <f>+I387-[1]Data!W385</f>
        <v>-4.4522031184599173E-3</v>
      </c>
    </row>
    <row r="388" spans="3:19">
      <c r="C388" s="71">
        <v>40312</v>
      </c>
      <c r="D388" s="118">
        <f t="shared" si="30"/>
        <v>10.976706269734967</v>
      </c>
      <c r="E388" s="92">
        <f t="shared" si="31"/>
        <v>137.48535351179922</v>
      </c>
      <c r="F388" s="92">
        <f t="shared" si="32"/>
        <v>0</v>
      </c>
      <c r="G388" s="92">
        <f t="shared" si="34"/>
        <v>148.46205978153418</v>
      </c>
      <c r="H388" s="92">
        <f t="shared" si="33"/>
        <v>148.39528190467735</v>
      </c>
      <c r="I388" s="91">
        <f t="shared" si="35"/>
        <v>-2.9412308621526691E-3</v>
      </c>
      <c r="J388" s="115"/>
      <c r="K388" s="64"/>
      <c r="L388" s="119">
        <v>40312</v>
      </c>
      <c r="M388" s="117">
        <v>2.2008403208497833E-2</v>
      </c>
      <c r="N388" s="117">
        <v>-4.8807784375291237E-3</v>
      </c>
      <c r="O388" s="117">
        <v>1.5790695874293614E-2</v>
      </c>
      <c r="P388" s="89">
        <v>2.3755415098359482E-2</v>
      </c>
      <c r="R388" s="71">
        <v>40312</v>
      </c>
      <c r="S388" s="99">
        <f>+I388-[1]Data!W386</f>
        <v>-2.9720000929219E-3</v>
      </c>
    </row>
    <row r="389" spans="3:19">
      <c r="C389" s="71">
        <v>40319</v>
      </c>
      <c r="D389" s="118">
        <f t="shared" ref="D389:D452" si="36">+D388*(1+M389)</f>
        <v>10.486662530255172</v>
      </c>
      <c r="E389" s="92">
        <f t="shared" ref="E389:E452" si="37">+E388*(1+N389)</f>
        <v>138.91990859061647</v>
      </c>
      <c r="F389" s="92">
        <f t="shared" ref="F389:F452" si="38">+F388*(1+O389)</f>
        <v>0</v>
      </c>
      <c r="G389" s="92">
        <f t="shared" si="34"/>
        <v>149.40657112087163</v>
      </c>
      <c r="H389" s="92">
        <f t="shared" ref="H389:H452" si="39">+H388*(1+(((D388/G388)*M389)+((E388/G388)*N389)+((F388/G388)*O389)))</f>
        <v>149.33936840508963</v>
      </c>
      <c r="I389" s="91">
        <f t="shared" si="35"/>
        <v>6.3619711374565307E-3</v>
      </c>
      <c r="J389" s="115"/>
      <c r="K389" s="64"/>
      <c r="L389" s="119">
        <v>40319</v>
      </c>
      <c r="M389" s="117">
        <v>-4.4643969460214698E-2</v>
      </c>
      <c r="N389" s="117">
        <v>1.0434239300218603E-2</v>
      </c>
      <c r="O389" s="117">
        <v>-5.4332088699230327E-2</v>
      </c>
      <c r="P389" s="89">
        <v>-4.8801637126703871E-2</v>
      </c>
      <c r="R389" s="71">
        <v>40319</v>
      </c>
      <c r="S389" s="99">
        <f>+I389-[1]Data!W387</f>
        <v>6.3292788297642233E-3</v>
      </c>
    </row>
    <row r="390" spans="3:19">
      <c r="C390" s="71">
        <v>40326</v>
      </c>
      <c r="D390" s="118">
        <f t="shared" si="36"/>
        <v>10.552008207295632</v>
      </c>
      <c r="E390" s="92">
        <f t="shared" si="37"/>
        <v>138.06089357336063</v>
      </c>
      <c r="F390" s="92">
        <f t="shared" si="38"/>
        <v>0</v>
      </c>
      <c r="G390" s="92">
        <f t="shared" ref="G390:G453" si="40">+SUM(D390:F390)</f>
        <v>148.61290178065627</v>
      </c>
      <c r="H390" s="92">
        <f t="shared" si="39"/>
        <v>148.54605605543159</v>
      </c>
      <c r="I390" s="91">
        <f t="shared" si="35"/>
        <v>-5.3121448023413561E-3</v>
      </c>
      <c r="J390" s="115"/>
      <c r="K390" s="64"/>
      <c r="L390" s="119">
        <v>40326</v>
      </c>
      <c r="M390" s="117">
        <v>6.2313130466370983E-3</v>
      </c>
      <c r="N390" s="117">
        <v>-6.1835270838486271E-3</v>
      </c>
      <c r="O390" s="117">
        <v>1.7485898468976645E-2</v>
      </c>
      <c r="P390" s="89">
        <v>9.7724620770128605E-3</v>
      </c>
      <c r="R390" s="71">
        <v>40326</v>
      </c>
      <c r="S390" s="99">
        <f>+I390-[1]Data!W388</f>
        <v>-5.3448371100336635E-3</v>
      </c>
    </row>
    <row r="391" spans="3:19">
      <c r="C391" s="71">
        <v>40333</v>
      </c>
      <c r="D391" s="118">
        <f t="shared" si="36"/>
        <v>10.356361882763435</v>
      </c>
      <c r="E391" s="92">
        <f t="shared" si="37"/>
        <v>138.22410642663922</v>
      </c>
      <c r="F391" s="92">
        <f t="shared" si="38"/>
        <v>0</v>
      </c>
      <c r="G391" s="92">
        <f t="shared" si="40"/>
        <v>148.58046830940265</v>
      </c>
      <c r="H391" s="92">
        <f t="shared" si="39"/>
        <v>148.51363717267526</v>
      </c>
      <c r="I391" s="91">
        <f t="shared" ref="I391:I454" si="41">+(H391-H390)/H390</f>
        <v>-2.1824128904664023E-4</v>
      </c>
      <c r="J391" s="115"/>
      <c r="K391" s="64"/>
      <c r="L391" s="119">
        <v>40333</v>
      </c>
      <c r="M391" s="117">
        <v>-1.8541145977969058E-2</v>
      </c>
      <c r="N391" s="117">
        <v>1.1821801891488161E-3</v>
      </c>
      <c r="O391" s="117">
        <v>-2.233309574720831E-2</v>
      </c>
      <c r="P391" s="89">
        <v>-1.6647407193413309E-2</v>
      </c>
      <c r="R391" s="71">
        <v>40333</v>
      </c>
      <c r="S391" s="99">
        <f>+I391-[1]Data!W389</f>
        <v>-2.4708744289279405E-4</v>
      </c>
    </row>
    <row r="392" spans="3:19">
      <c r="C392" s="71">
        <v>40340</v>
      </c>
      <c r="D392" s="118">
        <f t="shared" si="36"/>
        <v>10.555719919892848</v>
      </c>
      <c r="E392" s="92">
        <f t="shared" si="37"/>
        <v>138.31430300345107</v>
      </c>
      <c r="F392" s="92">
        <f t="shared" si="38"/>
        <v>0</v>
      </c>
      <c r="G392" s="92">
        <f t="shared" si="40"/>
        <v>148.87002292334392</v>
      </c>
      <c r="H392" s="92">
        <f t="shared" si="39"/>
        <v>148.80306154564869</v>
      </c>
      <c r="I392" s="91">
        <f t="shared" si="41"/>
        <v>1.9488067121870955E-3</v>
      </c>
      <c r="J392" s="115"/>
      <c r="K392" s="64"/>
      <c r="L392" s="119">
        <v>40340</v>
      </c>
      <c r="M392" s="117">
        <v>1.9249813726692336E-2</v>
      </c>
      <c r="N392" s="117">
        <v>6.5253868622204819E-4</v>
      </c>
      <c r="O392" s="117">
        <v>2.9566626164438975E-2</v>
      </c>
      <c r="P392" s="89">
        <v>1.7259740736660381E-2</v>
      </c>
      <c r="R392" s="71">
        <v>40340</v>
      </c>
      <c r="S392" s="99">
        <f>+I392-[1]Data!W390</f>
        <v>1.9295759429563263E-3</v>
      </c>
    </row>
    <row r="393" spans="3:19">
      <c r="C393" s="71">
        <v>40347</v>
      </c>
      <c r="D393" s="118">
        <f t="shared" si="36"/>
        <v>10.894364856065149</v>
      </c>
      <c r="E393" s="92">
        <f t="shared" si="37"/>
        <v>138.89843321518507</v>
      </c>
      <c r="F393" s="92">
        <f t="shared" si="38"/>
        <v>0</v>
      </c>
      <c r="G393" s="92">
        <f t="shared" si="40"/>
        <v>149.79279807125022</v>
      </c>
      <c r="H393" s="92">
        <f t="shared" si="39"/>
        <v>149.72542163151635</v>
      </c>
      <c r="I393" s="91">
        <f t="shared" si="41"/>
        <v>6.1985289569106844E-3</v>
      </c>
      <c r="J393" s="115"/>
      <c r="K393" s="64"/>
      <c r="L393" s="119">
        <v>40347</v>
      </c>
      <c r="M393" s="117">
        <v>3.2081652293000557E-2</v>
      </c>
      <c r="N393" s="117">
        <v>4.2232090177934164E-3</v>
      </c>
      <c r="O393" s="117">
        <v>2.439024390243898E-2</v>
      </c>
      <c r="P393" s="89">
        <v>3.3031298509079217E-2</v>
      </c>
      <c r="R393" s="71">
        <v>40347</v>
      </c>
      <c r="S393" s="99">
        <f>+I393-[1]Data!W391</f>
        <v>6.1812212646029921E-3</v>
      </c>
    </row>
    <row r="394" spans="3:19">
      <c r="C394" s="71">
        <v>40354</v>
      </c>
      <c r="D394" s="118">
        <f t="shared" si="36"/>
        <v>10.544389428806607</v>
      </c>
      <c r="E394" s="92">
        <f t="shared" si="37"/>
        <v>139.77462853278604</v>
      </c>
      <c r="F394" s="92">
        <f t="shared" si="38"/>
        <v>0</v>
      </c>
      <c r="G394" s="92">
        <f t="shared" si="40"/>
        <v>150.31901796159264</v>
      </c>
      <c r="H394" s="92">
        <f t="shared" si="39"/>
        <v>150.25140482941976</v>
      </c>
      <c r="I394" s="91">
        <f t="shared" si="41"/>
        <v>3.5129852510809956E-3</v>
      </c>
      <c r="J394" s="115"/>
      <c r="K394" s="64"/>
      <c r="L394" s="119">
        <v>40354</v>
      </c>
      <c r="M394" s="117">
        <v>-3.2124445241403982E-2</v>
      </c>
      <c r="N394" s="117">
        <v>6.3081727944587669E-3</v>
      </c>
      <c r="O394" s="117">
        <v>-1.1136712749615888E-2</v>
      </c>
      <c r="P394" s="89">
        <v>-2.8760134190662628E-2</v>
      </c>
      <c r="R394" s="71">
        <v>40354</v>
      </c>
      <c r="S394" s="99">
        <f>+I394-[1]Data!W392</f>
        <v>3.4879852510809957E-3</v>
      </c>
    </row>
    <row r="395" spans="3:19">
      <c r="C395" s="71">
        <v>40361</v>
      </c>
      <c r="D395" s="118">
        <f t="shared" si="36"/>
        <v>10.125356611910391</v>
      </c>
      <c r="E395" s="92">
        <f t="shared" si="37"/>
        <v>141.0287904579796</v>
      </c>
      <c r="F395" s="92">
        <f t="shared" si="38"/>
        <v>0</v>
      </c>
      <c r="G395" s="92">
        <f t="shared" si="40"/>
        <v>151.15414706988997</v>
      </c>
      <c r="H395" s="92">
        <f t="shared" si="39"/>
        <v>151.08615829865593</v>
      </c>
      <c r="I395" s="91">
        <f t="shared" si="41"/>
        <v>5.5557115767660929E-3</v>
      </c>
      <c r="J395" s="115"/>
      <c r="K395" s="64"/>
      <c r="L395" s="119">
        <v>40361</v>
      </c>
      <c r="M395" s="117">
        <v>-3.9739884393063668E-2</v>
      </c>
      <c r="N395" s="117">
        <v>8.9727437544172822E-3</v>
      </c>
      <c r="O395" s="117">
        <v>-4.6912621359223347E-2</v>
      </c>
      <c r="P395" s="89">
        <v>-3.9254488540280012E-2</v>
      </c>
      <c r="R395" s="71">
        <v>40361</v>
      </c>
      <c r="S395" s="99">
        <f>+I395-[1]Data!W393</f>
        <v>5.5230192690737855E-3</v>
      </c>
    </row>
    <row r="396" spans="3:19">
      <c r="C396" s="71">
        <v>40368</v>
      </c>
      <c r="D396" s="118">
        <f t="shared" si="36"/>
        <v>10.66169908220809</v>
      </c>
      <c r="E396" s="92">
        <f t="shared" si="37"/>
        <v>140.95147910642658</v>
      </c>
      <c r="F396" s="92">
        <f t="shared" si="38"/>
        <v>0</v>
      </c>
      <c r="G396" s="92">
        <f t="shared" si="40"/>
        <v>151.61317818863466</v>
      </c>
      <c r="H396" s="92">
        <f t="shared" si="39"/>
        <v>151.54498294630918</v>
      </c>
      <c r="I396" s="91">
        <f t="shared" si="41"/>
        <v>3.0368410502984271E-3</v>
      </c>
      <c r="J396" s="115"/>
      <c r="K396" s="64"/>
      <c r="L396" s="119">
        <v>40368</v>
      </c>
      <c r="M396" s="117">
        <v>5.2970230171133191E-2</v>
      </c>
      <c r="N396" s="117">
        <v>-5.4819552306991563E-4</v>
      </c>
      <c r="O396" s="117">
        <v>4.5636052481460423E-2</v>
      </c>
      <c r="P396" s="89">
        <v>5.153172047037672E-2</v>
      </c>
      <c r="R396" s="71">
        <v>40368</v>
      </c>
      <c r="S396" s="99">
        <f>+I396-[1]Data!W394</f>
        <v>3.0060718195291962E-3</v>
      </c>
    </row>
    <row r="397" spans="3:19">
      <c r="C397" s="71">
        <v>40375</v>
      </c>
      <c r="D397" s="118">
        <f t="shared" si="36"/>
        <v>10.645680112051686</v>
      </c>
      <c r="E397" s="92">
        <f t="shared" si="37"/>
        <v>142.21852625687896</v>
      </c>
      <c r="F397" s="92">
        <f t="shared" si="38"/>
        <v>0</v>
      </c>
      <c r="G397" s="92">
        <f t="shared" si="40"/>
        <v>152.86420636893064</v>
      </c>
      <c r="H397" s="92">
        <f t="shared" si="39"/>
        <v>152.79544841714329</v>
      </c>
      <c r="I397" s="91">
        <f t="shared" si="41"/>
        <v>8.2514475010838327E-3</v>
      </c>
      <c r="J397" s="115"/>
      <c r="K397" s="64"/>
      <c r="L397" s="119">
        <v>40375</v>
      </c>
      <c r="M397" s="117">
        <v>-1.5024781728398421E-3</v>
      </c>
      <c r="N397" s="117">
        <v>8.989243379955476E-3</v>
      </c>
      <c r="O397" s="117">
        <v>-1.5587249629801935E-3</v>
      </c>
      <c r="P397" s="89">
        <v>-1.7095234703325072E-3</v>
      </c>
      <c r="R397" s="71">
        <v>40375</v>
      </c>
      <c r="S397" s="99">
        <f>+I397-[1]Data!W395</f>
        <v>8.2226013472376791E-3</v>
      </c>
    </row>
    <row r="398" spans="3:19">
      <c r="C398" s="71">
        <v>40382</v>
      </c>
      <c r="D398" s="118">
        <f t="shared" si="36"/>
        <v>10.914876951997133</v>
      </c>
      <c r="E398" s="92">
        <f t="shared" si="37"/>
        <v>142.35167358455362</v>
      </c>
      <c r="F398" s="92">
        <f t="shared" si="38"/>
        <v>0</v>
      </c>
      <c r="G398" s="92">
        <f t="shared" si="40"/>
        <v>153.26655053655077</v>
      </c>
      <c r="H398" s="92">
        <f t="shared" si="39"/>
        <v>153.19761161132601</v>
      </c>
      <c r="I398" s="91">
        <f t="shared" si="41"/>
        <v>2.6320364798091572E-3</v>
      </c>
      <c r="J398" s="115"/>
      <c r="K398" s="64"/>
      <c r="L398" s="119">
        <v>40382</v>
      </c>
      <c r="M398" s="117">
        <v>2.5286955564322953E-2</v>
      </c>
      <c r="N398" s="117">
        <v>9.3621647741000923E-4</v>
      </c>
      <c r="O398" s="117">
        <v>4.0512059948481755E-2</v>
      </c>
      <c r="P398" s="89">
        <v>2.6471637531216608E-2</v>
      </c>
      <c r="R398" s="71">
        <v>40382</v>
      </c>
      <c r="S398" s="99">
        <f>+I398-[1]Data!W396</f>
        <v>2.6012672490399263E-3</v>
      </c>
    </row>
    <row r="399" spans="3:19">
      <c r="C399" s="71">
        <v>40389</v>
      </c>
      <c r="D399" s="118">
        <f t="shared" si="36"/>
        <v>10.986962317700955</v>
      </c>
      <c r="E399" s="92">
        <f t="shared" si="37"/>
        <v>143.23645905232715</v>
      </c>
      <c r="F399" s="92">
        <f t="shared" si="38"/>
        <v>0</v>
      </c>
      <c r="G399" s="92">
        <f t="shared" si="40"/>
        <v>154.22342137002809</v>
      </c>
      <c r="H399" s="92">
        <f t="shared" si="39"/>
        <v>154.15405204660749</v>
      </c>
      <c r="I399" s="91">
        <f t="shared" si="41"/>
        <v>6.2431811124317076E-3</v>
      </c>
      <c r="J399" s="115"/>
      <c r="K399" s="64"/>
      <c r="L399" s="119">
        <v>40389</v>
      </c>
      <c r="M399" s="117">
        <v>6.6043223410442355E-3</v>
      </c>
      <c r="N399" s="117">
        <v>6.2154904504722027E-3</v>
      </c>
      <c r="O399" s="117">
        <v>9.6024006001500448E-3</v>
      </c>
      <c r="P399" s="89">
        <v>7.0554705964130842E-3</v>
      </c>
      <c r="R399" s="71">
        <v>40389</v>
      </c>
      <c r="S399" s="99">
        <f>+I399-[1]Data!W397</f>
        <v>6.214334958585554E-3</v>
      </c>
    </row>
    <row r="400" spans="3:19">
      <c r="C400" s="71">
        <v>40396</v>
      </c>
      <c r="D400" s="118">
        <f t="shared" si="36"/>
        <v>11.254791684584271</v>
      </c>
      <c r="E400" s="92">
        <f t="shared" si="37"/>
        <v>144.22003124708507</v>
      </c>
      <c r="F400" s="92">
        <f t="shared" si="38"/>
        <v>0</v>
      </c>
      <c r="G400" s="92">
        <f t="shared" si="40"/>
        <v>155.47482293166934</v>
      </c>
      <c r="H400" s="92">
        <f t="shared" si="39"/>
        <v>155.40489073084083</v>
      </c>
      <c r="I400" s="91">
        <f t="shared" si="41"/>
        <v>8.1142121639148392E-3</v>
      </c>
      <c r="J400" s="115"/>
      <c r="K400" s="64"/>
      <c r="L400" s="119">
        <v>40396</v>
      </c>
      <c r="M400" s="117">
        <v>2.437701697145353E-2</v>
      </c>
      <c r="N400" s="117">
        <v>6.8667726168699615E-3</v>
      </c>
      <c r="O400" s="117">
        <v>2.9573487888244831E-2</v>
      </c>
      <c r="P400" s="89">
        <v>2.377911993097493E-2</v>
      </c>
      <c r="R400" s="71">
        <v>40396</v>
      </c>
      <c r="S400" s="99">
        <f>+I400-[1]Data!W398</f>
        <v>8.0834429331456091E-3</v>
      </c>
    </row>
    <row r="401" spans="3:19">
      <c r="C401" s="71">
        <v>40403</v>
      </c>
      <c r="D401" s="118">
        <f t="shared" si="36"/>
        <v>10.77920408890416</v>
      </c>
      <c r="E401" s="92">
        <f t="shared" si="37"/>
        <v>144.24150662251648</v>
      </c>
      <c r="F401" s="92">
        <f t="shared" si="38"/>
        <v>0</v>
      </c>
      <c r="G401" s="92">
        <f t="shared" si="40"/>
        <v>155.02071071142063</v>
      </c>
      <c r="H401" s="92">
        <f t="shared" si="39"/>
        <v>154.95098276917486</v>
      </c>
      <c r="I401" s="91">
        <f t="shared" si="41"/>
        <v>-2.9208087308663835E-3</v>
      </c>
      <c r="J401" s="115"/>
      <c r="K401" s="64"/>
      <c r="L401" s="119">
        <v>40403</v>
      </c>
      <c r="M401" s="117">
        <v>-4.2256454762421396E-2</v>
      </c>
      <c r="N401" s="117">
        <v>1.4890702245521286E-4</v>
      </c>
      <c r="O401" s="117">
        <v>-3.5652424942263262E-2</v>
      </c>
      <c r="P401" s="89">
        <v>-4.0655339805825252E-2</v>
      </c>
      <c r="R401" s="71">
        <v>40403</v>
      </c>
      <c r="S401" s="99">
        <f>+I401-[1]Data!W399</f>
        <v>-2.9496548847125375E-3</v>
      </c>
    </row>
    <row r="402" spans="3:19">
      <c r="C402" s="71">
        <v>40410</v>
      </c>
      <c r="D402" s="118">
        <f t="shared" si="36"/>
        <v>10.683578651202204</v>
      </c>
      <c r="E402" s="92">
        <f t="shared" si="37"/>
        <v>144.98455461244279</v>
      </c>
      <c r="F402" s="92">
        <f t="shared" si="38"/>
        <v>0</v>
      </c>
      <c r="G402" s="92">
        <f t="shared" si="40"/>
        <v>155.66813326364499</v>
      </c>
      <c r="H402" s="92">
        <f t="shared" si="39"/>
        <v>155.59811411229484</v>
      </c>
      <c r="I402" s="91">
        <f t="shared" si="41"/>
        <v>4.1763616567956179E-3</v>
      </c>
      <c r="J402" s="115"/>
      <c r="K402" s="64"/>
      <c r="L402" s="119">
        <v>40410</v>
      </c>
      <c r="M402" s="117">
        <v>-8.8712892819601697E-3</v>
      </c>
      <c r="N402" s="117">
        <v>5.1514158949469025E-3</v>
      </c>
      <c r="O402" s="117">
        <v>1.2722646310431634E-3</v>
      </c>
      <c r="P402" s="89">
        <v>-6.6413662239088707E-3</v>
      </c>
      <c r="R402" s="71">
        <v>40410</v>
      </c>
      <c r="S402" s="99">
        <f>+I402-[1]Data!W400</f>
        <v>4.1455924260263869E-3</v>
      </c>
    </row>
    <row r="403" spans="3:19">
      <c r="C403" s="71">
        <v>40417</v>
      </c>
      <c r="D403" s="118">
        <f t="shared" si="36"/>
        <v>10.639331129977499</v>
      </c>
      <c r="E403" s="92">
        <f t="shared" si="37"/>
        <v>144.89006296054464</v>
      </c>
      <c r="F403" s="92">
        <f t="shared" si="38"/>
        <v>0</v>
      </c>
      <c r="G403" s="92">
        <f t="shared" si="40"/>
        <v>155.52939409052215</v>
      </c>
      <c r="H403" s="92">
        <f t="shared" si="39"/>
        <v>155.45943734371784</v>
      </c>
      <c r="I403" s="91">
        <f t="shared" si="41"/>
        <v>-8.9124967463883838E-4</v>
      </c>
      <c r="J403" s="115"/>
      <c r="K403" s="64"/>
      <c r="L403" s="119">
        <v>40417</v>
      </c>
      <c r="M403" s="117">
        <v>-4.141638552895008E-3</v>
      </c>
      <c r="N403" s="117">
        <v>-6.5173598767634573E-4</v>
      </c>
      <c r="O403" s="117">
        <v>5.306824127363839E-3</v>
      </c>
      <c r="P403" s="89">
        <v>-6.0844034100957598E-3</v>
      </c>
      <c r="R403" s="71">
        <v>40417</v>
      </c>
      <c r="S403" s="99">
        <f>+I403-[1]Data!W401</f>
        <v>-9.2201890540806919E-4</v>
      </c>
    </row>
    <row r="404" spans="3:19">
      <c r="C404" s="71">
        <v>40424</v>
      </c>
      <c r="D404" s="118">
        <f t="shared" si="36"/>
        <v>11.052014964799531</v>
      </c>
      <c r="E404" s="92">
        <f t="shared" si="37"/>
        <v>144.6538338307993</v>
      </c>
      <c r="F404" s="92">
        <f t="shared" si="38"/>
        <v>0</v>
      </c>
      <c r="G404" s="92">
        <f t="shared" si="40"/>
        <v>155.70584879559883</v>
      </c>
      <c r="H404" s="92">
        <f t="shared" si="39"/>
        <v>155.63581267989326</v>
      </c>
      <c r="I404" s="91">
        <f t="shared" si="41"/>
        <v>1.1345424838085766E-3</v>
      </c>
      <c r="J404" s="115"/>
      <c r="K404" s="64"/>
      <c r="L404" s="119">
        <v>40424</v>
      </c>
      <c r="M404" s="117">
        <v>3.8788513091696966E-2</v>
      </c>
      <c r="N404" s="117">
        <v>-1.6304025612140706E-3</v>
      </c>
      <c r="O404" s="117">
        <v>4.5427509293680397E-2</v>
      </c>
      <c r="P404" s="89">
        <v>3.8260312488877811E-2</v>
      </c>
      <c r="R404" s="71">
        <v>40424</v>
      </c>
      <c r="S404" s="99">
        <f>+I404-[1]Data!W402</f>
        <v>1.1076194068854997E-3</v>
      </c>
    </row>
    <row r="405" spans="3:19">
      <c r="C405" s="71">
        <v>40431</v>
      </c>
      <c r="D405" s="118">
        <f t="shared" si="36"/>
        <v>11.125565480212783</v>
      </c>
      <c r="E405" s="92">
        <f t="shared" si="37"/>
        <v>144.30593274881068</v>
      </c>
      <c r="F405" s="92">
        <f t="shared" si="38"/>
        <v>0</v>
      </c>
      <c r="G405" s="92">
        <f t="shared" si="40"/>
        <v>155.43149822902345</v>
      </c>
      <c r="H405" s="92">
        <f t="shared" si="39"/>
        <v>155.36158551554183</v>
      </c>
      <c r="I405" s="91">
        <f t="shared" si="41"/>
        <v>-1.7619798401763201E-3</v>
      </c>
      <c r="J405" s="115"/>
      <c r="K405" s="64"/>
      <c r="L405" s="119">
        <v>40431</v>
      </c>
      <c r="M405" s="117">
        <v>6.6549417140230778E-3</v>
      </c>
      <c r="N405" s="117">
        <v>-2.4050595326464627E-3</v>
      </c>
      <c r="O405" s="117">
        <v>-4.2671218263283029E-4</v>
      </c>
      <c r="P405" s="89">
        <v>6.9930069930068672E-3</v>
      </c>
      <c r="R405" s="71">
        <v>40431</v>
      </c>
      <c r="S405" s="99">
        <f>+I405-[1]Data!W403</f>
        <v>-1.7889029170993971E-3</v>
      </c>
    </row>
    <row r="406" spans="3:19">
      <c r="C406" s="71">
        <v>40438</v>
      </c>
      <c r="D406" s="118">
        <f t="shared" si="36"/>
        <v>11.292397193792908</v>
      </c>
      <c r="E406" s="92">
        <f t="shared" si="37"/>
        <v>144.50780127786578</v>
      </c>
      <c r="F406" s="92">
        <f t="shared" si="38"/>
        <v>0</v>
      </c>
      <c r="G406" s="92">
        <f t="shared" si="40"/>
        <v>155.80019847165869</v>
      </c>
      <c r="H406" s="92">
        <f t="shared" si="39"/>
        <v>155.73011991769607</v>
      </c>
      <c r="I406" s="91">
        <f t="shared" si="41"/>
        <v>2.3721076283517474E-3</v>
      </c>
      <c r="J406" s="115"/>
      <c r="K406" s="64"/>
      <c r="L406" s="119">
        <v>40438</v>
      </c>
      <c r="M406" s="117">
        <v>1.4995346877139933E-2</v>
      </c>
      <c r="N406" s="117">
        <v>1.3988927912374856E-3</v>
      </c>
      <c r="O406" s="117">
        <v>1.4016364283173238E-2</v>
      </c>
      <c r="P406" s="89">
        <v>1.6033496732026267E-2</v>
      </c>
      <c r="R406" s="71">
        <v>40438</v>
      </c>
      <c r="S406" s="99">
        <f>+I406-[1]Data!W404</f>
        <v>2.3432614745055934E-3</v>
      </c>
    </row>
    <row r="407" spans="3:19">
      <c r="C407" s="71">
        <v>40445</v>
      </c>
      <c r="D407" s="118">
        <f t="shared" si="36"/>
        <v>11.555440404958762</v>
      </c>
      <c r="E407" s="92">
        <f t="shared" si="37"/>
        <v>145.93376620651051</v>
      </c>
      <c r="F407" s="92">
        <f t="shared" si="38"/>
        <v>0</v>
      </c>
      <c r="G407" s="92">
        <f t="shared" si="40"/>
        <v>157.48920661146929</v>
      </c>
      <c r="H407" s="92">
        <f t="shared" si="39"/>
        <v>157.41836834571401</v>
      </c>
      <c r="I407" s="91">
        <f t="shared" si="41"/>
        <v>1.0840860001329146E-2</v>
      </c>
      <c r="J407" s="115"/>
      <c r="K407" s="64"/>
      <c r="L407" s="119">
        <v>40445</v>
      </c>
      <c r="M407" s="117">
        <v>2.329383271343315E-2</v>
      </c>
      <c r="N407" s="117">
        <v>9.8677366622083318E-3</v>
      </c>
      <c r="O407" s="117">
        <v>2.0628683693516683E-2</v>
      </c>
      <c r="P407" s="89">
        <v>2.2380808791503164E-2</v>
      </c>
      <c r="R407" s="71">
        <v>40445</v>
      </c>
      <c r="S407" s="99">
        <f>+I407-[1]Data!W405</f>
        <v>1.0810090770559916E-2</v>
      </c>
    </row>
    <row r="408" spans="3:19">
      <c r="C408" s="71">
        <v>40452</v>
      </c>
      <c r="D408" s="118">
        <f t="shared" si="36"/>
        <v>11.566770896045</v>
      </c>
      <c r="E408" s="92">
        <f t="shared" si="37"/>
        <v>146.80137137393896</v>
      </c>
      <c r="F408" s="92">
        <f t="shared" si="38"/>
        <v>0</v>
      </c>
      <c r="G408" s="92">
        <f t="shared" si="40"/>
        <v>158.36814226998396</v>
      </c>
      <c r="H408" s="92">
        <f t="shared" si="39"/>
        <v>158.29690866108675</v>
      </c>
      <c r="I408" s="91">
        <f t="shared" si="41"/>
        <v>5.5809263214018781E-3</v>
      </c>
      <c r="J408" s="115"/>
      <c r="K408" s="64"/>
      <c r="L408" s="119">
        <v>40452</v>
      </c>
      <c r="M408" s="117">
        <v>9.8053303804644166E-4</v>
      </c>
      <c r="N408" s="117">
        <v>5.945198222326982E-3</v>
      </c>
      <c r="O408" s="117">
        <v>1.1549566891241429E-2</v>
      </c>
      <c r="P408" s="89">
        <v>5.0466983450762597E-3</v>
      </c>
      <c r="R408" s="71">
        <v>40452</v>
      </c>
      <c r="S408" s="99">
        <f>+I408-[1]Data!W406</f>
        <v>5.5501570906326472E-3</v>
      </c>
    </row>
    <row r="409" spans="3:19">
      <c r="C409" s="71">
        <v>40459</v>
      </c>
      <c r="D409" s="118">
        <f t="shared" si="36"/>
        <v>11.816627759826007</v>
      </c>
      <c r="E409" s="92">
        <f t="shared" si="37"/>
        <v>148.25740182818762</v>
      </c>
      <c r="F409" s="92">
        <f t="shared" si="38"/>
        <v>0</v>
      </c>
      <c r="G409" s="92">
        <f t="shared" si="40"/>
        <v>160.07402958801364</v>
      </c>
      <c r="H409" s="92">
        <f t="shared" si="39"/>
        <v>160.0020286751101</v>
      </c>
      <c r="I409" s="91">
        <f t="shared" si="41"/>
        <v>1.0771657061692896E-2</v>
      </c>
      <c r="J409" s="115"/>
      <c r="K409" s="64"/>
      <c r="L409" s="119">
        <v>40459</v>
      </c>
      <c r="M409" s="117">
        <v>2.1601263310786212E-2</v>
      </c>
      <c r="N409" s="117">
        <v>9.918370929518085E-3</v>
      </c>
      <c r="O409" s="117">
        <v>3.160255538942508E-2</v>
      </c>
      <c r="P409" s="89">
        <v>2.0541915289054132E-2</v>
      </c>
      <c r="R409" s="71">
        <v>40459</v>
      </c>
      <c r="S409" s="99">
        <f>+I409-[1]Data!W407</f>
        <v>1.0746657061692895E-2</v>
      </c>
    </row>
    <row r="410" spans="3:19">
      <c r="C410" s="71">
        <v>40466</v>
      </c>
      <c r="D410" s="118">
        <f t="shared" si="36"/>
        <v>11.95005406003119</v>
      </c>
      <c r="E410" s="92">
        <f t="shared" si="37"/>
        <v>147.86654999533621</v>
      </c>
      <c r="F410" s="92">
        <f t="shared" si="38"/>
        <v>0</v>
      </c>
      <c r="G410" s="92">
        <f t="shared" si="40"/>
        <v>159.81660405536741</v>
      </c>
      <c r="H410" s="92">
        <f t="shared" si="39"/>
        <v>159.74471893184833</v>
      </c>
      <c r="I410" s="91">
        <f t="shared" si="41"/>
        <v>-1.6081655051027397E-3</v>
      </c>
      <c r="J410" s="115"/>
      <c r="K410" s="64"/>
      <c r="L410" s="119">
        <v>40466</v>
      </c>
      <c r="M410" s="117">
        <v>1.1291402497995555E-2</v>
      </c>
      <c r="N410" s="117">
        <v>-2.6363056955791904E-3</v>
      </c>
      <c r="O410" s="117">
        <v>1.3439620528361687E-2</v>
      </c>
      <c r="P410" s="89">
        <v>1.226876258027405E-2</v>
      </c>
      <c r="R410" s="71">
        <v>40466</v>
      </c>
      <c r="S410" s="99">
        <f>+I410-[1]Data!W408</f>
        <v>-1.6350885820258167E-3</v>
      </c>
    </row>
    <row r="411" spans="3:19">
      <c r="C411" s="71">
        <v>40473</v>
      </c>
      <c r="D411" s="118">
        <f t="shared" si="36"/>
        <v>11.945463257608317</v>
      </c>
      <c r="E411" s="92">
        <f t="shared" si="37"/>
        <v>147.97822194757947</v>
      </c>
      <c r="F411" s="92">
        <f t="shared" si="38"/>
        <v>0</v>
      </c>
      <c r="G411" s="92">
        <f t="shared" si="40"/>
        <v>159.92368520518778</v>
      </c>
      <c r="H411" s="92">
        <f t="shared" si="39"/>
        <v>159.85175191682546</v>
      </c>
      <c r="I411" s="91">
        <f t="shared" si="41"/>
        <v>6.700251857640543E-4</v>
      </c>
      <c r="J411" s="115"/>
      <c r="K411" s="64"/>
      <c r="L411" s="119">
        <v>40473</v>
      </c>
      <c r="M411" s="117">
        <v>-3.8416582885823238E-4</v>
      </c>
      <c r="N411" s="117">
        <v>7.5522119266851866E-4</v>
      </c>
      <c r="O411" s="117">
        <v>-7.8008190860043259E-4</v>
      </c>
      <c r="P411" s="89">
        <v>-2.335637408073759E-3</v>
      </c>
      <c r="R411" s="71">
        <v>40473</v>
      </c>
      <c r="S411" s="99">
        <f>+I411-[1]Data!W409</f>
        <v>6.4310210884097735E-4</v>
      </c>
    </row>
    <row r="412" spans="3:19">
      <c r="C412" s="71">
        <v>40480</v>
      </c>
      <c r="D412" s="118">
        <f t="shared" si="36"/>
        <v>11.93833286235577</v>
      </c>
      <c r="E412" s="92">
        <f t="shared" si="37"/>
        <v>147.8278943195597</v>
      </c>
      <c r="F412" s="92">
        <f t="shared" si="38"/>
        <v>0</v>
      </c>
      <c r="G412" s="92">
        <f t="shared" si="40"/>
        <v>159.76622718191547</v>
      </c>
      <c r="H412" s="92">
        <f t="shared" si="39"/>
        <v>159.69436471779272</v>
      </c>
      <c r="I412" s="91">
        <f t="shared" si="41"/>
        <v>-9.845822591586775E-4</v>
      </c>
      <c r="J412" s="115"/>
      <c r="K412" s="64"/>
      <c r="L412" s="119">
        <v>40480</v>
      </c>
      <c r="M412" s="117">
        <v>-5.9691240923662116E-4</v>
      </c>
      <c r="N412" s="117">
        <v>-1.0158767015933763E-3</v>
      </c>
      <c r="O412" s="117">
        <v>-1.6134278836770658E-2</v>
      </c>
      <c r="P412" s="89">
        <v>-4.4291182890944465E-4</v>
      </c>
      <c r="R412" s="71">
        <v>40480</v>
      </c>
      <c r="S412" s="99">
        <f>+I412-[1]Data!W410</f>
        <v>-1.0095822591586776E-3</v>
      </c>
    </row>
    <row r="413" spans="3:19">
      <c r="C413" s="71">
        <v>40487</v>
      </c>
      <c r="D413" s="118">
        <f t="shared" si="36"/>
        <v>12.35345861336018</v>
      </c>
      <c r="E413" s="92">
        <f t="shared" si="37"/>
        <v>149.06917101949441</v>
      </c>
      <c r="F413" s="92">
        <f t="shared" si="38"/>
        <v>0</v>
      </c>
      <c r="G413" s="92">
        <f t="shared" si="40"/>
        <v>161.42262963285458</v>
      </c>
      <c r="H413" s="92">
        <f t="shared" si="39"/>
        <v>161.35002212289956</v>
      </c>
      <c r="I413" s="91">
        <f t="shared" si="41"/>
        <v>1.0367663305043148E-2</v>
      </c>
      <c r="J413" s="115"/>
      <c r="K413" s="64"/>
      <c r="L413" s="119">
        <v>40487</v>
      </c>
      <c r="M413" s="117">
        <v>3.4772505993143681E-2</v>
      </c>
      <c r="N413" s="117">
        <v>8.3967691324306655E-3</v>
      </c>
      <c r="O413" s="117">
        <v>5.4817165906235671E-2</v>
      </c>
      <c r="P413" s="89">
        <v>3.620826080075961E-2</v>
      </c>
      <c r="R413" s="71">
        <v>40487</v>
      </c>
      <c r="S413" s="99">
        <f>+I413-[1]Data!W411</f>
        <v>1.0342663305043147E-2</v>
      </c>
    </row>
    <row r="414" spans="3:19">
      <c r="C414" s="71">
        <v>40494</v>
      </c>
      <c r="D414" s="118">
        <f t="shared" si="36"/>
        <v>12.076252288336528</v>
      </c>
      <c r="E414" s="92">
        <f t="shared" si="37"/>
        <v>146.61238807014269</v>
      </c>
      <c r="F414" s="92">
        <f t="shared" si="38"/>
        <v>0</v>
      </c>
      <c r="G414" s="92">
        <f t="shared" si="40"/>
        <v>158.6886403584792</v>
      </c>
      <c r="H414" s="92">
        <f t="shared" si="39"/>
        <v>158.61726259031386</v>
      </c>
      <c r="I414" s="91">
        <f t="shared" si="41"/>
        <v>-1.6936840148086083E-2</v>
      </c>
      <c r="J414" s="115"/>
      <c r="K414" s="64"/>
      <c r="L414" s="119">
        <v>40494</v>
      </c>
      <c r="M414" s="117">
        <v>-2.2439572082578976E-2</v>
      </c>
      <c r="N414" s="117">
        <v>-1.6480825193764863E-2</v>
      </c>
      <c r="O414" s="117">
        <v>-4.3254764292878667E-2</v>
      </c>
      <c r="P414" s="89">
        <v>-2.3488805400287114E-2</v>
      </c>
      <c r="R414" s="71">
        <v>40494</v>
      </c>
      <c r="S414" s="99">
        <f>+I414-[1]Data!W412</f>
        <v>-1.6961840148086084E-2</v>
      </c>
    </row>
    <row r="415" spans="3:19">
      <c r="C415" s="71">
        <v>40501</v>
      </c>
      <c r="D415" s="118">
        <f t="shared" si="36"/>
        <v>12.066289270312422</v>
      </c>
      <c r="E415" s="92">
        <f t="shared" si="37"/>
        <v>145.71042230202403</v>
      </c>
      <c r="F415" s="92">
        <f t="shared" si="38"/>
        <v>0</v>
      </c>
      <c r="G415" s="92">
        <f t="shared" si="40"/>
        <v>157.77671157233644</v>
      </c>
      <c r="H415" s="92">
        <f t="shared" si="39"/>
        <v>157.70574398754235</v>
      </c>
      <c r="I415" s="91">
        <f t="shared" si="41"/>
        <v>-5.7466544806401877E-3</v>
      </c>
      <c r="J415" s="115"/>
      <c r="K415" s="64"/>
      <c r="L415" s="119">
        <v>40501</v>
      </c>
      <c r="M415" s="117">
        <v>-8.2500909936505191E-4</v>
      </c>
      <c r="N415" s="117">
        <v>-6.1520433572580125E-3</v>
      </c>
      <c r="O415" s="117">
        <v>-1.8673830428515229E-2</v>
      </c>
      <c r="P415" s="89">
        <v>-1.8142008132623838E-3</v>
      </c>
      <c r="R415" s="71">
        <v>40501</v>
      </c>
      <c r="S415" s="99">
        <f>+I415-[1]Data!W413</f>
        <v>-5.7735775575632649E-3</v>
      </c>
    </row>
    <row r="416" spans="3:19">
      <c r="C416" s="71">
        <v>40508</v>
      </c>
      <c r="D416" s="118">
        <f t="shared" si="36"/>
        <v>11.822390682016419</v>
      </c>
      <c r="E416" s="92">
        <f t="shared" si="37"/>
        <v>145.39258674563936</v>
      </c>
      <c r="F416" s="92">
        <f t="shared" si="38"/>
        <v>0</v>
      </c>
      <c r="G416" s="92">
        <f t="shared" si="40"/>
        <v>157.21497742765578</v>
      </c>
      <c r="H416" s="92">
        <f t="shared" si="39"/>
        <v>157.14426250952678</v>
      </c>
      <c r="I416" s="91">
        <f t="shared" si="41"/>
        <v>-3.5603108917828547E-3</v>
      </c>
      <c r="J416" s="115"/>
      <c r="K416" s="64"/>
      <c r="L416" s="119">
        <v>40508</v>
      </c>
      <c r="M416" s="117">
        <v>-2.021322237782619E-2</v>
      </c>
      <c r="N416" s="117">
        <v>-2.1812822402358413E-3</v>
      </c>
      <c r="O416" s="117">
        <v>-1.8695332843693738E-2</v>
      </c>
      <c r="P416" s="89">
        <v>-2.1277262471797505E-2</v>
      </c>
      <c r="R416" s="71">
        <v>40508</v>
      </c>
      <c r="S416" s="99">
        <f>+I416-[1]Data!W414</f>
        <v>-3.5910801225520856E-3</v>
      </c>
    </row>
    <row r="417" spans="3:19">
      <c r="C417" s="71">
        <v>40515</v>
      </c>
      <c r="D417" s="118">
        <f t="shared" si="36"/>
        <v>12.181743067415297</v>
      </c>
      <c r="E417" s="92">
        <f t="shared" si="37"/>
        <v>144.43478500139909</v>
      </c>
      <c r="F417" s="92">
        <f t="shared" si="38"/>
        <v>0</v>
      </c>
      <c r="G417" s="92">
        <f t="shared" si="40"/>
        <v>156.61652806881438</v>
      </c>
      <c r="H417" s="92">
        <f t="shared" si="39"/>
        <v>156.54608233176538</v>
      </c>
      <c r="I417" s="91">
        <f t="shared" si="41"/>
        <v>-3.806567088156606E-3</v>
      </c>
      <c r="J417" s="115"/>
      <c r="K417" s="64"/>
      <c r="L417" s="119">
        <v>40515</v>
      </c>
      <c r="M417" s="117">
        <v>3.039591526488003E-2</v>
      </c>
      <c r="N417" s="117">
        <v>-6.5876931257570475E-3</v>
      </c>
      <c r="O417" s="117">
        <v>2.9393753827311651E-2</v>
      </c>
      <c r="P417" s="89">
        <v>3.1377069125604368E-2</v>
      </c>
      <c r="R417" s="71">
        <v>40515</v>
      </c>
      <c r="S417" s="99">
        <f>+I417-[1]Data!W415</f>
        <v>-3.8373363189258369E-3</v>
      </c>
    </row>
    <row r="418" spans="3:19">
      <c r="C418" s="71">
        <v>40522</v>
      </c>
      <c r="D418" s="118">
        <f t="shared" si="36"/>
        <v>12.273266085930857</v>
      </c>
      <c r="E418" s="92">
        <f t="shared" si="37"/>
        <v>143.34813100457043</v>
      </c>
      <c r="F418" s="92">
        <f t="shared" si="38"/>
        <v>0</v>
      </c>
      <c r="G418" s="92">
        <f t="shared" si="40"/>
        <v>155.62139709050129</v>
      </c>
      <c r="H418" s="92">
        <f t="shared" si="39"/>
        <v>155.55139896096915</v>
      </c>
      <c r="I418" s="91">
        <f t="shared" si="41"/>
        <v>-6.353933333752863E-3</v>
      </c>
      <c r="J418" s="115"/>
      <c r="K418" s="64"/>
      <c r="L418" s="119">
        <v>40522</v>
      </c>
      <c r="M418" s="117">
        <v>7.5131299362545725E-3</v>
      </c>
      <c r="N418" s="117">
        <v>-7.5234923278219724E-3</v>
      </c>
      <c r="O418" s="117">
        <v>-6.5437239738249768E-3</v>
      </c>
      <c r="P418" s="89">
        <v>5.6188495327973249E-3</v>
      </c>
      <c r="R418" s="71">
        <v>40522</v>
      </c>
      <c r="S418" s="99">
        <f>+I418-[1]Data!W416</f>
        <v>-6.3808564106759402E-3</v>
      </c>
    </row>
    <row r="419" spans="3:19">
      <c r="C419" s="71">
        <v>40529</v>
      </c>
      <c r="D419" s="118">
        <f t="shared" si="36"/>
        <v>12.286159403373818</v>
      </c>
      <c r="E419" s="92">
        <f t="shared" si="37"/>
        <v>143.27940980318996</v>
      </c>
      <c r="F419" s="92">
        <f t="shared" si="38"/>
        <v>0</v>
      </c>
      <c r="G419" s="92">
        <f t="shared" si="40"/>
        <v>155.56556920656379</v>
      </c>
      <c r="H419" s="92">
        <f t="shared" si="39"/>
        <v>155.49559618827934</v>
      </c>
      <c r="I419" s="91">
        <f t="shared" si="41"/>
        <v>-3.5874169607319332E-4</v>
      </c>
      <c r="J419" s="115"/>
      <c r="K419" s="64"/>
      <c r="L419" s="119">
        <v>40529</v>
      </c>
      <c r="M419" s="117">
        <v>1.0505204851494097E-3</v>
      </c>
      <c r="N419" s="117">
        <v>-4.7940074906374533E-4</v>
      </c>
      <c r="O419" s="117">
        <v>-6.4537591483699187E-3</v>
      </c>
      <c r="P419" s="89">
        <v>9.8783725381241345E-4</v>
      </c>
      <c r="R419" s="71">
        <v>40529</v>
      </c>
      <c r="S419" s="99">
        <f>+I419-[1]Data!W417</f>
        <v>-3.8566477299627026E-4</v>
      </c>
    </row>
    <row r="420" spans="3:19">
      <c r="C420" s="71">
        <v>40536</v>
      </c>
      <c r="D420" s="118">
        <f t="shared" si="36"/>
        <v>12.448107284589186</v>
      </c>
      <c r="E420" s="92">
        <f t="shared" si="37"/>
        <v>143.39537683051952</v>
      </c>
      <c r="F420" s="92">
        <f t="shared" si="38"/>
        <v>0</v>
      </c>
      <c r="G420" s="92">
        <f t="shared" si="40"/>
        <v>155.84348411510871</v>
      </c>
      <c r="H420" s="92">
        <f t="shared" si="39"/>
        <v>155.77338609136785</v>
      </c>
      <c r="I420" s="91">
        <f t="shared" si="41"/>
        <v>1.7864808386737886E-3</v>
      </c>
      <c r="J420" s="115"/>
      <c r="K420" s="64"/>
      <c r="L420" s="119">
        <v>40536</v>
      </c>
      <c r="M420" s="117">
        <v>1.3181326718819688E-2</v>
      </c>
      <c r="N420" s="117">
        <v>8.093767798796087E-4</v>
      </c>
      <c r="O420" s="117">
        <v>2.5982722828634536E-2</v>
      </c>
      <c r="P420" s="89">
        <v>1.2767532227225025E-2</v>
      </c>
      <c r="R420" s="71">
        <v>40536</v>
      </c>
      <c r="S420" s="99">
        <f>+I420-[1]Data!W418</f>
        <v>1.7595577617507117E-3</v>
      </c>
    </row>
    <row r="421" spans="3:19">
      <c r="C421" s="71">
        <v>40543</v>
      </c>
      <c r="D421" s="118">
        <f t="shared" si="36"/>
        <v>12.503294590310949</v>
      </c>
      <c r="E421" s="92">
        <f t="shared" si="37"/>
        <v>144.67530920623074</v>
      </c>
      <c r="F421" s="92">
        <f t="shared" si="38"/>
        <v>0</v>
      </c>
      <c r="G421" s="92">
        <f t="shared" si="40"/>
        <v>157.17860379654169</v>
      </c>
      <c r="H421" s="92">
        <f t="shared" si="39"/>
        <v>157.1079052391843</v>
      </c>
      <c r="I421" s="91">
        <f t="shared" si="41"/>
        <v>8.5670548821073795E-3</v>
      </c>
      <c r="J421" s="115"/>
      <c r="K421" s="64"/>
      <c r="L421" s="119">
        <v>40543</v>
      </c>
      <c r="M421" s="117">
        <v>4.4333893065079512E-3</v>
      </c>
      <c r="N421" s="117">
        <v>8.9258970826093607E-3</v>
      </c>
      <c r="O421" s="117">
        <v>1.4946805038835533E-2</v>
      </c>
      <c r="P421" s="89">
        <v>6.8209500609013683E-3</v>
      </c>
      <c r="R421" s="71">
        <v>40543</v>
      </c>
      <c r="S421" s="99">
        <f>+I421-[1]Data!W419</f>
        <v>8.5401318051843023E-3</v>
      </c>
    </row>
    <row r="422" spans="3:19">
      <c r="C422" s="71">
        <v>40550</v>
      </c>
      <c r="D422" s="118">
        <f t="shared" si="36"/>
        <v>12.516383261048501</v>
      </c>
      <c r="E422" s="92">
        <f t="shared" si="37"/>
        <v>143.99239226751234</v>
      </c>
      <c r="F422" s="92">
        <f t="shared" si="38"/>
        <v>0</v>
      </c>
      <c r="G422" s="92">
        <f t="shared" si="40"/>
        <v>156.50877552856085</v>
      </c>
      <c r="H422" s="92">
        <f t="shared" si="39"/>
        <v>156.43837825834484</v>
      </c>
      <c r="I422" s="91">
        <f t="shared" si="41"/>
        <v>-4.2615741061543819E-3</v>
      </c>
      <c r="J422" s="115"/>
      <c r="K422" s="64"/>
      <c r="L422" s="119">
        <v>40550</v>
      </c>
      <c r="M422" s="117">
        <v>1.0468177521542929E-3</v>
      </c>
      <c r="N422" s="117">
        <v>-4.7203420021374393E-3</v>
      </c>
      <c r="O422" s="117">
        <v>3.8585209003215068E-3</v>
      </c>
      <c r="P422" s="89">
        <v>3.6293249455602634E-4</v>
      </c>
      <c r="R422" s="71">
        <v>40550</v>
      </c>
      <c r="S422" s="99">
        <f>+I422-[1]Data!W420</f>
        <v>-4.2884971830774591E-3</v>
      </c>
    </row>
    <row r="423" spans="3:19">
      <c r="C423" s="71">
        <v>40557</v>
      </c>
      <c r="D423" s="118">
        <f t="shared" si="36"/>
        <v>12.785873130935835</v>
      </c>
      <c r="E423" s="92">
        <f t="shared" si="37"/>
        <v>144.5593421789012</v>
      </c>
      <c r="F423" s="92">
        <f t="shared" si="38"/>
        <v>0</v>
      </c>
      <c r="G423" s="92">
        <f t="shared" si="40"/>
        <v>157.34521530983704</v>
      </c>
      <c r="H423" s="92">
        <f t="shared" si="39"/>
        <v>157.27444181102231</v>
      </c>
      <c r="I423" s="91">
        <f t="shared" si="41"/>
        <v>5.344363461098939E-3</v>
      </c>
      <c r="J423" s="115"/>
      <c r="K423" s="64"/>
      <c r="L423" s="119">
        <v>40557</v>
      </c>
      <c r="M423" s="117">
        <v>2.1530969791089438E-2</v>
      </c>
      <c r="N423" s="117">
        <v>3.9373601789708971E-3</v>
      </c>
      <c r="O423" s="117">
        <v>1.3709160794362683E-2</v>
      </c>
      <c r="P423" s="89">
        <v>2.0135445640343527E-2</v>
      </c>
      <c r="R423" s="71">
        <v>40557</v>
      </c>
      <c r="S423" s="99">
        <f>+I423-[1]Data!W421</f>
        <v>5.3155173072527854E-3</v>
      </c>
    </row>
    <row r="424" spans="3:19">
      <c r="C424" s="71">
        <v>40564</v>
      </c>
      <c r="D424" s="118">
        <f t="shared" si="36"/>
        <v>12.722774016783164</v>
      </c>
      <c r="E424" s="92">
        <f t="shared" si="37"/>
        <v>144.24580169760281</v>
      </c>
      <c r="F424" s="92">
        <f t="shared" si="38"/>
        <v>0</v>
      </c>
      <c r="G424" s="92">
        <f t="shared" si="40"/>
        <v>156.96857571438599</v>
      </c>
      <c r="H424" s="92">
        <f t="shared" si="39"/>
        <v>156.89797162715399</v>
      </c>
      <c r="I424" s="91">
        <f t="shared" si="41"/>
        <v>-2.3937149579629701E-3</v>
      </c>
      <c r="J424" s="115"/>
      <c r="K424" s="64"/>
      <c r="L424" s="119">
        <v>40564</v>
      </c>
      <c r="M424" s="117">
        <v>-4.9350649350649632E-3</v>
      </c>
      <c r="N424" s="117">
        <v>-2.1689395965178663E-3</v>
      </c>
      <c r="O424" s="117">
        <v>-5.8139534883721936E-3</v>
      </c>
      <c r="P424" s="89">
        <v>-7.023887143619241E-3</v>
      </c>
      <c r="R424" s="71">
        <v>40564</v>
      </c>
      <c r="S424" s="99">
        <f>+I424-[1]Data!W422</f>
        <v>-2.4244841887322011E-3</v>
      </c>
    </row>
    <row r="425" spans="3:19">
      <c r="C425" s="71">
        <v>40571</v>
      </c>
      <c r="D425" s="118">
        <f t="shared" si="36"/>
        <v>12.718769274244066</v>
      </c>
      <c r="E425" s="92">
        <f t="shared" si="37"/>
        <v>145.04468566365077</v>
      </c>
      <c r="F425" s="92">
        <f t="shared" si="38"/>
        <v>0</v>
      </c>
      <c r="G425" s="92">
        <f t="shared" si="40"/>
        <v>157.76345493789483</v>
      </c>
      <c r="H425" s="92">
        <f t="shared" si="39"/>
        <v>157.69249331590291</v>
      </c>
      <c r="I425" s="91">
        <f t="shared" si="41"/>
        <v>5.0639385615321051E-3</v>
      </c>
      <c r="J425" s="115"/>
      <c r="K425" s="64"/>
      <c r="L425" s="119">
        <v>40571</v>
      </c>
      <c r="M425" s="117">
        <v>-3.1476960400437186E-4</v>
      </c>
      <c r="N425" s="117">
        <v>5.5383515959981358E-3</v>
      </c>
      <c r="O425" s="117">
        <v>4.7037884566489266E-3</v>
      </c>
      <c r="P425" s="89">
        <v>-1.5221608715116875E-3</v>
      </c>
      <c r="R425" s="71">
        <v>40571</v>
      </c>
      <c r="S425" s="99">
        <f>+I425-[1]Data!W423</f>
        <v>5.0331693307628742E-3</v>
      </c>
    </row>
    <row r="426" spans="3:19">
      <c r="C426" s="71">
        <v>40578</v>
      </c>
      <c r="D426" s="118">
        <f t="shared" si="36"/>
        <v>13.007110737059365</v>
      </c>
      <c r="E426" s="92">
        <f t="shared" si="37"/>
        <v>143.95373659173586</v>
      </c>
      <c r="F426" s="92">
        <f t="shared" si="38"/>
        <v>0</v>
      </c>
      <c r="G426" s="92">
        <f t="shared" si="40"/>
        <v>156.96084732879524</v>
      </c>
      <c r="H426" s="92">
        <f t="shared" si="39"/>
        <v>156.89024671777244</v>
      </c>
      <c r="I426" s="91">
        <f t="shared" si="41"/>
        <v>-5.0874114630386257E-3</v>
      </c>
      <c r="J426" s="115"/>
      <c r="K426" s="64"/>
      <c r="L426" s="119">
        <v>40578</v>
      </c>
      <c r="M426" s="117">
        <v>2.2670547487578029E-2</v>
      </c>
      <c r="N426" s="117">
        <v>-7.5214687592536677E-3</v>
      </c>
      <c r="O426" s="117">
        <v>1.4614703277236506E-2</v>
      </c>
      <c r="P426" s="89">
        <v>2.0057392240090809E-2</v>
      </c>
      <c r="R426" s="71">
        <v>40578</v>
      </c>
      <c r="S426" s="99">
        <f>+I426-[1]Data!W424</f>
        <v>-5.1162576168847793E-3</v>
      </c>
    </row>
    <row r="427" spans="3:19">
      <c r="C427" s="71">
        <v>40585</v>
      </c>
      <c r="D427" s="118">
        <f t="shared" si="36"/>
        <v>13.098340725633038</v>
      </c>
      <c r="E427" s="92">
        <f t="shared" si="37"/>
        <v>143.45550788172744</v>
      </c>
      <c r="F427" s="92">
        <f t="shared" si="38"/>
        <v>0</v>
      </c>
      <c r="G427" s="92">
        <f t="shared" si="40"/>
        <v>156.55384860736049</v>
      </c>
      <c r="H427" s="92">
        <f t="shared" si="39"/>
        <v>156.48343106338217</v>
      </c>
      <c r="I427" s="91">
        <f t="shared" si="41"/>
        <v>-2.5929951854947769E-3</v>
      </c>
      <c r="J427" s="115"/>
      <c r="K427" s="64"/>
      <c r="L427" s="119">
        <v>40585</v>
      </c>
      <c r="M427" s="117">
        <v>7.013854991927246E-3</v>
      </c>
      <c r="N427" s="117">
        <v>-3.4610335362215807E-3</v>
      </c>
      <c r="O427" s="117">
        <v>-1.2782939452516127E-2</v>
      </c>
      <c r="P427" s="89">
        <v>1.5824175824176424E-3</v>
      </c>
      <c r="R427" s="71">
        <v>40585</v>
      </c>
      <c r="S427" s="99">
        <f>+I427-[1]Data!W425</f>
        <v>-2.6199182624178537E-3</v>
      </c>
    </row>
    <row r="428" spans="3:19">
      <c r="C428" s="71">
        <v>40592</v>
      </c>
      <c r="D428" s="118">
        <f t="shared" si="36"/>
        <v>13.309615313732458</v>
      </c>
      <c r="E428" s="92">
        <f t="shared" si="37"/>
        <v>144.01386764294375</v>
      </c>
      <c r="F428" s="92">
        <f t="shared" si="38"/>
        <v>0</v>
      </c>
      <c r="G428" s="92">
        <f t="shared" si="40"/>
        <v>157.3234829566762</v>
      </c>
      <c r="H428" s="92">
        <f t="shared" si="39"/>
        <v>157.25271923302157</v>
      </c>
      <c r="I428" s="91">
        <f t="shared" si="41"/>
        <v>4.9160998350541172E-3</v>
      </c>
      <c r="J428" s="115"/>
      <c r="K428" s="64"/>
      <c r="L428" s="119">
        <v>40592</v>
      </c>
      <c r="M428" s="117">
        <v>1.6129874197421221E-2</v>
      </c>
      <c r="N428" s="117">
        <v>3.8922155688623093E-3</v>
      </c>
      <c r="O428" s="117">
        <v>1.7559373420919663E-2</v>
      </c>
      <c r="P428" s="89">
        <v>1.767166973872835E-2</v>
      </c>
      <c r="R428" s="71">
        <v>40592</v>
      </c>
      <c r="S428" s="99">
        <f>+I428-[1]Data!W426</f>
        <v>4.8949459889002711E-3</v>
      </c>
    </row>
    <row r="429" spans="3:19">
      <c r="C429" s="71">
        <v>40599</v>
      </c>
      <c r="D429" s="118">
        <f t="shared" si="36"/>
        <v>13.101368701699187</v>
      </c>
      <c r="E429" s="92">
        <f t="shared" si="37"/>
        <v>145.43983257158845</v>
      </c>
      <c r="F429" s="92">
        <f t="shared" si="38"/>
        <v>0</v>
      </c>
      <c r="G429" s="92">
        <f t="shared" si="40"/>
        <v>158.54120127328764</v>
      </c>
      <c r="H429" s="92">
        <f t="shared" si="39"/>
        <v>158.4698898228676</v>
      </c>
      <c r="I429" s="91">
        <f t="shared" si="41"/>
        <v>7.740219665406208E-3</v>
      </c>
      <c r="J429" s="115"/>
      <c r="K429" s="64"/>
      <c r="L429" s="119">
        <v>40599</v>
      </c>
      <c r="M429" s="117">
        <v>-1.5646328396765011E-2</v>
      </c>
      <c r="N429" s="117">
        <v>9.9015806740232418E-3</v>
      </c>
      <c r="O429" s="117">
        <v>-9.2489137181873422E-3</v>
      </c>
      <c r="P429" s="89">
        <v>-1.6214817583302149E-2</v>
      </c>
      <c r="R429" s="71">
        <v>40599</v>
      </c>
      <c r="S429" s="99">
        <f>+I429-[1]Data!W427</f>
        <v>7.7152196654062082E-3</v>
      </c>
    </row>
    <row r="430" spans="3:19">
      <c r="C430" s="71">
        <v>40606</v>
      </c>
      <c r="D430" s="118">
        <f t="shared" si="36"/>
        <v>13.171109827867928</v>
      </c>
      <c r="E430" s="92">
        <f t="shared" si="37"/>
        <v>145.31527539408634</v>
      </c>
      <c r="F430" s="92">
        <f t="shared" si="38"/>
        <v>0</v>
      </c>
      <c r="G430" s="92">
        <f t="shared" si="40"/>
        <v>158.48638522195427</v>
      </c>
      <c r="H430" s="92">
        <f t="shared" si="39"/>
        <v>158.41509842766206</v>
      </c>
      <c r="I430" s="91">
        <f t="shared" si="41"/>
        <v>-3.4575271849298945E-4</v>
      </c>
      <c r="J430" s="115"/>
      <c r="K430" s="64"/>
      <c r="L430" s="119">
        <v>40606</v>
      </c>
      <c r="M430" s="117">
        <v>5.3231939163498844E-3</v>
      </c>
      <c r="N430" s="117">
        <v>-8.5641722284572814E-4</v>
      </c>
      <c r="O430" s="117">
        <v>4.8242591316332416E-3</v>
      </c>
      <c r="P430" s="89">
        <v>9.2054121979016842E-3</v>
      </c>
      <c r="R430" s="71">
        <v>40606</v>
      </c>
      <c r="S430" s="99">
        <f>+I430-[1]Data!W428</f>
        <v>-3.7075271849298946E-4</v>
      </c>
    </row>
    <row r="431" spans="3:19">
      <c r="C431" s="71">
        <v>40613</v>
      </c>
      <c r="D431" s="118">
        <f t="shared" si="36"/>
        <v>12.845162855843993</v>
      </c>
      <c r="E431" s="92">
        <f t="shared" si="37"/>
        <v>145.5171439231415</v>
      </c>
      <c r="F431" s="92">
        <f t="shared" si="38"/>
        <v>0</v>
      </c>
      <c r="G431" s="92">
        <f t="shared" si="40"/>
        <v>158.3623067789855</v>
      </c>
      <c r="H431" s="92">
        <f t="shared" si="39"/>
        <v>158.29107579487803</v>
      </c>
      <c r="I431" s="91">
        <f t="shared" si="41"/>
        <v>-7.8289654215419604E-4</v>
      </c>
      <c r="J431" s="115"/>
      <c r="K431" s="64"/>
      <c r="L431" s="119">
        <v>40613</v>
      </c>
      <c r="M431" s="117">
        <v>-2.4747115184954552E-2</v>
      </c>
      <c r="N431" s="117">
        <v>1.3891762480419333E-3</v>
      </c>
      <c r="O431" s="117">
        <v>-1.3655069210624753E-2</v>
      </c>
      <c r="P431" s="89">
        <v>-2.4931951120634614E-2</v>
      </c>
      <c r="R431" s="71">
        <v>40613</v>
      </c>
      <c r="S431" s="99">
        <f>+I431-[1]Data!W429</f>
        <v>-8.0212731138496526E-4</v>
      </c>
    </row>
    <row r="432" spans="3:19">
      <c r="C432" s="71">
        <v>40620</v>
      </c>
      <c r="D432" s="118">
        <f t="shared" si="36"/>
        <v>12.57225430330133</v>
      </c>
      <c r="E432" s="92">
        <f t="shared" si="37"/>
        <v>147.3425508348102</v>
      </c>
      <c r="F432" s="92">
        <f t="shared" si="38"/>
        <v>0</v>
      </c>
      <c r="G432" s="92">
        <f t="shared" si="40"/>
        <v>159.91480513811152</v>
      </c>
      <c r="H432" s="92">
        <f t="shared" si="39"/>
        <v>159.84287584398197</v>
      </c>
      <c r="I432" s="91">
        <f t="shared" si="41"/>
        <v>9.8034588577491939E-3</v>
      </c>
      <c r="J432" s="115"/>
      <c r="K432" s="64"/>
      <c r="L432" s="119">
        <v>40620</v>
      </c>
      <c r="M432" s="117">
        <v>-2.1246017322271687E-2</v>
      </c>
      <c r="N432" s="117">
        <v>1.2544273907910271E-2</v>
      </c>
      <c r="O432" s="117">
        <v>-2.6929641570263549E-2</v>
      </c>
      <c r="P432" s="89">
        <v>-1.9629970599590214E-2</v>
      </c>
      <c r="R432" s="71">
        <v>40620</v>
      </c>
      <c r="S432" s="99">
        <f>+I432-[1]Data!W430</f>
        <v>9.7861511654415024E-3</v>
      </c>
    </row>
    <row r="433" spans="3:19">
      <c r="C433" s="71">
        <v>40627</v>
      </c>
      <c r="D433" s="118">
        <f t="shared" si="36"/>
        <v>12.950458281628169</v>
      </c>
      <c r="E433" s="92">
        <f t="shared" si="37"/>
        <v>146.38045401548362</v>
      </c>
      <c r="F433" s="92">
        <f t="shared" si="38"/>
        <v>0</v>
      </c>
      <c r="G433" s="92">
        <f t="shared" si="40"/>
        <v>159.33091229711178</v>
      </c>
      <c r="H433" s="92">
        <f t="shared" si="39"/>
        <v>159.25924563657557</v>
      </c>
      <c r="I433" s="91">
        <f t="shared" si="41"/>
        <v>-3.6512744426349377E-3</v>
      </c>
      <c r="J433" s="115"/>
      <c r="K433" s="64"/>
      <c r="L433" s="119">
        <v>40627</v>
      </c>
      <c r="M433" s="117">
        <v>3.0082431456029925E-2</v>
      </c>
      <c r="N433" s="117">
        <v>-6.5296603993587202E-3</v>
      </c>
      <c r="O433" s="117">
        <v>1.8125121808614253E-2</v>
      </c>
      <c r="P433" s="89">
        <v>3.1564279655882758E-2</v>
      </c>
      <c r="R433" s="71">
        <v>40627</v>
      </c>
      <c r="S433" s="99">
        <f>+I433-[1]Data!W431</f>
        <v>-3.6685821349426301E-3</v>
      </c>
    </row>
    <row r="434" spans="3:19">
      <c r="C434" s="71">
        <v>40634</v>
      </c>
      <c r="D434" s="118">
        <f t="shared" si="36"/>
        <v>13.102833851408612</v>
      </c>
      <c r="E434" s="92">
        <f t="shared" si="37"/>
        <v>145.83068440443986</v>
      </c>
      <c r="F434" s="92">
        <f t="shared" si="38"/>
        <v>0</v>
      </c>
      <c r="G434" s="92">
        <f t="shared" si="40"/>
        <v>158.93351825584847</v>
      </c>
      <c r="H434" s="92">
        <f t="shared" si="39"/>
        <v>158.86203034219474</v>
      </c>
      <c r="I434" s="91">
        <f t="shared" si="41"/>
        <v>-2.4941427594556151E-3</v>
      </c>
      <c r="J434" s="115"/>
      <c r="K434" s="64"/>
      <c r="L434" s="119">
        <v>40634</v>
      </c>
      <c r="M434" s="117">
        <v>1.1766036882000329E-2</v>
      </c>
      <c r="N434" s="117">
        <v>-3.7557583404243702E-3</v>
      </c>
      <c r="O434" s="117">
        <v>1.3272077590607532E-2</v>
      </c>
      <c r="P434" s="89">
        <v>1.5034944499911917E-2</v>
      </c>
      <c r="R434" s="71">
        <v>40634</v>
      </c>
      <c r="S434" s="99">
        <f>+I434-[1]Data!W432</f>
        <v>-2.5114504517633075E-3</v>
      </c>
    </row>
    <row r="435" spans="3:19">
      <c r="C435" s="71">
        <v>40641</v>
      </c>
      <c r="D435" s="118">
        <f t="shared" si="36"/>
        <v>13.200315145409178</v>
      </c>
      <c r="E435" s="92">
        <f t="shared" si="37"/>
        <v>145.18642314149798</v>
      </c>
      <c r="F435" s="92">
        <f t="shared" si="38"/>
        <v>0</v>
      </c>
      <c r="G435" s="92">
        <f t="shared" si="40"/>
        <v>158.38673828690716</v>
      </c>
      <c r="H435" s="92">
        <f t="shared" si="39"/>
        <v>158.31549631356629</v>
      </c>
      <c r="I435" s="91">
        <f t="shared" si="41"/>
        <v>-3.4403062043913361E-3</v>
      </c>
      <c r="J435" s="115"/>
      <c r="K435" s="64"/>
      <c r="L435" s="119">
        <v>40641</v>
      </c>
      <c r="M435" s="117">
        <v>7.4397107607439847E-3</v>
      </c>
      <c r="N435" s="117">
        <v>-4.4178717639089329E-3</v>
      </c>
      <c r="O435" s="117">
        <v>2.3929471032745303E-3</v>
      </c>
      <c r="P435" s="89">
        <v>8.8526297517792108E-3</v>
      </c>
      <c r="R435" s="71">
        <v>40641</v>
      </c>
      <c r="S435" s="99">
        <f>+I435-[1]Data!W433</f>
        <v>-3.4499215890067209E-3</v>
      </c>
    </row>
    <row r="436" spans="3:19">
      <c r="C436" s="71">
        <v>40648</v>
      </c>
      <c r="D436" s="118">
        <f t="shared" si="36"/>
        <v>13.069526114680963</v>
      </c>
      <c r="E436" s="92">
        <f t="shared" si="37"/>
        <v>146.71976494729969</v>
      </c>
      <c r="F436" s="92">
        <f t="shared" si="38"/>
        <v>0</v>
      </c>
      <c r="G436" s="92">
        <f t="shared" si="40"/>
        <v>159.78929106198066</v>
      </c>
      <c r="H436" s="92">
        <f t="shared" si="39"/>
        <v>159.71741822378021</v>
      </c>
      <c r="I436" s="91">
        <f t="shared" si="41"/>
        <v>8.8552412294322959E-3</v>
      </c>
      <c r="J436" s="115"/>
      <c r="K436" s="64"/>
      <c r="L436" s="119">
        <v>40648</v>
      </c>
      <c r="M436" s="117">
        <v>-9.9080233530409265E-3</v>
      </c>
      <c r="N436" s="117">
        <v>1.0561192793539185E-2</v>
      </c>
      <c r="O436" s="117">
        <v>3.8321397160446364E-3</v>
      </c>
      <c r="P436" s="89">
        <v>-1.1355815554026255E-2</v>
      </c>
      <c r="R436" s="71">
        <v>40648</v>
      </c>
      <c r="S436" s="99">
        <f>+I436-[1]Data!W434</f>
        <v>8.8437027678938337E-3</v>
      </c>
    </row>
    <row r="437" spans="3:19">
      <c r="C437" s="71">
        <v>40655</v>
      </c>
      <c r="D437" s="118">
        <f t="shared" si="36"/>
        <v>13.294084726812525</v>
      </c>
      <c r="E437" s="92">
        <f t="shared" si="37"/>
        <v>147.48858338774366</v>
      </c>
      <c r="F437" s="92">
        <f t="shared" si="38"/>
        <v>0</v>
      </c>
      <c r="G437" s="92">
        <f t="shared" si="40"/>
        <v>160.78266811455617</v>
      </c>
      <c r="H437" s="92">
        <f t="shared" si="39"/>
        <v>160.71034845775046</v>
      </c>
      <c r="I437" s="91">
        <f t="shared" si="41"/>
        <v>6.2167936660423992E-3</v>
      </c>
      <c r="J437" s="115"/>
      <c r="K437" s="64"/>
      <c r="L437" s="119">
        <v>40655</v>
      </c>
      <c r="M437" s="117">
        <v>1.7181848076290702E-2</v>
      </c>
      <c r="N437" s="117">
        <v>5.2400468384073877E-3</v>
      </c>
      <c r="O437" s="117">
        <v>1.3580324175480418E-2</v>
      </c>
      <c r="P437" s="89">
        <v>1.7664462234598072E-2</v>
      </c>
      <c r="R437" s="71">
        <v>40655</v>
      </c>
      <c r="S437" s="99">
        <f>+I437-[1]Data!W435</f>
        <v>6.2052552045039379E-3</v>
      </c>
    </row>
    <row r="438" spans="3:19">
      <c r="C438" s="71">
        <v>40662</v>
      </c>
      <c r="D438" s="118">
        <f t="shared" si="36"/>
        <v>13.563574596699858</v>
      </c>
      <c r="E438" s="92">
        <f t="shared" si="37"/>
        <v>148.59241768491742</v>
      </c>
      <c r="F438" s="92">
        <f t="shared" si="38"/>
        <v>0</v>
      </c>
      <c r="G438" s="92">
        <f t="shared" si="40"/>
        <v>162.15599228161727</v>
      </c>
      <c r="H438" s="92">
        <f t="shared" si="39"/>
        <v>162.08305490690944</v>
      </c>
      <c r="I438" s="91">
        <f t="shared" si="41"/>
        <v>8.5414938262040867E-3</v>
      </c>
      <c r="J438" s="115"/>
      <c r="K438" s="64"/>
      <c r="L438" s="119">
        <v>40662</v>
      </c>
      <c r="M438" s="117">
        <v>2.0271412092312379E-2</v>
      </c>
      <c r="N438" s="117">
        <v>7.4842016366230618E-3</v>
      </c>
      <c r="O438" s="117">
        <v>1.8029142998271099E-2</v>
      </c>
      <c r="P438" s="89">
        <v>1.7243836397320661E-2</v>
      </c>
      <c r="R438" s="71">
        <v>40662</v>
      </c>
      <c r="S438" s="99">
        <f>+I438-[1]Data!W436</f>
        <v>8.5299553646656246E-3</v>
      </c>
    </row>
    <row r="439" spans="3:19">
      <c r="C439" s="71">
        <v>40669</v>
      </c>
      <c r="D439" s="118">
        <f t="shared" si="36"/>
        <v>13.276893636888579</v>
      </c>
      <c r="E439" s="92">
        <f t="shared" si="37"/>
        <v>149.36982627553397</v>
      </c>
      <c r="F439" s="92">
        <f t="shared" si="38"/>
        <v>0</v>
      </c>
      <c r="G439" s="92">
        <f t="shared" si="40"/>
        <v>162.64671991242255</v>
      </c>
      <c r="H439" s="92">
        <f t="shared" si="39"/>
        <v>162.57356180960849</v>
      </c>
      <c r="I439" s="91">
        <f t="shared" si="41"/>
        <v>3.0262688655564285E-3</v>
      </c>
      <c r="J439" s="115"/>
      <c r="K439" s="64"/>
      <c r="L439" s="119">
        <v>40669</v>
      </c>
      <c r="M439" s="117">
        <v>-2.1136091947400952E-2</v>
      </c>
      <c r="N439" s="117">
        <v>5.2318187073650199E-3</v>
      </c>
      <c r="O439" s="117">
        <v>-1.6254245511887474E-2</v>
      </c>
      <c r="P439" s="89">
        <v>-2.2835528159148157E-2</v>
      </c>
      <c r="R439" s="71">
        <v>40669</v>
      </c>
      <c r="S439" s="99">
        <f>+I439-[1]Data!W437</f>
        <v>3.0204996347871979E-3</v>
      </c>
    </row>
    <row r="440" spans="3:19">
      <c r="C440" s="71">
        <v>40676</v>
      </c>
      <c r="D440" s="118">
        <f t="shared" si="36"/>
        <v>13.11963423474338</v>
      </c>
      <c r="E440" s="92">
        <f t="shared" si="37"/>
        <v>148.98326951776883</v>
      </c>
      <c r="F440" s="92">
        <f t="shared" si="38"/>
        <v>0</v>
      </c>
      <c r="G440" s="92">
        <f t="shared" si="40"/>
        <v>162.10290375251222</v>
      </c>
      <c r="H440" s="92">
        <f t="shared" si="39"/>
        <v>162.02999025689689</v>
      </c>
      <c r="I440" s="91">
        <f t="shared" si="41"/>
        <v>-3.3435421273981772E-3</v>
      </c>
      <c r="J440" s="115"/>
      <c r="K440" s="64"/>
      <c r="L440" s="119">
        <v>40676</v>
      </c>
      <c r="M440" s="117">
        <v>-1.1844593053624305E-2</v>
      </c>
      <c r="N440" s="117">
        <v>-2.587917301664828E-3</v>
      </c>
      <c r="O440" s="117">
        <v>-9.9260172626386266E-3</v>
      </c>
      <c r="P440" s="89">
        <v>-1.2415770609318951E-2</v>
      </c>
      <c r="R440" s="71">
        <v>40676</v>
      </c>
      <c r="S440" s="99">
        <f>+I440-[1]Data!W438</f>
        <v>-3.3493113581674078E-3</v>
      </c>
    </row>
    <row r="441" spans="3:19">
      <c r="C441" s="71">
        <v>40683</v>
      </c>
      <c r="D441" s="118">
        <f t="shared" si="36"/>
        <v>13.05594906070694</v>
      </c>
      <c r="E441" s="92">
        <f t="shared" si="37"/>
        <v>148.96179414233742</v>
      </c>
      <c r="F441" s="92">
        <f t="shared" si="38"/>
        <v>0</v>
      </c>
      <c r="G441" s="92">
        <f t="shared" si="40"/>
        <v>162.01774320304438</v>
      </c>
      <c r="H441" s="92">
        <f t="shared" si="39"/>
        <v>161.94486801243906</v>
      </c>
      <c r="I441" s="91">
        <f t="shared" si="41"/>
        <v>-5.2534869824330055E-4</v>
      </c>
      <c r="J441" s="115"/>
      <c r="K441" s="64"/>
      <c r="L441" s="119">
        <v>40683</v>
      </c>
      <c r="M441" s="117">
        <v>-4.8541882263600147E-3</v>
      </c>
      <c r="N441" s="117">
        <v>-1.4414622192755606E-4</v>
      </c>
      <c r="O441" s="117">
        <v>5.0439006164767564E-3</v>
      </c>
      <c r="P441" s="89">
        <v>-4.703559607456026E-3</v>
      </c>
      <c r="R441" s="71">
        <v>40683</v>
      </c>
      <c r="S441" s="99">
        <f>+I441-[1]Data!W439</f>
        <v>-5.3496408285868516E-4</v>
      </c>
    </row>
    <row r="442" spans="3:19">
      <c r="C442" s="71">
        <v>40690</v>
      </c>
      <c r="D442" s="118">
        <f t="shared" si="36"/>
        <v>13.073726210514657</v>
      </c>
      <c r="E442" s="92">
        <f t="shared" si="37"/>
        <v>148.88018771569813</v>
      </c>
      <c r="F442" s="92">
        <f t="shared" si="38"/>
        <v>0</v>
      </c>
      <c r="G442" s="92">
        <f t="shared" si="40"/>
        <v>161.95391392621278</v>
      </c>
      <c r="H442" s="92">
        <f t="shared" si="39"/>
        <v>161.88106744586241</v>
      </c>
      <c r="I442" s="91">
        <f t="shared" si="41"/>
        <v>-3.9396473231708166E-4</v>
      </c>
      <c r="J442" s="115"/>
      <c r="K442" s="64"/>
      <c r="L442" s="119">
        <v>40690</v>
      </c>
      <c r="M442" s="117">
        <v>1.3616129876930657E-3</v>
      </c>
      <c r="N442" s="117">
        <v>-5.4783461161408726E-4</v>
      </c>
      <c r="O442" s="117">
        <v>3.7174721189590725E-3</v>
      </c>
      <c r="P442" s="89">
        <v>2.0420070011668281E-3</v>
      </c>
      <c r="R442" s="71">
        <v>40690</v>
      </c>
      <c r="S442" s="99">
        <f>+I442-[1]Data!W440</f>
        <v>-4.055031938555432E-4</v>
      </c>
    </row>
    <row r="443" spans="3:19">
      <c r="C443" s="71">
        <v>40697</v>
      </c>
      <c r="D443" s="118">
        <f t="shared" si="36"/>
        <v>12.894391886080751</v>
      </c>
      <c r="E443" s="92">
        <f t="shared" si="37"/>
        <v>150.32333294468796</v>
      </c>
      <c r="F443" s="92">
        <f t="shared" si="38"/>
        <v>0</v>
      </c>
      <c r="G443" s="92">
        <f t="shared" si="40"/>
        <v>163.2177248307687</v>
      </c>
      <c r="H443" s="92">
        <f t="shared" si="39"/>
        <v>163.1443098913179</v>
      </c>
      <c r="I443" s="91">
        <f t="shared" si="41"/>
        <v>7.8035218409833705E-3</v>
      </c>
      <c r="J443" s="115"/>
      <c r="K443" s="64"/>
      <c r="L443" s="119">
        <v>40697</v>
      </c>
      <c r="M443" s="117">
        <v>-1.3717154661666026E-2</v>
      </c>
      <c r="N443" s="117">
        <v>9.6933329486773041E-3</v>
      </c>
      <c r="O443" s="117">
        <v>-7.716049382716049E-3</v>
      </c>
      <c r="P443" s="89">
        <v>-1.0975254730713193E-2</v>
      </c>
      <c r="R443" s="71">
        <v>40697</v>
      </c>
      <c r="S443" s="99">
        <f>+I443-[1]Data!W441</f>
        <v>7.7939064563679857E-3</v>
      </c>
    </row>
    <row r="444" spans="3:19">
      <c r="C444" s="71">
        <v>40704</v>
      </c>
      <c r="D444" s="118">
        <f t="shared" si="36"/>
        <v>12.58553832733347</v>
      </c>
      <c r="E444" s="92">
        <f t="shared" si="37"/>
        <v>150.4607753474489</v>
      </c>
      <c r="F444" s="92">
        <f t="shared" si="38"/>
        <v>0</v>
      </c>
      <c r="G444" s="92">
        <f t="shared" si="40"/>
        <v>163.04631367478237</v>
      </c>
      <c r="H444" s="92">
        <f t="shared" si="39"/>
        <v>162.9729758356566</v>
      </c>
      <c r="I444" s="91">
        <f t="shared" si="41"/>
        <v>-1.0501993957094957E-3</v>
      </c>
      <c r="J444" s="115"/>
      <c r="K444" s="64"/>
      <c r="L444" s="119">
        <v>40704</v>
      </c>
      <c r="M444" s="117">
        <v>-2.395254940876131E-2</v>
      </c>
      <c r="N444" s="117">
        <v>9.1431183748105142E-4</v>
      </c>
      <c r="O444" s="117">
        <v>-2.6065318818040421E-2</v>
      </c>
      <c r="P444" s="89">
        <v>-2.3813027992817919E-2</v>
      </c>
      <c r="R444" s="71">
        <v>40704</v>
      </c>
      <c r="S444" s="99">
        <f>+I444-[1]Data!W442</f>
        <v>-1.0598147803248803E-3</v>
      </c>
    </row>
    <row r="445" spans="3:19">
      <c r="C445" s="71">
        <v>40711</v>
      </c>
      <c r="D445" s="118">
        <f t="shared" si="36"/>
        <v>12.508276099323002</v>
      </c>
      <c r="E445" s="92">
        <f t="shared" si="37"/>
        <v>150.40923444641356</v>
      </c>
      <c r="F445" s="92">
        <f t="shared" si="38"/>
        <v>0</v>
      </c>
      <c r="G445" s="92">
        <f t="shared" si="40"/>
        <v>162.91751054573658</v>
      </c>
      <c r="H445" s="92">
        <f t="shared" si="39"/>
        <v>162.84423064194795</v>
      </c>
      <c r="I445" s="91">
        <f t="shared" si="41"/>
        <v>-7.8997878665773894E-4</v>
      </c>
      <c r="J445" s="115"/>
      <c r="K445" s="64"/>
      <c r="L445" s="119">
        <v>40711</v>
      </c>
      <c r="M445" s="117">
        <v>-6.1389688705384459E-3</v>
      </c>
      <c r="N445" s="117">
        <v>-3.425537381176802E-4</v>
      </c>
      <c r="O445" s="117">
        <v>-2.1716913643331846E-3</v>
      </c>
      <c r="P445" s="89">
        <v>-8.352430346158431E-3</v>
      </c>
      <c r="R445" s="71">
        <v>40711</v>
      </c>
      <c r="S445" s="99">
        <f>+I445-[1]Data!W443</f>
        <v>-7.9959417127312355E-4</v>
      </c>
    </row>
    <row r="446" spans="3:19">
      <c r="C446" s="71">
        <v>40718</v>
      </c>
      <c r="D446" s="118">
        <f t="shared" si="36"/>
        <v>12.458167979260589</v>
      </c>
      <c r="E446" s="92">
        <f t="shared" si="37"/>
        <v>150.53808669900195</v>
      </c>
      <c r="F446" s="92">
        <f t="shared" si="38"/>
        <v>0</v>
      </c>
      <c r="G446" s="92">
        <f t="shared" si="40"/>
        <v>162.99625467826255</v>
      </c>
      <c r="H446" s="92">
        <f t="shared" si="39"/>
        <v>162.92293935555281</v>
      </c>
      <c r="I446" s="91">
        <f t="shared" si="41"/>
        <v>4.8333744029242445E-4</v>
      </c>
      <c r="J446" s="115"/>
      <c r="K446" s="64"/>
      <c r="L446" s="119">
        <v>40718</v>
      </c>
      <c r="M446" s="117">
        <v>-4.0059972824812839E-3</v>
      </c>
      <c r="N446" s="117">
        <v>8.5667780347814439E-4</v>
      </c>
      <c r="O446" s="117">
        <v>-1.7283318397132905E-3</v>
      </c>
      <c r="P446" s="89">
        <v>-2.0068720162983093E-3</v>
      </c>
      <c r="R446" s="71">
        <v>40718</v>
      </c>
      <c r="S446" s="99">
        <f>+I446-[1]Data!W444</f>
        <v>4.7949128644627059E-4</v>
      </c>
    </row>
    <row r="447" spans="3:19">
      <c r="C447" s="71">
        <v>40725</v>
      </c>
      <c r="D447" s="118">
        <f t="shared" si="36"/>
        <v>13.12588554017027</v>
      </c>
      <c r="E447" s="92">
        <f t="shared" si="37"/>
        <v>149.51585882846749</v>
      </c>
      <c r="F447" s="92">
        <f t="shared" si="38"/>
        <v>0</v>
      </c>
      <c r="G447" s="92">
        <f t="shared" si="40"/>
        <v>162.64174436863775</v>
      </c>
      <c r="H447" s="92">
        <f t="shared" si="39"/>
        <v>162.5685885038113</v>
      </c>
      <c r="I447" s="91">
        <f t="shared" si="41"/>
        <v>-2.1749598499951053E-3</v>
      </c>
      <c r="J447" s="115"/>
      <c r="K447" s="64"/>
      <c r="L447" s="119">
        <v>40725</v>
      </c>
      <c r="M447" s="117">
        <v>5.3596769767532949E-2</v>
      </c>
      <c r="N447" s="117">
        <v>-6.7904933093668731E-3</v>
      </c>
      <c r="O447" s="117">
        <v>3.5716575825585267E-2</v>
      </c>
      <c r="P447" s="89">
        <v>5.127814509003395E-2</v>
      </c>
      <c r="R447" s="71">
        <v>40725</v>
      </c>
      <c r="S447" s="99">
        <f>+I447-[1]Data!W445</f>
        <v>-2.1788060038412591E-3</v>
      </c>
    </row>
    <row r="448" spans="3:19">
      <c r="C448" s="71">
        <v>40732</v>
      </c>
      <c r="D448" s="118">
        <f t="shared" si="36"/>
        <v>13.119243528154202</v>
      </c>
      <c r="E448" s="92">
        <f t="shared" si="37"/>
        <v>150.31474279451541</v>
      </c>
      <c r="F448" s="92">
        <f t="shared" si="38"/>
        <v>0</v>
      </c>
      <c r="G448" s="92">
        <f t="shared" si="40"/>
        <v>163.43398632266963</v>
      </c>
      <c r="H448" s="92">
        <f t="shared" si="39"/>
        <v>163.36047410932068</v>
      </c>
      <c r="I448" s="91">
        <f t="shared" si="41"/>
        <v>4.8710861845910241E-3</v>
      </c>
      <c r="J448" s="115"/>
      <c r="K448" s="64"/>
      <c r="L448" s="119">
        <v>40732</v>
      </c>
      <c r="M448" s="117">
        <v>-5.0602391707148806E-4</v>
      </c>
      <c r="N448" s="117">
        <v>5.3431386630663109E-3</v>
      </c>
      <c r="O448" s="117">
        <v>1.6716196136701267E-2</v>
      </c>
      <c r="P448" s="89">
        <v>4.0575005796425446E-4</v>
      </c>
      <c r="R448" s="71">
        <v>40732</v>
      </c>
      <c r="S448" s="99">
        <f>+I448-[1]Data!W446</f>
        <v>4.8672400307448703E-3</v>
      </c>
    </row>
    <row r="449" spans="3:19">
      <c r="C449" s="71">
        <v>40739</v>
      </c>
      <c r="D449" s="118">
        <f t="shared" si="36"/>
        <v>12.826604292857917</v>
      </c>
      <c r="E449" s="92">
        <f t="shared" si="37"/>
        <v>150.95470898237099</v>
      </c>
      <c r="F449" s="92">
        <f t="shared" si="38"/>
        <v>0</v>
      </c>
      <c r="G449" s="92">
        <f t="shared" si="40"/>
        <v>163.78131327522891</v>
      </c>
      <c r="H449" s="92">
        <f t="shared" si="39"/>
        <v>163.70764483505337</v>
      </c>
      <c r="I449" s="91">
        <f t="shared" si="41"/>
        <v>2.1251819182427759E-3</v>
      </c>
      <c r="J449" s="115"/>
      <c r="K449" s="64"/>
      <c r="L449" s="119">
        <v>40739</v>
      </c>
      <c r="M449" s="117">
        <v>-2.2306105886995328E-2</v>
      </c>
      <c r="N449" s="117">
        <v>4.2575077863815534E-3</v>
      </c>
      <c r="O449" s="117">
        <v>-2.5392765801972889E-2</v>
      </c>
      <c r="P449" s="89">
        <v>-2.2567935569847673E-2</v>
      </c>
      <c r="R449" s="71">
        <v>40739</v>
      </c>
      <c r="S449" s="99">
        <f>+I449-[1]Data!W447</f>
        <v>2.1213357643966222E-3</v>
      </c>
    </row>
    <row r="450" spans="3:19">
      <c r="C450" s="71">
        <v>40746</v>
      </c>
      <c r="D450" s="118">
        <f t="shared" si="36"/>
        <v>13.173551744050311</v>
      </c>
      <c r="E450" s="92">
        <f t="shared" si="37"/>
        <v>151.41857709168914</v>
      </c>
      <c r="F450" s="92">
        <f t="shared" si="38"/>
        <v>0</v>
      </c>
      <c r="G450" s="92">
        <f t="shared" si="40"/>
        <v>164.59212883573946</v>
      </c>
      <c r="H450" s="92">
        <f t="shared" si="39"/>
        <v>164.51809569267803</v>
      </c>
      <c r="I450" s="91">
        <f t="shared" si="41"/>
        <v>4.9505987239706695E-3</v>
      </c>
      <c r="J450" s="115"/>
      <c r="K450" s="64"/>
      <c r="L450" s="119">
        <v>40746</v>
      </c>
      <c r="M450" s="117">
        <v>2.7049049247241393E-2</v>
      </c>
      <c r="N450" s="117">
        <v>3.0728959198772009E-3</v>
      </c>
      <c r="O450" s="117">
        <v>2.3930021868166097E-2</v>
      </c>
      <c r="P450" s="89">
        <v>2.5489789264649287E-2</v>
      </c>
      <c r="R450" s="71">
        <v>40746</v>
      </c>
      <c r="S450" s="99">
        <f>+I450-[1]Data!W448</f>
        <v>4.9448294932014384E-3</v>
      </c>
    </row>
    <row r="451" spans="3:19">
      <c r="C451" s="71">
        <v>40753</v>
      </c>
      <c r="D451" s="118">
        <f t="shared" si="36"/>
        <v>12.757058519983767</v>
      </c>
      <c r="E451" s="92">
        <f t="shared" si="37"/>
        <v>152.59972274041596</v>
      </c>
      <c r="F451" s="92">
        <f t="shared" si="38"/>
        <v>0</v>
      </c>
      <c r="G451" s="92">
        <f t="shared" si="40"/>
        <v>165.35678126039971</v>
      </c>
      <c r="H451" s="92">
        <f t="shared" si="39"/>
        <v>165.28240417851964</v>
      </c>
      <c r="I451" s="91">
        <f t="shared" si="41"/>
        <v>4.6457411424780199E-3</v>
      </c>
      <c r="J451" s="115"/>
      <c r="K451" s="64"/>
      <c r="L451" s="119">
        <v>40753</v>
      </c>
      <c r="M451" s="117">
        <v>-3.1615864283119251E-2</v>
      </c>
      <c r="N451" s="117">
        <v>7.8005332728201052E-3</v>
      </c>
      <c r="O451" s="117">
        <v>-2.0929948742982714E-2</v>
      </c>
      <c r="P451" s="89">
        <v>-2.9162692563368973E-2</v>
      </c>
      <c r="R451" s="71">
        <v>40753</v>
      </c>
      <c r="S451" s="99">
        <f>+I451-[1]Data!W449</f>
        <v>4.6322796040164814E-3</v>
      </c>
    </row>
    <row r="452" spans="3:19">
      <c r="C452" s="71">
        <v>40760</v>
      </c>
      <c r="D452" s="118">
        <f t="shared" si="36"/>
        <v>11.663080070278026</v>
      </c>
      <c r="E452" s="92">
        <f t="shared" si="37"/>
        <v>153.123721900942</v>
      </c>
      <c r="F452" s="92">
        <f t="shared" si="38"/>
        <v>0</v>
      </c>
      <c r="G452" s="92">
        <f t="shared" si="40"/>
        <v>164.78680197122003</v>
      </c>
      <c r="H452" s="92">
        <f t="shared" si="39"/>
        <v>164.7126812646512</v>
      </c>
      <c r="I452" s="91">
        <f t="shared" si="41"/>
        <v>-3.4469665219359655E-3</v>
      </c>
      <c r="J452" s="115"/>
      <c r="K452" s="64"/>
      <c r="L452" s="119">
        <v>40760</v>
      </c>
      <c r="M452" s="117">
        <v>-8.5754756709161217E-2</v>
      </c>
      <c r="N452" s="117">
        <v>3.4338146303019234E-3</v>
      </c>
      <c r="O452" s="117">
        <v>-9.2739171081333727E-2</v>
      </c>
      <c r="P452" s="89">
        <v>-8.5650491217624247E-2</v>
      </c>
      <c r="R452" s="71">
        <v>40760</v>
      </c>
      <c r="S452" s="99">
        <f>+I452-[1]Data!W450</f>
        <v>-3.454658829628273E-3</v>
      </c>
    </row>
    <row r="453" spans="3:19">
      <c r="C453" s="71">
        <v>40767</v>
      </c>
      <c r="D453" s="118">
        <f t="shared" ref="D453:D516" si="42">+D452*(1+M453)</f>
        <v>11.533853865906536</v>
      </c>
      <c r="E453" s="92">
        <f t="shared" ref="E453:E516" si="43">+E452*(1+N453)</f>
        <v>154.70860460777905</v>
      </c>
      <c r="F453" s="92">
        <f t="shared" ref="F453:F516" si="44">+F452*(1+O453)</f>
        <v>0</v>
      </c>
      <c r="G453" s="92">
        <f t="shared" si="40"/>
        <v>166.24245847368559</v>
      </c>
      <c r="H453" s="92">
        <f t="shared" ref="H453:H516" si="45">+H452*(1+(((D452/G452)*M453)+((E452/G452)*N453)+((F452/G452)*O453)))</f>
        <v>166.16768301632851</v>
      </c>
      <c r="I453" s="91">
        <f t="shared" si="41"/>
        <v>8.8335745645443005E-3</v>
      </c>
      <c r="J453" s="115"/>
      <c r="K453" s="64"/>
      <c r="L453" s="119">
        <v>40767</v>
      </c>
      <c r="M453" s="117">
        <v>-1.1079938026045826E-2</v>
      </c>
      <c r="N453" s="117">
        <v>1.0350340803904512E-2</v>
      </c>
      <c r="O453" s="117">
        <v>-1.2433880607267998E-2</v>
      </c>
      <c r="P453" s="89">
        <v>-1.6344870250382514E-2</v>
      </c>
      <c r="R453" s="71">
        <v>40767</v>
      </c>
      <c r="S453" s="99">
        <f>+I453-[1]Data!W451</f>
        <v>8.8278053337750694E-3</v>
      </c>
    </row>
    <row r="454" spans="3:19">
      <c r="C454" s="71">
        <v>40774</v>
      </c>
      <c r="D454" s="118">
        <f t="shared" si="42"/>
        <v>11.053968497745439</v>
      </c>
      <c r="E454" s="92">
        <f t="shared" si="43"/>
        <v>155.77807830426261</v>
      </c>
      <c r="F454" s="92">
        <f t="shared" si="44"/>
        <v>0</v>
      </c>
      <c r="G454" s="92">
        <f t="shared" ref="G454:G517" si="46">+SUM(D454:F454)</f>
        <v>166.83204680200805</v>
      </c>
      <c r="H454" s="92">
        <f t="shared" si="45"/>
        <v>166.75700614924114</v>
      </c>
      <c r="I454" s="91">
        <f t="shared" si="41"/>
        <v>3.5465568407469172E-3</v>
      </c>
      <c r="J454" s="115"/>
      <c r="K454" s="64"/>
      <c r="L454" s="119">
        <v>40774</v>
      </c>
      <c r="M454" s="117">
        <v>-4.1606680103656681E-2</v>
      </c>
      <c r="N454" s="117">
        <v>6.9128262076624354E-3</v>
      </c>
      <c r="O454" s="117">
        <v>-2.17028380634391E-2</v>
      </c>
      <c r="P454" s="89">
        <v>-3.8694515242792354E-2</v>
      </c>
      <c r="R454" s="71">
        <v>40774</v>
      </c>
      <c r="S454" s="99">
        <f>+I454-[1]Data!W452</f>
        <v>3.5427106869007634E-3</v>
      </c>
    </row>
    <row r="455" spans="3:19">
      <c r="C455" s="71">
        <v>40781</v>
      </c>
      <c r="D455" s="118">
        <f t="shared" si="42"/>
        <v>11.359989433721159</v>
      </c>
      <c r="E455" s="92">
        <f t="shared" si="43"/>
        <v>154.57975235519066</v>
      </c>
      <c r="F455" s="92">
        <f t="shared" si="44"/>
        <v>0</v>
      </c>
      <c r="G455" s="92">
        <f t="shared" si="46"/>
        <v>165.93974178891182</v>
      </c>
      <c r="H455" s="92">
        <f t="shared" si="45"/>
        <v>165.86510249279033</v>
      </c>
      <c r="I455" s="91">
        <f t="shared" ref="I455:I518" si="47">+(H455-H454)/H454</f>
        <v>-5.3485228419883476E-3</v>
      </c>
      <c r="J455" s="115"/>
      <c r="K455" s="64"/>
      <c r="L455" s="119">
        <v>40781</v>
      </c>
      <c r="M455" s="117">
        <v>2.7684259823803271E-2</v>
      </c>
      <c r="N455" s="117">
        <v>-7.6925197827346229E-3</v>
      </c>
      <c r="O455" s="117">
        <v>2.2753128555176461E-2</v>
      </c>
      <c r="P455" s="89">
        <v>2.4722815233110689E-2</v>
      </c>
      <c r="R455" s="71">
        <v>40781</v>
      </c>
      <c r="S455" s="99">
        <f>+I455-[1]Data!W453</f>
        <v>-5.3504459189114249E-3</v>
      </c>
    </row>
    <row r="456" spans="3:19">
      <c r="C456" s="71">
        <v>40788</v>
      </c>
      <c r="D456" s="118">
        <f t="shared" si="42"/>
        <v>11.479545650010429</v>
      </c>
      <c r="E456" s="92">
        <f t="shared" si="43"/>
        <v>155.5203737990858</v>
      </c>
      <c r="F456" s="92">
        <f t="shared" si="44"/>
        <v>0</v>
      </c>
      <c r="G456" s="92">
        <f t="shared" si="46"/>
        <v>166.99991944909624</v>
      </c>
      <c r="H456" s="92">
        <f t="shared" si="45"/>
        <v>166.9248032876171</v>
      </c>
      <c r="I456" s="91">
        <f t="shared" si="47"/>
        <v>6.3889316010450692E-3</v>
      </c>
      <c r="J456" s="115"/>
      <c r="K456" s="64"/>
      <c r="L456" s="119">
        <v>40788</v>
      </c>
      <c r="M456" s="117">
        <v>1.052432460318826E-2</v>
      </c>
      <c r="N456" s="117">
        <v>6.0850236176715694E-3</v>
      </c>
      <c r="O456" s="117">
        <v>2.0091768631813032E-2</v>
      </c>
      <c r="P456" s="89">
        <v>1.5423387096774108E-2</v>
      </c>
      <c r="R456" s="71">
        <v>40788</v>
      </c>
      <c r="S456" s="99">
        <f>+I456-[1]Data!W454</f>
        <v>6.3850854471989155E-3</v>
      </c>
    </row>
    <row r="457" spans="3:19">
      <c r="C457" s="71">
        <v>40795</v>
      </c>
      <c r="D457" s="118">
        <f t="shared" si="42"/>
        <v>11.08317381528669</v>
      </c>
      <c r="E457" s="92">
        <f t="shared" si="43"/>
        <v>155.11663674097557</v>
      </c>
      <c r="F457" s="92">
        <f t="shared" si="44"/>
        <v>0</v>
      </c>
      <c r="G457" s="92">
        <f t="shared" si="46"/>
        <v>166.19981055626226</v>
      </c>
      <c r="H457" s="92">
        <f t="shared" si="45"/>
        <v>166.1250542818357</v>
      </c>
      <c r="I457" s="91">
        <f t="shared" si="47"/>
        <v>-4.7910735255047672E-3</v>
      </c>
      <c r="J457" s="115"/>
      <c r="K457" s="64"/>
      <c r="L457" s="119">
        <v>40795</v>
      </c>
      <c r="M457" s="117">
        <v>-3.4528529857223024E-2</v>
      </c>
      <c r="N457" s="117">
        <v>-2.5960396586483963E-3</v>
      </c>
      <c r="O457" s="117">
        <v>-2.2558440673345618E-2</v>
      </c>
      <c r="P457" s="89">
        <v>-3.378669049273629E-2</v>
      </c>
      <c r="R457" s="71">
        <v>40795</v>
      </c>
      <c r="S457" s="99">
        <f>+I457-[1]Data!W455</f>
        <v>-4.7949196793509209E-3</v>
      </c>
    </row>
    <row r="458" spans="3:19">
      <c r="C458" s="71">
        <v>40802</v>
      </c>
      <c r="D458" s="118">
        <f t="shared" si="42"/>
        <v>11.487066751852158</v>
      </c>
      <c r="E458" s="92">
        <f t="shared" si="43"/>
        <v>154.64847355657113</v>
      </c>
      <c r="F458" s="92">
        <f t="shared" si="44"/>
        <v>0</v>
      </c>
      <c r="G458" s="92">
        <f t="shared" si="46"/>
        <v>166.13554030842329</v>
      </c>
      <c r="H458" s="92">
        <f t="shared" si="45"/>
        <v>166.0608129425994</v>
      </c>
      <c r="I458" s="91">
        <f t="shared" si="47"/>
        <v>-3.8670469974575139E-4</v>
      </c>
      <c r="J458" s="115"/>
      <c r="K458" s="64"/>
      <c r="L458" s="119">
        <v>40802</v>
      </c>
      <c r="M458" s="117">
        <v>3.6441992456022761E-2</v>
      </c>
      <c r="N458" s="117">
        <v>-3.0181365083759518E-3</v>
      </c>
      <c r="O458" s="117">
        <v>7.3211546506764154E-3</v>
      </c>
      <c r="P458" s="89">
        <v>2.9248578669771777E-2</v>
      </c>
      <c r="R458" s="71">
        <v>40802</v>
      </c>
      <c r="S458" s="99">
        <f>+I458-[1]Data!W456</f>
        <v>-3.8862777666882832E-4</v>
      </c>
    </row>
    <row r="459" spans="3:19">
      <c r="C459" s="71">
        <v>40809</v>
      </c>
      <c r="D459" s="118">
        <f t="shared" si="42"/>
        <v>10.694811465641154</v>
      </c>
      <c r="E459" s="92">
        <f t="shared" si="43"/>
        <v>155.29702989459929</v>
      </c>
      <c r="F459" s="92">
        <f t="shared" si="44"/>
        <v>0</v>
      </c>
      <c r="G459" s="92">
        <f t="shared" si="46"/>
        <v>165.99184136024044</v>
      </c>
      <c r="H459" s="92">
        <f t="shared" si="45"/>
        <v>165.91717862985729</v>
      </c>
      <c r="I459" s="91">
        <f t="shared" si="47"/>
        <v>-8.6495007579998366E-4</v>
      </c>
      <c r="J459" s="115"/>
      <c r="K459" s="64"/>
      <c r="L459" s="119">
        <v>40809</v>
      </c>
      <c r="M459" s="117">
        <v>-6.8969329013715552E-2</v>
      </c>
      <c r="N459" s="117">
        <v>4.193745486863275E-3</v>
      </c>
      <c r="O459" s="117">
        <v>-7.5378971412749962E-2</v>
      </c>
      <c r="P459" s="89">
        <v>-7.5469186742978867E-2</v>
      </c>
      <c r="R459" s="71">
        <v>40809</v>
      </c>
      <c r="S459" s="99">
        <f>+I459-[1]Data!W457</f>
        <v>-8.6687315272306054E-4</v>
      </c>
    </row>
    <row r="460" spans="3:19">
      <c r="C460" s="71">
        <v>40816</v>
      </c>
      <c r="D460" s="118">
        <f t="shared" si="42"/>
        <v>10.784087921268926</v>
      </c>
      <c r="E460" s="92">
        <f t="shared" si="43"/>
        <v>154.4294247271709</v>
      </c>
      <c r="F460" s="92">
        <f t="shared" si="44"/>
        <v>0</v>
      </c>
      <c r="G460" s="92">
        <f t="shared" si="46"/>
        <v>165.21351264843983</v>
      </c>
      <c r="H460" s="92">
        <f t="shared" si="45"/>
        <v>165.13920000843629</v>
      </c>
      <c r="I460" s="91">
        <f t="shared" si="47"/>
        <v>-4.6889576344387018E-3</v>
      </c>
      <c r="J460" s="115"/>
      <c r="K460" s="64"/>
      <c r="L460" s="119">
        <v>40816</v>
      </c>
      <c r="M460" s="117">
        <v>8.347641836846411E-3</v>
      </c>
      <c r="N460" s="117">
        <v>-5.5867466880548215E-3</v>
      </c>
      <c r="O460" s="117">
        <v>-6.5129510405749699E-3</v>
      </c>
      <c r="P460" s="89">
        <v>1.0077742585660854E-2</v>
      </c>
      <c r="R460" s="71">
        <v>40816</v>
      </c>
      <c r="S460" s="99">
        <f>+I460-[1]Data!W458</f>
        <v>-4.6928037882848555E-3</v>
      </c>
    </row>
    <row r="461" spans="3:19">
      <c r="C461" s="71">
        <v>40823</v>
      </c>
      <c r="D461" s="118">
        <f t="shared" si="42"/>
        <v>10.999855635143927</v>
      </c>
      <c r="E461" s="92">
        <f t="shared" si="43"/>
        <v>153.83240929017808</v>
      </c>
      <c r="F461" s="92">
        <f t="shared" si="44"/>
        <v>0</v>
      </c>
      <c r="G461" s="92">
        <f t="shared" si="46"/>
        <v>164.83226492532199</v>
      </c>
      <c r="H461" s="92">
        <f t="shared" si="45"/>
        <v>164.75812376962594</v>
      </c>
      <c r="I461" s="91">
        <f t="shared" si="47"/>
        <v>-2.3076061818810049E-3</v>
      </c>
      <c r="J461" s="115"/>
      <c r="K461" s="64"/>
      <c r="L461" s="119">
        <v>40823</v>
      </c>
      <c r="M461" s="117">
        <v>2.0007970581309119E-2</v>
      </c>
      <c r="N461" s="117">
        <v>-3.865943540536744E-3</v>
      </c>
      <c r="O461" s="117">
        <v>3.3908522341947753E-3</v>
      </c>
      <c r="P461" s="89">
        <v>1.7958950969213301E-2</v>
      </c>
      <c r="R461" s="71">
        <v>40823</v>
      </c>
      <c r="S461" s="99">
        <f>+I461-[1]Data!W459</f>
        <v>-2.3095292588040817E-3</v>
      </c>
    </row>
    <row r="462" spans="3:19">
      <c r="C462" s="71">
        <v>40830</v>
      </c>
      <c r="D462" s="118">
        <f t="shared" si="42"/>
        <v>11.588357435097238</v>
      </c>
      <c r="E462" s="92">
        <f t="shared" si="43"/>
        <v>153.75939301371133</v>
      </c>
      <c r="F462" s="92">
        <f t="shared" si="44"/>
        <v>0</v>
      </c>
      <c r="G462" s="92">
        <f t="shared" si="46"/>
        <v>165.34775044880857</v>
      </c>
      <c r="H462" s="92">
        <f t="shared" si="45"/>
        <v>165.27337742896577</v>
      </c>
      <c r="I462" s="91">
        <f t="shared" si="47"/>
        <v>3.1273338610015395E-3</v>
      </c>
      <c r="J462" s="115"/>
      <c r="K462" s="64"/>
      <c r="L462" s="119">
        <v>40830</v>
      </c>
      <c r="M462" s="117">
        <v>5.3500865781645424E-2</v>
      </c>
      <c r="N462" s="117">
        <v>-4.7464820192097358E-4</v>
      </c>
      <c r="O462" s="117">
        <v>5.4070291378792559E-2</v>
      </c>
      <c r="P462" s="89">
        <v>5.4116493979277439E-2</v>
      </c>
      <c r="R462" s="71">
        <v>40830</v>
      </c>
      <c r="S462" s="99">
        <f>+I462-[1]Data!W460</f>
        <v>3.1234877071553858E-3</v>
      </c>
    </row>
    <row r="463" spans="3:19">
      <c r="C463" s="71">
        <v>40837</v>
      </c>
      <c r="D463" s="118">
        <f t="shared" si="42"/>
        <v>11.665815016402295</v>
      </c>
      <c r="E463" s="92">
        <f t="shared" si="43"/>
        <v>154.6141129558809</v>
      </c>
      <c r="F463" s="92">
        <f t="shared" si="44"/>
        <v>0</v>
      </c>
      <c r="G463" s="92">
        <f t="shared" si="46"/>
        <v>166.27992797228319</v>
      </c>
      <c r="H463" s="92">
        <f t="shared" si="45"/>
        <v>166.20513566123589</v>
      </c>
      <c r="I463" s="91">
        <f t="shared" si="47"/>
        <v>5.6376788976227037E-3</v>
      </c>
      <c r="J463" s="115"/>
      <c r="K463" s="64"/>
      <c r="L463" s="119">
        <v>40837</v>
      </c>
      <c r="M463" s="117">
        <v>6.6840863115305424E-3</v>
      </c>
      <c r="N463" s="117">
        <v>5.5588144920249421E-3</v>
      </c>
      <c r="O463" s="117">
        <v>7.8369905956112446E-3</v>
      </c>
      <c r="P463" s="89">
        <v>3.7192003719200527E-3</v>
      </c>
      <c r="R463" s="71">
        <v>40837</v>
      </c>
      <c r="S463" s="99">
        <f>+I463-[1]Data!W461</f>
        <v>5.6319096668534727E-3</v>
      </c>
    </row>
    <row r="464" spans="3:19">
      <c r="C464" s="71">
        <v>40844</v>
      </c>
      <c r="D464" s="118">
        <f t="shared" si="42"/>
        <v>12.250605103758392</v>
      </c>
      <c r="E464" s="92">
        <f t="shared" si="43"/>
        <v>155.28843974442674</v>
      </c>
      <c r="F464" s="92">
        <f t="shared" si="44"/>
        <v>0</v>
      </c>
      <c r="G464" s="92">
        <f t="shared" si="46"/>
        <v>167.53904484818514</v>
      </c>
      <c r="H464" s="92">
        <f t="shared" si="45"/>
        <v>167.46368618940016</v>
      </c>
      <c r="I464" s="91">
        <f t="shared" si="47"/>
        <v>7.5722721993951633E-3</v>
      </c>
      <c r="J464" s="115"/>
      <c r="K464" s="64"/>
      <c r="L464" s="119">
        <v>40844</v>
      </c>
      <c r="M464" s="117">
        <v>5.0128523942294105E-2</v>
      </c>
      <c r="N464" s="117">
        <v>4.3613534085226767E-3</v>
      </c>
      <c r="O464" s="117">
        <v>6.9065460200763332E-2</v>
      </c>
      <c r="P464" s="89">
        <v>5.6077549129888139E-2</v>
      </c>
      <c r="R464" s="71">
        <v>40844</v>
      </c>
      <c r="S464" s="99">
        <f>+I464-[1]Data!W462</f>
        <v>7.5684260455490095E-3</v>
      </c>
    </row>
    <row r="465" spans="3:19">
      <c r="C465" s="71">
        <v>40851</v>
      </c>
      <c r="D465" s="118">
        <f t="shared" si="42"/>
        <v>11.751184406138261</v>
      </c>
      <c r="E465" s="92">
        <f t="shared" si="43"/>
        <v>155.36575109597976</v>
      </c>
      <c r="F465" s="92">
        <f t="shared" si="44"/>
        <v>0</v>
      </c>
      <c r="G465" s="92">
        <f t="shared" si="46"/>
        <v>167.11693550211803</v>
      </c>
      <c r="H465" s="92">
        <f t="shared" si="45"/>
        <v>167.04176670710009</v>
      </c>
      <c r="I465" s="91">
        <f t="shared" si="47"/>
        <v>-2.519468500310458E-3</v>
      </c>
      <c r="J465" s="115"/>
      <c r="K465" s="64"/>
      <c r="L465" s="119">
        <v>40851</v>
      </c>
      <c r="M465" s="117">
        <v>-4.076702280338073E-2</v>
      </c>
      <c r="N465" s="117">
        <v>4.9785645138986816E-4</v>
      </c>
      <c r="O465" s="117">
        <v>-3.3260596442504807E-2</v>
      </c>
      <c r="P465" s="89">
        <v>-3.8125372012154879E-2</v>
      </c>
      <c r="R465" s="71">
        <v>40851</v>
      </c>
      <c r="S465" s="99">
        <f>+I465-[1]Data!W463</f>
        <v>-2.5213915772335348E-3</v>
      </c>
    </row>
    <row r="466" spans="3:19">
      <c r="C466" s="71">
        <v>40858</v>
      </c>
      <c r="D466" s="118">
        <f t="shared" si="42"/>
        <v>11.774529124841804</v>
      </c>
      <c r="E466" s="92">
        <f t="shared" si="43"/>
        <v>155.1509973416658</v>
      </c>
      <c r="F466" s="92">
        <f t="shared" si="44"/>
        <v>0</v>
      </c>
      <c r="G466" s="92">
        <f t="shared" si="46"/>
        <v>166.92552646650759</v>
      </c>
      <c r="H466" s="92">
        <f t="shared" si="45"/>
        <v>166.85044376681282</v>
      </c>
      <c r="I466" s="91">
        <f t="shared" si="47"/>
        <v>-1.1453598944673191E-3</v>
      </c>
      <c r="J466" s="115"/>
      <c r="K466" s="64"/>
      <c r="L466" s="119">
        <v>40858</v>
      </c>
      <c r="M466" s="117">
        <v>1.9865843217768708E-3</v>
      </c>
      <c r="N466" s="117">
        <v>-1.3822464268929864E-3</v>
      </c>
      <c r="O466" s="117">
        <v>-1.1901504787961564E-2</v>
      </c>
      <c r="P466" s="89">
        <v>-7.165190203231738E-4</v>
      </c>
      <c r="R466" s="71">
        <v>40858</v>
      </c>
      <c r="S466" s="99">
        <f>+I466-[1]Data!W464</f>
        <v>-1.147282971390396E-3</v>
      </c>
    </row>
    <row r="467" spans="3:19">
      <c r="C467" s="71">
        <v>40865</v>
      </c>
      <c r="D467" s="118">
        <f t="shared" si="42"/>
        <v>11.306071924414239</v>
      </c>
      <c r="E467" s="92">
        <f t="shared" si="43"/>
        <v>154.73437505829671</v>
      </c>
      <c r="F467" s="92">
        <f t="shared" si="44"/>
        <v>0</v>
      </c>
      <c r="G467" s="92">
        <f t="shared" si="46"/>
        <v>166.04044698271093</v>
      </c>
      <c r="H467" s="92">
        <f t="shared" si="45"/>
        <v>165.96576238963587</v>
      </c>
      <c r="I467" s="91">
        <f t="shared" si="47"/>
        <v>-5.3022416794609251E-3</v>
      </c>
      <c r="J467" s="115"/>
      <c r="K467" s="64"/>
      <c r="L467" s="119">
        <v>40865</v>
      </c>
      <c r="M467" s="117">
        <v>-3.9785641995586776E-2</v>
      </c>
      <c r="N467" s="117">
        <v>-2.6852697727210565E-3</v>
      </c>
      <c r="O467" s="117">
        <v>-4.2780008306797776E-2</v>
      </c>
      <c r="P467" s="89">
        <v>-3.9599765334723869E-2</v>
      </c>
      <c r="R467" s="71">
        <v>40865</v>
      </c>
      <c r="S467" s="99">
        <f>+I467-[1]Data!W465</f>
        <v>-5.3041647563840024E-3</v>
      </c>
    </row>
    <row r="468" spans="3:19">
      <c r="C468" s="71">
        <v>40872</v>
      </c>
      <c r="D468" s="118">
        <f t="shared" si="42"/>
        <v>10.723040016709456</v>
      </c>
      <c r="E468" s="92">
        <f t="shared" si="43"/>
        <v>153.60906538569154</v>
      </c>
      <c r="F468" s="92">
        <f t="shared" si="44"/>
        <v>0</v>
      </c>
      <c r="G468" s="92">
        <f t="shared" si="46"/>
        <v>164.332105402401</v>
      </c>
      <c r="H468" s="92">
        <f t="shared" si="45"/>
        <v>164.25818921725349</v>
      </c>
      <c r="I468" s="91">
        <f t="shared" si="47"/>
        <v>-1.0288707428545008E-2</v>
      </c>
      <c r="J468" s="115"/>
      <c r="K468" s="64"/>
      <c r="L468" s="119">
        <v>40872</v>
      </c>
      <c r="M468" s="117">
        <v>-5.1568034557235472E-2</v>
      </c>
      <c r="N468" s="117">
        <v>-7.2725253983234456E-3</v>
      </c>
      <c r="O468" s="117">
        <v>-4.6499855365924263E-2</v>
      </c>
      <c r="P468" s="89">
        <v>-5.2736959989140464E-2</v>
      </c>
      <c r="R468" s="71">
        <v>40872</v>
      </c>
      <c r="S468" s="99">
        <f>+I468-[1]Data!W466</f>
        <v>-1.0292553582391162E-2</v>
      </c>
    </row>
    <row r="469" spans="3:19">
      <c r="C469" s="71">
        <v>40879</v>
      </c>
      <c r="D469" s="118">
        <f t="shared" si="42"/>
        <v>11.600469339361839</v>
      </c>
      <c r="E469" s="92">
        <f t="shared" si="43"/>
        <v>154.35211337561785</v>
      </c>
      <c r="F469" s="92">
        <f t="shared" si="44"/>
        <v>0</v>
      </c>
      <c r="G469" s="92">
        <f t="shared" si="46"/>
        <v>165.95258271497968</v>
      </c>
      <c r="H469" s="92">
        <f t="shared" si="45"/>
        <v>165.87793764304061</v>
      </c>
      <c r="I469" s="91">
        <f t="shared" si="47"/>
        <v>9.8609903926603487E-3</v>
      </c>
      <c r="J469" s="115"/>
      <c r="K469" s="64"/>
      <c r="L469" s="119">
        <v>40879</v>
      </c>
      <c r="M469" s="117">
        <v>8.1826545577103657E-2</v>
      </c>
      <c r="N469" s="117">
        <v>4.8372665249972547E-3</v>
      </c>
      <c r="O469" s="117">
        <v>6.7425104285172663E-2</v>
      </c>
      <c r="P469" s="89">
        <v>8.3545301472432179E-2</v>
      </c>
      <c r="R469" s="71">
        <v>40879</v>
      </c>
      <c r="S469" s="99">
        <f>+I469-[1]Data!W467</f>
        <v>9.8571442388141941E-3</v>
      </c>
    </row>
    <row r="470" spans="3:19">
      <c r="C470" s="71">
        <v>40886</v>
      </c>
      <c r="D470" s="118">
        <f t="shared" si="42"/>
        <v>11.597050656706507</v>
      </c>
      <c r="E470" s="92">
        <f t="shared" si="43"/>
        <v>154.67424400708879</v>
      </c>
      <c r="F470" s="92">
        <f t="shared" si="44"/>
        <v>0</v>
      </c>
      <c r="G470" s="92">
        <f t="shared" si="46"/>
        <v>166.27129466379529</v>
      </c>
      <c r="H470" s="92">
        <f t="shared" si="45"/>
        <v>166.1965062359894</v>
      </c>
      <c r="I470" s="91">
        <f t="shared" si="47"/>
        <v>1.9205000826230049E-3</v>
      </c>
      <c r="J470" s="115"/>
      <c r="K470" s="64"/>
      <c r="L470" s="119">
        <v>40886</v>
      </c>
      <c r="M470" s="117">
        <v>-2.9470209827905458E-4</v>
      </c>
      <c r="N470" s="117">
        <v>2.0869855580599381E-3</v>
      </c>
      <c r="O470" s="117">
        <v>-1.0231632798067342E-2</v>
      </c>
      <c r="P470" s="89">
        <v>-3.8684080013225855E-3</v>
      </c>
      <c r="R470" s="71">
        <v>40886</v>
      </c>
      <c r="S470" s="99">
        <f>+I470-[1]Data!W468</f>
        <v>1.918577005699928E-3</v>
      </c>
    </row>
    <row r="471" spans="3:19">
      <c r="C471" s="71">
        <v>40893</v>
      </c>
      <c r="D471" s="118">
        <f t="shared" si="42"/>
        <v>11.198432259094979</v>
      </c>
      <c r="E471" s="92">
        <f t="shared" si="43"/>
        <v>155.34857079563466</v>
      </c>
      <c r="F471" s="92">
        <f t="shared" si="44"/>
        <v>0</v>
      </c>
      <c r="G471" s="92">
        <f t="shared" si="46"/>
        <v>166.54700305472963</v>
      </c>
      <c r="H471" s="92">
        <f t="shared" si="45"/>
        <v>166.47209061395364</v>
      </c>
      <c r="I471" s="91">
        <f t="shared" si="47"/>
        <v>1.658183942645114E-3</v>
      </c>
      <c r="J471" s="115"/>
      <c r="K471" s="64"/>
      <c r="L471" s="119">
        <v>40893</v>
      </c>
      <c r="M471" s="117">
        <v>-3.4372394276040351E-2</v>
      </c>
      <c r="N471" s="117">
        <v>4.359657891813821E-3</v>
      </c>
      <c r="O471" s="117">
        <v>-1.7875089734386281E-2</v>
      </c>
      <c r="P471" s="89">
        <v>-3.4087891662241049E-2</v>
      </c>
      <c r="R471" s="71">
        <v>40893</v>
      </c>
      <c r="S471" s="99">
        <f>+I471-[1]Data!W469</f>
        <v>1.6562608657220371E-3</v>
      </c>
    </row>
    <row r="472" spans="3:19">
      <c r="C472" s="71">
        <v>40900</v>
      </c>
      <c r="D472" s="118">
        <f t="shared" si="42"/>
        <v>11.547723949822453</v>
      </c>
      <c r="E472" s="92">
        <f t="shared" si="43"/>
        <v>154.54109667941415</v>
      </c>
      <c r="F472" s="92">
        <f t="shared" si="44"/>
        <v>0</v>
      </c>
      <c r="G472" s="92">
        <f t="shared" si="46"/>
        <v>166.08882062923661</v>
      </c>
      <c r="H472" s="92">
        <f t="shared" si="45"/>
        <v>166.01411427781187</v>
      </c>
      <c r="I472" s="91">
        <f t="shared" si="47"/>
        <v>-2.7510697706308591E-3</v>
      </c>
      <c r="J472" s="115"/>
      <c r="K472" s="64"/>
      <c r="L472" s="119">
        <v>40900</v>
      </c>
      <c r="M472" s="117">
        <v>3.1191124136487326E-2</v>
      </c>
      <c r="N472" s="117">
        <v>-5.197821338715462E-3</v>
      </c>
      <c r="O472" s="117">
        <v>2.909144068416044E-2</v>
      </c>
      <c r="P472" s="89">
        <v>3.0548778392495056E-2</v>
      </c>
      <c r="R472" s="71">
        <v>40900</v>
      </c>
      <c r="S472" s="99">
        <f>+I472-[1]Data!W470</f>
        <v>-2.752992847553936E-3</v>
      </c>
    </row>
    <row r="473" spans="3:19">
      <c r="C473" s="71">
        <v>40907</v>
      </c>
      <c r="D473" s="118">
        <f t="shared" si="42"/>
        <v>11.551142632477783</v>
      </c>
      <c r="E473" s="92">
        <f t="shared" si="43"/>
        <v>155.7737832291763</v>
      </c>
      <c r="F473" s="92">
        <f t="shared" si="44"/>
        <v>0</v>
      </c>
      <c r="G473" s="92">
        <f t="shared" si="46"/>
        <v>167.32492586165409</v>
      </c>
      <c r="H473" s="92">
        <f t="shared" si="45"/>
        <v>167.2496635130735</v>
      </c>
      <c r="I473" s="91">
        <f t="shared" si="47"/>
        <v>7.442434883542689E-3</v>
      </c>
      <c r="J473" s="115"/>
      <c r="K473" s="64"/>
      <c r="L473" s="119">
        <v>40907</v>
      </c>
      <c r="M473" s="117">
        <v>2.9604817972654374E-4</v>
      </c>
      <c r="N473" s="117">
        <v>7.9764320057808414E-3</v>
      </c>
      <c r="O473" s="117">
        <v>-5.1139995738333612E-3</v>
      </c>
      <c r="P473" s="89">
        <v>-1.3004334778258966E-3</v>
      </c>
      <c r="R473" s="71">
        <v>40907</v>
      </c>
      <c r="S473" s="99">
        <f>+I473-[1]Data!W471</f>
        <v>7.4385887296965353E-3</v>
      </c>
    </row>
    <row r="474" spans="3:19">
      <c r="C474" s="71">
        <v>40914</v>
      </c>
      <c r="D474" s="118">
        <f t="shared" si="42"/>
        <v>11.639833028221785</v>
      </c>
      <c r="E474" s="92">
        <f t="shared" si="43"/>
        <v>155.0650958399402</v>
      </c>
      <c r="F474" s="92">
        <f t="shared" si="44"/>
        <v>0</v>
      </c>
      <c r="G474" s="92">
        <f t="shared" si="46"/>
        <v>166.70492886816197</v>
      </c>
      <c r="H474" s="92">
        <f t="shared" si="45"/>
        <v>166.62994539273558</v>
      </c>
      <c r="I474" s="91">
        <f t="shared" si="47"/>
        <v>-3.7053474866302481E-3</v>
      </c>
      <c r="J474" s="115"/>
      <c r="K474" s="64"/>
      <c r="L474" s="119">
        <v>40914</v>
      </c>
      <c r="M474" s="117">
        <v>7.6780625576067405E-3</v>
      </c>
      <c r="N474" s="117">
        <v>-4.5494650931951972E-3</v>
      </c>
      <c r="O474" s="117">
        <v>8.5671449989294319E-4</v>
      </c>
      <c r="P474" s="89">
        <v>8.1800273780507794E-3</v>
      </c>
      <c r="R474" s="71">
        <v>40914</v>
      </c>
      <c r="S474" s="99">
        <f>+I474-[1]Data!W472</f>
        <v>-3.7091936404764019E-3</v>
      </c>
    </row>
    <row r="475" spans="3:19">
      <c r="C475" s="71">
        <v>40921</v>
      </c>
      <c r="D475" s="118">
        <f t="shared" si="42"/>
        <v>11.731551400031934</v>
      </c>
      <c r="E475" s="92">
        <f t="shared" si="43"/>
        <v>155.97994683331771</v>
      </c>
      <c r="F475" s="92">
        <f t="shared" si="44"/>
        <v>0</v>
      </c>
      <c r="G475" s="92">
        <f t="shared" si="46"/>
        <v>167.71149823334966</v>
      </c>
      <c r="H475" s="92">
        <f t="shared" si="45"/>
        <v>167.63606200544754</v>
      </c>
      <c r="I475" s="91">
        <f t="shared" si="47"/>
        <v>6.0380300211982556E-3</v>
      </c>
      <c r="J475" s="115"/>
      <c r="K475" s="64"/>
      <c r="L475" s="119">
        <v>40921</v>
      </c>
      <c r="M475" s="117">
        <v>7.8796982386062191E-3</v>
      </c>
      <c r="N475" s="117">
        <v>5.8997867213252432E-3</v>
      </c>
      <c r="O475" s="117">
        <v>2.1542192738426495E-2</v>
      </c>
      <c r="P475" s="89">
        <v>1.039872830838536E-2</v>
      </c>
      <c r="R475" s="71">
        <v>40921</v>
      </c>
      <c r="S475" s="99">
        <f>+I475-[1]Data!W473</f>
        <v>6.0341838673521019E-3</v>
      </c>
    </row>
    <row r="476" spans="3:19">
      <c r="C476" s="71">
        <v>40928</v>
      </c>
      <c r="D476" s="118">
        <f t="shared" si="42"/>
        <v>12.069317246378585</v>
      </c>
      <c r="E476" s="92">
        <f t="shared" si="43"/>
        <v>155.65352112676047</v>
      </c>
      <c r="F476" s="92">
        <f t="shared" si="44"/>
        <v>0</v>
      </c>
      <c r="G476" s="92">
        <f t="shared" si="46"/>
        <v>167.72283837313904</v>
      </c>
      <c r="H476" s="92">
        <f t="shared" si="45"/>
        <v>167.64739704446939</v>
      </c>
      <c r="I476" s="91">
        <f t="shared" si="47"/>
        <v>6.7616948801123414E-5</v>
      </c>
      <c r="J476" s="115"/>
      <c r="K476" s="64"/>
      <c r="L476" s="119">
        <v>40928</v>
      </c>
      <c r="M476" s="117">
        <v>2.8791234409604981E-2</v>
      </c>
      <c r="N476" s="117">
        <v>-2.0927414913538048E-3</v>
      </c>
      <c r="O476" s="117">
        <v>3.9522379722086422E-2</v>
      </c>
      <c r="P476" s="89">
        <v>3.0776794493608605E-2</v>
      </c>
      <c r="R476" s="71">
        <v>40928</v>
      </c>
      <c r="S476" s="99">
        <f>+I476-[1]Data!W474</f>
        <v>5.9924641108815725E-5</v>
      </c>
    </row>
    <row r="477" spans="3:19">
      <c r="C477" s="71">
        <v>40935</v>
      </c>
      <c r="D477" s="118">
        <f t="shared" si="42"/>
        <v>12.170900959565545</v>
      </c>
      <c r="E477" s="92">
        <f t="shared" si="43"/>
        <v>157.02365007928356</v>
      </c>
      <c r="F477" s="92">
        <f t="shared" si="44"/>
        <v>0</v>
      </c>
      <c r="G477" s="92">
        <f t="shared" si="46"/>
        <v>169.19455103884911</v>
      </c>
      <c r="H477" s="92">
        <f t="shared" si="45"/>
        <v>169.11844773736763</v>
      </c>
      <c r="I477" s="91">
        <f t="shared" si="47"/>
        <v>8.7746706410719941E-3</v>
      </c>
      <c r="J477" s="115"/>
      <c r="K477" s="64"/>
      <c r="L477" s="119">
        <v>40935</v>
      </c>
      <c r="M477" s="117">
        <v>8.416690945582745E-3</v>
      </c>
      <c r="N477" s="117">
        <v>8.8024282560706345E-3</v>
      </c>
      <c r="O477" s="117">
        <v>2.2973063746893178E-2</v>
      </c>
      <c r="P477" s="89">
        <v>1.014340678558936E-2</v>
      </c>
      <c r="R477" s="71">
        <v>40935</v>
      </c>
      <c r="S477" s="99">
        <f>+I477-[1]Data!W475</f>
        <v>8.7650552564566102E-3</v>
      </c>
    </row>
    <row r="478" spans="3:19">
      <c r="C478" s="71">
        <v>40942</v>
      </c>
      <c r="D478" s="118">
        <f t="shared" si="42"/>
        <v>12.441465272573126</v>
      </c>
      <c r="E478" s="92">
        <f t="shared" si="43"/>
        <v>157.11384665609543</v>
      </c>
      <c r="F478" s="92">
        <f t="shared" si="44"/>
        <v>0</v>
      </c>
      <c r="G478" s="92">
        <f t="shared" si="46"/>
        <v>169.55531192866857</v>
      </c>
      <c r="H478" s="92">
        <f t="shared" si="45"/>
        <v>169.4790463578079</v>
      </c>
      <c r="I478" s="91">
        <f t="shared" si="47"/>
        <v>2.1322252259567951E-3</v>
      </c>
      <c r="J478" s="115"/>
      <c r="K478" s="64"/>
      <c r="L478" s="119">
        <v>40942</v>
      </c>
      <c r="M478" s="117">
        <v>2.2230425989534883E-2</v>
      </c>
      <c r="N478" s="117">
        <v>5.7441396099465632E-4</v>
      </c>
      <c r="O478" s="117">
        <v>1.2738853503184698E-2</v>
      </c>
      <c r="P478" s="89">
        <v>2.341979350289599E-2</v>
      </c>
      <c r="R478" s="71">
        <v>40942</v>
      </c>
      <c r="S478" s="99">
        <f>+I478-[1]Data!W476</f>
        <v>2.1187636874952565E-3</v>
      </c>
    </row>
    <row r="479" spans="3:19">
      <c r="C479" s="71">
        <v>40949</v>
      </c>
      <c r="D479" s="118">
        <f t="shared" si="42"/>
        <v>12.401613200476703</v>
      </c>
      <c r="E479" s="92">
        <f t="shared" si="43"/>
        <v>157.12243680626798</v>
      </c>
      <c r="F479" s="92">
        <f t="shared" si="44"/>
        <v>0</v>
      </c>
      <c r="G479" s="92">
        <f t="shared" si="46"/>
        <v>169.52405000674469</v>
      </c>
      <c r="H479" s="92">
        <f t="shared" si="45"/>
        <v>169.44779849742122</v>
      </c>
      <c r="I479" s="91">
        <f t="shared" si="47"/>
        <v>-1.8437595123537492E-4</v>
      </c>
      <c r="J479" s="115"/>
      <c r="K479" s="64"/>
      <c r="L479" s="119">
        <v>40949</v>
      </c>
      <c r="M479" s="117">
        <v>-3.2031654811813456E-3</v>
      </c>
      <c r="N479" s="117">
        <v>5.4674685620507951E-5</v>
      </c>
      <c r="O479" s="117">
        <v>-9.790572521558653E-3</v>
      </c>
      <c r="P479" s="89">
        <v>-3.5679133858268486E-3</v>
      </c>
      <c r="R479" s="71">
        <v>40949</v>
      </c>
      <c r="S479" s="99">
        <f>+I479-[1]Data!W477</f>
        <v>-2.0168364354306722E-4</v>
      </c>
    </row>
    <row r="480" spans="3:19">
      <c r="C480" s="71">
        <v>40956</v>
      </c>
      <c r="D480" s="118">
        <f t="shared" si="42"/>
        <v>12.581240554852492</v>
      </c>
      <c r="E480" s="92">
        <f t="shared" si="43"/>
        <v>156.52542136927516</v>
      </c>
      <c r="F480" s="92">
        <f t="shared" si="44"/>
        <v>0</v>
      </c>
      <c r="G480" s="92">
        <f t="shared" si="46"/>
        <v>169.10666192412765</v>
      </c>
      <c r="H480" s="92">
        <f t="shared" si="45"/>
        <v>169.03059815495831</v>
      </c>
      <c r="I480" s="91">
        <f t="shared" si="47"/>
        <v>-2.4621172193585901E-3</v>
      </c>
      <c r="J480" s="115"/>
      <c r="K480" s="64"/>
      <c r="L480" s="119">
        <v>40956</v>
      </c>
      <c r="M480" s="117">
        <v>1.448419261849619E-2</v>
      </c>
      <c r="N480" s="117">
        <v>-3.7996829041604787E-3</v>
      </c>
      <c r="O480" s="117">
        <v>2.5144054478784726E-2</v>
      </c>
      <c r="P480" s="89">
        <v>1.5156192122484336E-2</v>
      </c>
      <c r="R480" s="71">
        <v>40956</v>
      </c>
      <c r="S480" s="99">
        <f>+I480-[1]Data!W478</f>
        <v>-2.4832710655124362E-3</v>
      </c>
    </row>
    <row r="481" spans="3:19">
      <c r="C481" s="71">
        <v>40963</v>
      </c>
      <c r="D481" s="118">
        <f t="shared" si="42"/>
        <v>12.703531717266026</v>
      </c>
      <c r="E481" s="92">
        <f t="shared" si="43"/>
        <v>156.94204365264423</v>
      </c>
      <c r="F481" s="92">
        <f t="shared" si="44"/>
        <v>0</v>
      </c>
      <c r="G481" s="92">
        <f t="shared" si="46"/>
        <v>169.64557536991026</v>
      </c>
      <c r="H481" s="92">
        <f t="shared" si="45"/>
        <v>169.56926919877122</v>
      </c>
      <c r="I481" s="91">
        <f t="shared" si="47"/>
        <v>3.186825638036767E-3</v>
      </c>
      <c r="J481" s="115"/>
      <c r="K481" s="64"/>
      <c r="L481" s="119">
        <v>40963</v>
      </c>
      <c r="M481" s="117">
        <v>9.7201195605760501E-3</v>
      </c>
      <c r="N481" s="117">
        <v>2.6616908596986265E-3</v>
      </c>
      <c r="O481" s="117">
        <v>-8.3035258048029797E-4</v>
      </c>
      <c r="P481" s="89">
        <v>9.0613312251041998E-3</v>
      </c>
      <c r="R481" s="71">
        <v>40963</v>
      </c>
      <c r="S481" s="99">
        <f>+I481-[1]Data!W479</f>
        <v>3.1695179457290746E-3</v>
      </c>
    </row>
    <row r="482" spans="3:19">
      <c r="C482" s="71">
        <v>40970</v>
      </c>
      <c r="D482" s="118">
        <f t="shared" si="42"/>
        <v>12.68331265127593</v>
      </c>
      <c r="E482" s="92">
        <f t="shared" si="43"/>
        <v>157.2126333830798</v>
      </c>
      <c r="F482" s="92">
        <f t="shared" si="44"/>
        <v>0</v>
      </c>
      <c r="G482" s="92">
        <f t="shared" si="46"/>
        <v>169.89594603435575</v>
      </c>
      <c r="H482" s="92">
        <f t="shared" si="45"/>
        <v>169.81952724709498</v>
      </c>
      <c r="I482" s="91">
        <f t="shared" si="47"/>
        <v>1.4758455320722198E-3</v>
      </c>
      <c r="J482" s="115"/>
      <c r="K482" s="64"/>
      <c r="L482" s="119">
        <v>40970</v>
      </c>
      <c r="M482" s="117">
        <v>-1.591609832611806E-3</v>
      </c>
      <c r="N482" s="117">
        <v>1.7241379310344704E-3</v>
      </c>
      <c r="O482" s="117">
        <v>6.3926356836920223E-4</v>
      </c>
      <c r="P482" s="89">
        <v>1.5067048365211547E-4</v>
      </c>
      <c r="R482" s="71">
        <v>40970</v>
      </c>
      <c r="S482" s="99">
        <f>+I482-[1]Data!W480</f>
        <v>1.4585378397645274E-3</v>
      </c>
    </row>
    <row r="483" spans="3:19">
      <c r="C483" s="71">
        <v>40977</v>
      </c>
      <c r="D483" s="118">
        <f t="shared" si="42"/>
        <v>12.618455357471944</v>
      </c>
      <c r="E483" s="92">
        <f t="shared" si="43"/>
        <v>156.27630701427094</v>
      </c>
      <c r="F483" s="92">
        <f t="shared" si="44"/>
        <v>0</v>
      </c>
      <c r="G483" s="92">
        <f t="shared" si="46"/>
        <v>168.8947623717429</v>
      </c>
      <c r="H483" s="92">
        <f t="shared" si="45"/>
        <v>168.8187939144818</v>
      </c>
      <c r="I483" s="91">
        <f t="shared" si="47"/>
        <v>-5.8929226151776311E-3</v>
      </c>
      <c r="J483" s="115"/>
      <c r="K483" s="64"/>
      <c r="L483" s="119">
        <v>40977</v>
      </c>
      <c r="M483" s="117">
        <v>-5.1135926068541391E-3</v>
      </c>
      <c r="N483" s="117">
        <v>-5.9557959730075407E-3</v>
      </c>
      <c r="O483" s="117">
        <v>-7.2829489554718891E-3</v>
      </c>
      <c r="P483" s="89">
        <v>-6.8996685748718405E-3</v>
      </c>
      <c r="R483" s="71">
        <v>40977</v>
      </c>
      <c r="S483" s="99">
        <f>+I483-[1]Data!W481</f>
        <v>-5.9083072305622462E-3</v>
      </c>
    </row>
    <row r="484" spans="3:19">
      <c r="C484" s="71">
        <v>40984</v>
      </c>
      <c r="D484" s="118">
        <f t="shared" si="42"/>
        <v>12.902694401100849</v>
      </c>
      <c r="E484" s="92">
        <f t="shared" si="43"/>
        <v>155.04362046450879</v>
      </c>
      <c r="F484" s="92">
        <f t="shared" si="44"/>
        <v>0</v>
      </c>
      <c r="G484" s="92">
        <f t="shared" si="46"/>
        <v>167.94631486560965</v>
      </c>
      <c r="H484" s="92">
        <f t="shared" si="45"/>
        <v>167.8707730177521</v>
      </c>
      <c r="I484" s="91">
        <f t="shared" si="47"/>
        <v>-5.6156123068260913E-3</v>
      </c>
      <c r="J484" s="115"/>
      <c r="K484" s="64"/>
      <c r="L484" s="119">
        <v>40984</v>
      </c>
      <c r="M484" s="117">
        <v>2.2525660675305481E-2</v>
      </c>
      <c r="N484" s="117">
        <v>-7.8878658787962189E-3</v>
      </c>
      <c r="O484" s="117">
        <v>2.3617993435871138E-2</v>
      </c>
      <c r="P484" s="89">
        <v>1.9932647674524417E-2</v>
      </c>
      <c r="R484" s="71">
        <v>40984</v>
      </c>
      <c r="S484" s="99">
        <f>+I484-[1]Data!W482</f>
        <v>-5.6329199991337836E-3</v>
      </c>
    </row>
    <row r="485" spans="3:19">
      <c r="C485" s="71">
        <v>40991</v>
      </c>
      <c r="D485" s="118">
        <f t="shared" si="42"/>
        <v>12.778547382388705</v>
      </c>
      <c r="E485" s="92">
        <f t="shared" si="43"/>
        <v>155.71365217796836</v>
      </c>
      <c r="F485" s="92">
        <f t="shared" si="44"/>
        <v>0</v>
      </c>
      <c r="G485" s="92">
        <f t="shared" si="46"/>
        <v>168.49219956035705</v>
      </c>
      <c r="H485" s="92">
        <f t="shared" si="45"/>
        <v>168.41641217487881</v>
      </c>
      <c r="I485" s="91">
        <f t="shared" si="47"/>
        <v>3.2503523235043073E-3</v>
      </c>
      <c r="J485" s="115"/>
      <c r="K485" s="64"/>
      <c r="L485" s="119">
        <v>40991</v>
      </c>
      <c r="M485" s="117">
        <v>-9.6217902131783221E-3</v>
      </c>
      <c r="N485" s="117">
        <v>4.3215690619979007E-3</v>
      </c>
      <c r="O485" s="117">
        <v>-2.1061234754180775E-2</v>
      </c>
      <c r="P485" s="89">
        <v>-1.0976262716401921E-2</v>
      </c>
      <c r="R485" s="71">
        <v>40991</v>
      </c>
      <c r="S485" s="99">
        <f>+I485-[1]Data!W483</f>
        <v>3.233044631196615E-3</v>
      </c>
    </row>
    <row r="486" spans="3:19">
      <c r="C486" s="71">
        <v>40998</v>
      </c>
      <c r="D486" s="118">
        <f t="shared" si="42"/>
        <v>12.815273801771683</v>
      </c>
      <c r="E486" s="92">
        <f t="shared" si="43"/>
        <v>156.04866803469812</v>
      </c>
      <c r="F486" s="92">
        <f t="shared" si="44"/>
        <v>0</v>
      </c>
      <c r="G486" s="92">
        <f t="shared" si="46"/>
        <v>168.86394183646982</v>
      </c>
      <c r="H486" s="92">
        <f t="shared" si="45"/>
        <v>168.78798724221127</v>
      </c>
      <c r="I486" s="91">
        <f t="shared" si="47"/>
        <v>2.2062877514967176E-3</v>
      </c>
      <c r="J486" s="115"/>
      <c r="K486" s="64"/>
      <c r="L486" s="119">
        <v>40998</v>
      </c>
      <c r="M486" s="117">
        <v>2.8740684120007573E-3</v>
      </c>
      <c r="N486" s="117">
        <v>2.1514867324984076E-3</v>
      </c>
      <c r="O486" s="117">
        <v>5.7799755956586324E-3</v>
      </c>
      <c r="P486" s="89">
        <v>2.436163493638913E-3</v>
      </c>
      <c r="R486" s="71">
        <v>40998</v>
      </c>
      <c r="S486" s="99">
        <f>+I486-[1]Data!W484</f>
        <v>2.1909031361121022E-3</v>
      </c>
    </row>
    <row r="487" spans="3:19">
      <c r="C487" s="71">
        <v>41005</v>
      </c>
      <c r="D487" s="118">
        <f t="shared" si="42"/>
        <v>12.590812866287417</v>
      </c>
      <c r="E487" s="92">
        <f t="shared" si="43"/>
        <v>156.30207746478862</v>
      </c>
      <c r="F487" s="92">
        <f t="shared" si="44"/>
        <v>0</v>
      </c>
      <c r="G487" s="92">
        <f t="shared" si="46"/>
        <v>168.89289033107605</v>
      </c>
      <c r="H487" s="92">
        <f t="shared" si="45"/>
        <v>168.81692271585436</v>
      </c>
      <c r="I487" s="91">
        <f t="shared" si="47"/>
        <v>1.7143088270592103E-4</v>
      </c>
      <c r="J487" s="115"/>
      <c r="K487" s="64"/>
      <c r="L487" s="119">
        <v>41005</v>
      </c>
      <c r="M487" s="117">
        <v>-1.7515110403121942E-2</v>
      </c>
      <c r="N487" s="117">
        <v>1.623912804139689E-3</v>
      </c>
      <c r="O487" s="117">
        <v>-1.4686163080263145E-2</v>
      </c>
      <c r="P487" s="89">
        <v>-1.5841584158415929E-2</v>
      </c>
      <c r="R487" s="71">
        <v>41005</v>
      </c>
      <c r="S487" s="99">
        <f>+I487-[1]Data!W485</f>
        <v>1.5604626732130565E-4</v>
      </c>
    </row>
    <row r="488" spans="3:19">
      <c r="C488" s="71">
        <v>41012</v>
      </c>
      <c r="D488" s="118">
        <f t="shared" si="42"/>
        <v>12.388817559681035</v>
      </c>
      <c r="E488" s="92">
        <f t="shared" si="43"/>
        <v>157.04512545471491</v>
      </c>
      <c r="F488" s="92">
        <f t="shared" si="44"/>
        <v>0</v>
      </c>
      <c r="G488" s="92">
        <f t="shared" si="46"/>
        <v>169.43394301439594</v>
      </c>
      <c r="H488" s="92">
        <f t="shared" si="45"/>
        <v>169.35773203498064</v>
      </c>
      <c r="I488" s="91">
        <f t="shared" si="47"/>
        <v>3.2035255140656126E-3</v>
      </c>
      <c r="J488" s="115"/>
      <c r="K488" s="64"/>
      <c r="L488" s="119">
        <v>41012</v>
      </c>
      <c r="M488" s="117">
        <v>-1.6043071146521076E-2</v>
      </c>
      <c r="N488" s="117">
        <v>4.7539226731883192E-3</v>
      </c>
      <c r="O488" s="117">
        <v>-2.3977707212753841E-3</v>
      </c>
      <c r="P488" s="89">
        <v>-1.5151515151515062E-2</v>
      </c>
      <c r="R488" s="71">
        <v>41012</v>
      </c>
      <c r="S488" s="99">
        <f>+I488-[1]Data!W486</f>
        <v>3.1862178217579203E-3</v>
      </c>
    </row>
    <row r="489" spans="3:19">
      <c r="C489" s="71">
        <v>41019</v>
      </c>
      <c r="D489" s="118">
        <f t="shared" si="42"/>
        <v>12.519313560467364</v>
      </c>
      <c r="E489" s="92">
        <f t="shared" si="43"/>
        <v>157.10096143083652</v>
      </c>
      <c r="F489" s="92">
        <f t="shared" si="44"/>
        <v>0</v>
      </c>
      <c r="G489" s="92">
        <f t="shared" si="46"/>
        <v>169.62027499130389</v>
      </c>
      <c r="H489" s="92">
        <f t="shared" si="45"/>
        <v>169.54398020021426</v>
      </c>
      <c r="I489" s="91">
        <f t="shared" si="47"/>
        <v>1.0997322826403466E-3</v>
      </c>
      <c r="J489" s="115"/>
      <c r="K489" s="64"/>
      <c r="L489" s="119">
        <v>41019</v>
      </c>
      <c r="M489" s="117">
        <v>1.0533370126542459E-2</v>
      </c>
      <c r="N489" s="117">
        <v>3.5554096925936841E-4</v>
      </c>
      <c r="O489" s="117">
        <v>1.896842925815263E-2</v>
      </c>
      <c r="P489" s="89">
        <v>8.4197492648195957E-3</v>
      </c>
      <c r="R489" s="71">
        <v>41019</v>
      </c>
      <c r="S489" s="99">
        <f>+I489-[1]Data!W487</f>
        <v>1.0843476672557312E-3</v>
      </c>
    </row>
    <row r="490" spans="3:19">
      <c r="C490" s="71">
        <v>41026</v>
      </c>
      <c r="D490" s="118">
        <f t="shared" si="42"/>
        <v>12.685363860869129</v>
      </c>
      <c r="E490" s="92">
        <f t="shared" si="43"/>
        <v>157.76240299412353</v>
      </c>
      <c r="F490" s="92">
        <f t="shared" si="44"/>
        <v>0</v>
      </c>
      <c r="G490" s="92">
        <f t="shared" si="46"/>
        <v>170.44776685499266</v>
      </c>
      <c r="H490" s="92">
        <f t="shared" si="45"/>
        <v>170.37109986005612</v>
      </c>
      <c r="I490" s="91">
        <f t="shared" si="47"/>
        <v>4.8784961805492062E-3</v>
      </c>
      <c r="J490" s="115"/>
      <c r="K490" s="64"/>
      <c r="L490" s="119">
        <v>41026</v>
      </c>
      <c r="M490" s="117">
        <v>1.3263530751886151E-2</v>
      </c>
      <c r="N490" s="117">
        <v>4.210296087705445E-3</v>
      </c>
      <c r="O490" s="117">
        <v>1.530026775468556E-2</v>
      </c>
      <c r="P490" s="89">
        <v>1.1296313349909467E-2</v>
      </c>
      <c r="R490" s="71">
        <v>41026</v>
      </c>
      <c r="S490" s="99">
        <f>+I490-[1]Data!W488</f>
        <v>4.8611884882415139E-3</v>
      </c>
    </row>
    <row r="491" spans="3:19">
      <c r="C491" s="71">
        <v>41033</v>
      </c>
      <c r="D491" s="118">
        <f t="shared" si="42"/>
        <v>12.355998206189867</v>
      </c>
      <c r="E491" s="92">
        <f t="shared" si="43"/>
        <v>158.29069722973588</v>
      </c>
      <c r="F491" s="92">
        <f t="shared" si="44"/>
        <v>0</v>
      </c>
      <c r="G491" s="92">
        <f t="shared" si="46"/>
        <v>170.64669543592575</v>
      </c>
      <c r="H491" s="92">
        <f t="shared" si="45"/>
        <v>170.5699389633927</v>
      </c>
      <c r="I491" s="91">
        <f t="shared" si="47"/>
        <v>1.1670940875530484E-3</v>
      </c>
      <c r="J491" s="115"/>
      <c r="K491" s="64"/>
      <c r="L491" s="119">
        <v>41033</v>
      </c>
      <c r="M491" s="117">
        <v>-2.5964226039685553E-2</v>
      </c>
      <c r="N491" s="117">
        <v>3.3486700607117097E-3</v>
      </c>
      <c r="O491" s="117">
        <v>-7.4720582694964071E-3</v>
      </c>
      <c r="P491" s="89">
        <v>-2.3463348004249391E-2</v>
      </c>
      <c r="R491" s="71">
        <v>41033</v>
      </c>
      <c r="S491" s="99">
        <f>+I491-[1]Data!W489</f>
        <v>1.1497863952453561E-3</v>
      </c>
    </row>
    <row r="492" spans="3:19">
      <c r="C492" s="71">
        <v>41040</v>
      </c>
      <c r="D492" s="118">
        <f t="shared" si="42"/>
        <v>12.135346659950111</v>
      </c>
      <c r="E492" s="92">
        <f t="shared" si="43"/>
        <v>158.24774647887307</v>
      </c>
      <c r="F492" s="92">
        <f t="shared" si="44"/>
        <v>0</v>
      </c>
      <c r="G492" s="92">
        <f t="shared" si="46"/>
        <v>170.38309313882317</v>
      </c>
      <c r="H492" s="92">
        <f t="shared" si="45"/>
        <v>170.30645523396836</v>
      </c>
      <c r="I492" s="91">
        <f t="shared" si="47"/>
        <v>-1.5447254717074446E-3</v>
      </c>
      <c r="J492" s="115"/>
      <c r="K492" s="64"/>
      <c r="L492" s="119">
        <v>41040</v>
      </c>
      <c r="M492" s="117">
        <v>-1.7857848678645614E-2</v>
      </c>
      <c r="N492" s="117">
        <v>-2.7134096705926829E-4</v>
      </c>
      <c r="O492" s="117">
        <v>-1.7081040045549369E-2</v>
      </c>
      <c r="P492" s="89">
        <v>-2.0918811388785333E-2</v>
      </c>
      <c r="R492" s="71">
        <v>41040</v>
      </c>
      <c r="S492" s="99">
        <f>+I492-[1]Data!W490</f>
        <v>-1.5639562409382139E-3</v>
      </c>
    </row>
    <row r="493" spans="3:19">
      <c r="C493" s="71">
        <v>41047</v>
      </c>
      <c r="D493" s="118">
        <f t="shared" si="42"/>
        <v>11.510509147203001</v>
      </c>
      <c r="E493" s="92">
        <f t="shared" si="43"/>
        <v>158.29069722973585</v>
      </c>
      <c r="F493" s="92">
        <f t="shared" si="44"/>
        <v>0</v>
      </c>
      <c r="G493" s="92">
        <f t="shared" si="46"/>
        <v>169.80120637693886</v>
      </c>
      <c r="H493" s="92">
        <f t="shared" si="45"/>
        <v>169.72483020334784</v>
      </c>
      <c r="I493" s="91">
        <f t="shared" si="47"/>
        <v>-3.4151672631638533E-3</v>
      </c>
      <c r="J493" s="115"/>
      <c r="K493" s="64"/>
      <c r="L493" s="119">
        <v>41047</v>
      </c>
      <c r="M493" s="117">
        <v>-5.1489053444945289E-2</v>
      </c>
      <c r="N493" s="117">
        <v>2.7141461296282361E-4</v>
      </c>
      <c r="O493" s="117">
        <v>-5.7218253202033949E-2</v>
      </c>
      <c r="P493" s="89">
        <v>-5.3398520587955148E-2</v>
      </c>
      <c r="R493" s="71">
        <v>41047</v>
      </c>
      <c r="S493" s="99">
        <f>+I493-[1]Data!W491</f>
        <v>-3.4324749554715457E-3</v>
      </c>
    </row>
    <row r="494" spans="3:19">
      <c r="C494" s="71">
        <v>41054</v>
      </c>
      <c r="D494" s="118">
        <f t="shared" si="42"/>
        <v>11.60945559091299</v>
      </c>
      <c r="E494" s="92">
        <f t="shared" si="43"/>
        <v>157.74522269377837</v>
      </c>
      <c r="F494" s="92">
        <f t="shared" si="44"/>
        <v>0</v>
      </c>
      <c r="G494" s="92">
        <f t="shared" si="46"/>
        <v>169.35467828469137</v>
      </c>
      <c r="H494" s="92">
        <f t="shared" si="45"/>
        <v>169.2785029583606</v>
      </c>
      <c r="I494" s="91">
        <f t="shared" si="47"/>
        <v>-2.6297109530319437E-3</v>
      </c>
      <c r="J494" s="115"/>
      <c r="K494" s="64"/>
      <c r="L494" s="119">
        <v>41054</v>
      </c>
      <c r="M494" s="117">
        <v>8.5961830571182687E-3</v>
      </c>
      <c r="N494" s="117">
        <v>-3.4460302816520286E-3</v>
      </c>
      <c r="O494" s="117">
        <v>1.7203713817586088E-2</v>
      </c>
      <c r="P494" s="89">
        <v>6.9088104101687033E-3</v>
      </c>
      <c r="R494" s="71">
        <v>41054</v>
      </c>
      <c r="S494" s="99">
        <f>+I494-[1]Data!W492</f>
        <v>-2.647018645339636E-3</v>
      </c>
    </row>
    <row r="495" spans="3:19">
      <c r="C495" s="71">
        <v>41061</v>
      </c>
      <c r="D495" s="118">
        <f t="shared" si="42"/>
        <v>11.261824403189534</v>
      </c>
      <c r="E495" s="92">
        <f t="shared" si="43"/>
        <v>159.19695807294076</v>
      </c>
      <c r="F495" s="92">
        <f t="shared" si="44"/>
        <v>0</v>
      </c>
      <c r="G495" s="92">
        <f t="shared" si="46"/>
        <v>170.4587824761303</v>
      </c>
      <c r="H495" s="92">
        <f t="shared" si="45"/>
        <v>170.38211052639392</v>
      </c>
      <c r="I495" s="91">
        <f t="shared" si="47"/>
        <v>6.5194785442117152E-3</v>
      </c>
      <c r="J495" s="115"/>
      <c r="K495" s="64"/>
      <c r="L495" s="119">
        <v>41061</v>
      </c>
      <c r="M495" s="117">
        <v>-2.9943797536514705E-2</v>
      </c>
      <c r="N495" s="117">
        <v>9.2030386364255062E-3</v>
      </c>
      <c r="O495" s="117">
        <v>-1.7449664429530162E-2</v>
      </c>
      <c r="P495" s="89">
        <v>-2.7379009426106739E-2</v>
      </c>
      <c r="R495" s="71">
        <v>41061</v>
      </c>
      <c r="S495" s="99">
        <f>+I495-[1]Data!W493</f>
        <v>6.5040939288271002E-3</v>
      </c>
    </row>
    <row r="496" spans="3:19">
      <c r="C496" s="71">
        <v>41068</v>
      </c>
      <c r="D496" s="118">
        <f t="shared" si="42"/>
        <v>11.612385890331845</v>
      </c>
      <c r="E496" s="92">
        <f t="shared" si="43"/>
        <v>158.11889422628468</v>
      </c>
      <c r="F496" s="92">
        <f t="shared" si="44"/>
        <v>0</v>
      </c>
      <c r="G496" s="92">
        <f t="shared" si="46"/>
        <v>169.73128011661652</v>
      </c>
      <c r="H496" s="92">
        <f t="shared" si="45"/>
        <v>169.65493539568897</v>
      </c>
      <c r="I496" s="91">
        <f t="shared" si="47"/>
        <v>-4.2679077542727298E-3</v>
      </c>
      <c r="J496" s="115"/>
      <c r="K496" s="64"/>
      <c r="L496" s="119">
        <v>41068</v>
      </c>
      <c r="M496" s="117">
        <v>3.1128303425067325E-2</v>
      </c>
      <c r="N496" s="117">
        <v>-6.7718872251449911E-3</v>
      </c>
      <c r="O496" s="117">
        <v>2.9234972677595634E-2</v>
      </c>
      <c r="P496" s="89">
        <v>2.8800383548508699E-2</v>
      </c>
      <c r="R496" s="71">
        <v>41068</v>
      </c>
      <c r="S496" s="99">
        <f>+I496-[1]Data!W494</f>
        <v>-4.2852154465804222E-3</v>
      </c>
    </row>
    <row r="497" spans="3:19">
      <c r="C497" s="71">
        <v>41075</v>
      </c>
      <c r="D497" s="118">
        <f t="shared" si="42"/>
        <v>11.804515855561416</v>
      </c>
      <c r="E497" s="92">
        <f t="shared" si="43"/>
        <v>158.2649267792182</v>
      </c>
      <c r="F497" s="92">
        <f t="shared" si="44"/>
        <v>0</v>
      </c>
      <c r="G497" s="92">
        <f t="shared" si="46"/>
        <v>170.06944263477962</v>
      </c>
      <c r="H497" s="92">
        <f t="shared" si="45"/>
        <v>169.99294580916597</v>
      </c>
      <c r="I497" s="91">
        <f t="shared" si="47"/>
        <v>1.9923405864301011E-3</v>
      </c>
      <c r="J497" s="115"/>
      <c r="K497" s="64"/>
      <c r="L497" s="119">
        <v>41075</v>
      </c>
      <c r="M497" s="117">
        <v>1.6545261847484206E-2</v>
      </c>
      <c r="N497" s="117">
        <v>9.2356168848816171E-4</v>
      </c>
      <c r="O497" s="117">
        <v>1.3936819750464522E-2</v>
      </c>
      <c r="P497" s="89">
        <v>1.7242527128686527E-2</v>
      </c>
      <c r="R497" s="71">
        <v>41075</v>
      </c>
      <c r="S497" s="99">
        <f>+I497-[1]Data!W495</f>
        <v>1.9731098171993319E-3</v>
      </c>
    </row>
    <row r="498" spans="3:19">
      <c r="C498" s="71">
        <v>41082</v>
      </c>
      <c r="D498" s="118">
        <f t="shared" si="42"/>
        <v>11.776580334435003</v>
      </c>
      <c r="E498" s="92">
        <f t="shared" si="43"/>
        <v>158.20050065292398</v>
      </c>
      <c r="F498" s="92">
        <f t="shared" si="44"/>
        <v>0</v>
      </c>
      <c r="G498" s="92">
        <f t="shared" si="46"/>
        <v>169.97708098735899</v>
      </c>
      <c r="H498" s="92">
        <f t="shared" si="45"/>
        <v>169.90062570579187</v>
      </c>
      <c r="I498" s="91">
        <f t="shared" si="47"/>
        <v>-5.4308196692905771E-4</v>
      </c>
      <c r="J498" s="115"/>
      <c r="K498" s="64"/>
      <c r="L498" s="119">
        <v>41082</v>
      </c>
      <c r="M498" s="117">
        <v>-2.3665113815957402E-3</v>
      </c>
      <c r="N498" s="117">
        <v>-4.0707772470699655E-4</v>
      </c>
      <c r="O498" s="117">
        <v>3.2726796701146332E-4</v>
      </c>
      <c r="P498" s="89">
        <v>-3.1740837696335967E-3</v>
      </c>
      <c r="R498" s="71">
        <v>41082</v>
      </c>
      <c r="S498" s="99">
        <f>+I498-[1]Data!W496</f>
        <v>-5.6038965923675005E-4</v>
      </c>
    </row>
    <row r="499" spans="3:19">
      <c r="C499" s="71">
        <v>41089</v>
      </c>
      <c r="D499" s="118">
        <f t="shared" si="42"/>
        <v>12.070098659556944</v>
      </c>
      <c r="E499" s="92">
        <f t="shared" si="43"/>
        <v>158.71161458819122</v>
      </c>
      <c r="F499" s="92">
        <f t="shared" si="44"/>
        <v>0</v>
      </c>
      <c r="G499" s="92">
        <f t="shared" si="46"/>
        <v>170.78171324774817</v>
      </c>
      <c r="H499" s="92">
        <f t="shared" si="45"/>
        <v>170.70489604452862</v>
      </c>
      <c r="I499" s="91">
        <f t="shared" si="47"/>
        <v>4.7337691394348956E-3</v>
      </c>
      <c r="J499" s="115"/>
      <c r="K499" s="64"/>
      <c r="L499" s="119">
        <v>41089</v>
      </c>
      <c r="M499" s="117">
        <v>2.49239012333391E-2</v>
      </c>
      <c r="N499" s="117">
        <v>3.230798468764417E-3</v>
      </c>
      <c r="O499" s="117">
        <v>3.8146960675259987E-2</v>
      </c>
      <c r="P499" s="89">
        <v>2.4554377441486454E-2</v>
      </c>
      <c r="R499" s="71">
        <v>41089</v>
      </c>
      <c r="S499" s="99">
        <f>+I499-[1]Data!W497</f>
        <v>4.7164614471272032E-3</v>
      </c>
    </row>
    <row r="500" spans="3:19">
      <c r="C500" s="71">
        <v>41096</v>
      </c>
      <c r="D500" s="118">
        <f t="shared" si="42"/>
        <v>12.007976311877224</v>
      </c>
      <c r="E500" s="92">
        <f t="shared" si="43"/>
        <v>159.14541717190542</v>
      </c>
      <c r="F500" s="92">
        <f t="shared" si="44"/>
        <v>0</v>
      </c>
      <c r="G500" s="92">
        <f t="shared" si="46"/>
        <v>171.15339348378265</v>
      </c>
      <c r="H500" s="92">
        <f t="shared" si="45"/>
        <v>171.07640909968831</v>
      </c>
      <c r="I500" s="91">
        <f t="shared" si="47"/>
        <v>2.1763468053240358E-3</v>
      </c>
      <c r="J500" s="115"/>
      <c r="K500" s="64"/>
      <c r="L500" s="119">
        <v>41096</v>
      </c>
      <c r="M500" s="117">
        <v>-5.1467970090312747E-3</v>
      </c>
      <c r="N500" s="117">
        <v>2.7332756007793649E-3</v>
      </c>
      <c r="O500" s="117">
        <v>1.2794655237615034E-2</v>
      </c>
      <c r="P500" s="89">
        <v>-3.3321585338503107E-3</v>
      </c>
      <c r="R500" s="71">
        <v>41096</v>
      </c>
      <c r="S500" s="99">
        <f>+I500-[1]Data!W498</f>
        <v>2.1590391130163434E-3</v>
      </c>
    </row>
    <row r="501" spans="3:19">
      <c r="C501" s="71">
        <v>41103</v>
      </c>
      <c r="D501" s="118">
        <f t="shared" si="42"/>
        <v>11.970761509257771</v>
      </c>
      <c r="E501" s="92">
        <f t="shared" si="43"/>
        <v>159.8541045611415</v>
      </c>
      <c r="F501" s="92">
        <f t="shared" si="44"/>
        <v>0</v>
      </c>
      <c r="G501" s="92">
        <f t="shared" si="46"/>
        <v>171.82486607039928</v>
      </c>
      <c r="H501" s="92">
        <f t="shared" si="45"/>
        <v>171.74757965955303</v>
      </c>
      <c r="I501" s="91">
        <f t="shared" si="47"/>
        <v>3.9232209946236402E-3</v>
      </c>
      <c r="J501" s="115"/>
      <c r="K501" s="64"/>
      <c r="L501" s="119">
        <v>41103</v>
      </c>
      <c r="M501" s="117">
        <v>-3.0991735537189641E-3</v>
      </c>
      <c r="N501" s="117">
        <v>4.4530807222088204E-3</v>
      </c>
      <c r="O501" s="117">
        <v>1.4313274005849136E-3</v>
      </c>
      <c r="P501" s="89">
        <v>-5.3685665605812706E-3</v>
      </c>
      <c r="R501" s="71">
        <v>41103</v>
      </c>
      <c r="S501" s="99">
        <f>+I501-[1]Data!W499</f>
        <v>3.903990225392871E-3</v>
      </c>
    </row>
    <row r="502" spans="3:19">
      <c r="C502" s="71">
        <v>41110</v>
      </c>
      <c r="D502" s="118">
        <f t="shared" si="42"/>
        <v>12.027413964688963</v>
      </c>
      <c r="E502" s="92">
        <f t="shared" si="43"/>
        <v>160.64869345210317</v>
      </c>
      <c r="F502" s="92">
        <f t="shared" si="44"/>
        <v>0</v>
      </c>
      <c r="G502" s="92">
        <f t="shared" si="46"/>
        <v>172.67610741679215</v>
      </c>
      <c r="H502" s="92">
        <f t="shared" si="45"/>
        <v>172.59843811963884</v>
      </c>
      <c r="I502" s="91">
        <f t="shared" si="47"/>
        <v>4.9541219839745803E-3</v>
      </c>
      <c r="J502" s="115"/>
      <c r="K502" s="64"/>
      <c r="L502" s="119">
        <v>41110</v>
      </c>
      <c r="M502" s="117">
        <v>4.7325690506302923E-3</v>
      </c>
      <c r="N502" s="117">
        <v>4.9707130958137622E-3</v>
      </c>
      <c r="O502" s="117">
        <v>6.0899826000498274E-3</v>
      </c>
      <c r="P502" s="89">
        <v>5.5914673561732976E-3</v>
      </c>
      <c r="R502" s="71">
        <v>41110</v>
      </c>
      <c r="S502" s="99">
        <f>+I502-[1]Data!W500</f>
        <v>4.936814291666888E-3</v>
      </c>
    </row>
    <row r="503" spans="3:19">
      <c r="C503" s="71">
        <v>41117</v>
      </c>
      <c r="D503" s="118">
        <f t="shared" si="42"/>
        <v>12.209776265189019</v>
      </c>
      <c r="E503" s="92">
        <f t="shared" si="43"/>
        <v>160.41246432235783</v>
      </c>
      <c r="F503" s="92">
        <f t="shared" si="44"/>
        <v>0</v>
      </c>
      <c r="G503" s="92">
        <f t="shared" si="46"/>
        <v>172.62224058754686</v>
      </c>
      <c r="H503" s="92">
        <f t="shared" si="45"/>
        <v>172.54459551956359</v>
      </c>
      <c r="I503" s="91">
        <f t="shared" si="47"/>
        <v>-3.1195299715247046E-4</v>
      </c>
      <c r="J503" s="115"/>
      <c r="K503" s="64"/>
      <c r="L503" s="119">
        <v>41117</v>
      </c>
      <c r="M503" s="117">
        <v>1.5162220327283123E-2</v>
      </c>
      <c r="N503" s="117">
        <v>-1.4704702831322477E-3</v>
      </c>
      <c r="O503" s="117">
        <v>9.5738109944409067E-3</v>
      </c>
      <c r="P503" s="89">
        <v>1.3884871275672526E-2</v>
      </c>
      <c r="R503" s="71">
        <v>41117</v>
      </c>
      <c r="S503" s="99">
        <f>+I503-[1]Data!W501</f>
        <v>-3.3118376638323967E-4</v>
      </c>
    </row>
    <row r="504" spans="3:19">
      <c r="C504" s="71">
        <v>41124</v>
      </c>
      <c r="D504" s="118">
        <f t="shared" si="42"/>
        <v>12.303838876534254</v>
      </c>
      <c r="E504" s="92">
        <f t="shared" si="43"/>
        <v>160.54990672511877</v>
      </c>
      <c r="F504" s="92">
        <f t="shared" si="44"/>
        <v>0</v>
      </c>
      <c r="G504" s="92">
        <f t="shared" si="46"/>
        <v>172.85374560165303</v>
      </c>
      <c r="H504" s="92">
        <f t="shared" si="45"/>
        <v>172.7759964032721</v>
      </c>
      <c r="I504" s="91">
        <f t="shared" si="47"/>
        <v>1.3411076887788118E-3</v>
      </c>
      <c r="J504" s="115"/>
      <c r="K504" s="64"/>
      <c r="L504" s="119">
        <v>41124</v>
      </c>
      <c r="M504" s="117">
        <v>7.7038767379722798E-3</v>
      </c>
      <c r="N504" s="117">
        <v>8.5680625468564095E-4</v>
      </c>
      <c r="O504" s="117">
        <v>1.3643315998776497E-2</v>
      </c>
      <c r="P504" s="89">
        <v>8.2104929465843454E-3</v>
      </c>
      <c r="R504" s="71">
        <v>41124</v>
      </c>
      <c r="S504" s="99">
        <f>+I504-[1]Data!W502</f>
        <v>1.3218769195480426E-3</v>
      </c>
    </row>
    <row r="505" spans="3:19">
      <c r="C505" s="71">
        <v>41131</v>
      </c>
      <c r="D505" s="118">
        <f t="shared" si="42"/>
        <v>12.486591883623488</v>
      </c>
      <c r="E505" s="92">
        <f t="shared" si="43"/>
        <v>160.56708702546388</v>
      </c>
      <c r="F505" s="92">
        <f t="shared" si="44"/>
        <v>0</v>
      </c>
      <c r="G505" s="92">
        <f t="shared" si="46"/>
        <v>173.05367890908735</v>
      </c>
      <c r="H505" s="92">
        <f t="shared" si="45"/>
        <v>172.97583978118638</v>
      </c>
      <c r="I505" s="91">
        <f t="shared" si="47"/>
        <v>1.1566617011302184E-3</v>
      </c>
      <c r="J505" s="115"/>
      <c r="K505" s="64"/>
      <c r="L505" s="119">
        <v>41131</v>
      </c>
      <c r="M505" s="117">
        <v>1.4853332274838095E-2</v>
      </c>
      <c r="N505" s="117">
        <v>1.0700909577304339E-4</v>
      </c>
      <c r="O505" s="117">
        <v>-7.6653790439401874E-3</v>
      </c>
      <c r="P505" s="89">
        <v>1.6475914979247743E-2</v>
      </c>
      <c r="R505" s="71">
        <v>41131</v>
      </c>
      <c r="S505" s="99">
        <f>+I505-[1]Data!W503</f>
        <v>1.1355078549763723E-3</v>
      </c>
    </row>
    <row r="506" spans="3:19">
      <c r="C506" s="71">
        <v>41138</v>
      </c>
      <c r="D506" s="118">
        <f t="shared" si="42"/>
        <v>12.602534063962841</v>
      </c>
      <c r="E506" s="92">
        <f t="shared" si="43"/>
        <v>159.29574479992522</v>
      </c>
      <c r="F506" s="92">
        <f t="shared" si="44"/>
        <v>0</v>
      </c>
      <c r="G506" s="92">
        <f t="shared" si="46"/>
        <v>171.89827886388807</v>
      </c>
      <c r="H506" s="92">
        <f t="shared" si="45"/>
        <v>171.82095943214415</v>
      </c>
      <c r="I506" s="91">
        <f t="shared" si="47"/>
        <v>-6.6765413626732398E-3</v>
      </c>
      <c r="J506" s="115"/>
      <c r="K506" s="64"/>
      <c r="L506" s="119">
        <v>41138</v>
      </c>
      <c r="M506" s="117">
        <v>9.28533433461632E-3</v>
      </c>
      <c r="N506" s="117">
        <v>-7.9178258078321743E-3</v>
      </c>
      <c r="O506" s="117">
        <v>5.0483547229488021E-3</v>
      </c>
      <c r="P506" s="89">
        <v>7.0527097253156078E-3</v>
      </c>
      <c r="R506" s="71">
        <v>41138</v>
      </c>
      <c r="S506" s="99">
        <f>+I506-[1]Data!W504</f>
        <v>-6.6957721319040094E-3</v>
      </c>
    </row>
    <row r="507" spans="3:19">
      <c r="C507" s="71">
        <v>41145</v>
      </c>
      <c r="D507" s="118">
        <f t="shared" si="42"/>
        <v>12.559654015800266</v>
      </c>
      <c r="E507" s="92">
        <f t="shared" si="43"/>
        <v>160.65298852718948</v>
      </c>
      <c r="F507" s="92">
        <f t="shared" si="44"/>
        <v>0</v>
      </c>
      <c r="G507" s="92">
        <f t="shared" si="46"/>
        <v>173.21264254298976</v>
      </c>
      <c r="H507" s="92">
        <f t="shared" si="45"/>
        <v>173.13473191362917</v>
      </c>
      <c r="I507" s="91">
        <f t="shared" si="47"/>
        <v>7.6461712577263006E-3</v>
      </c>
      <c r="J507" s="115"/>
      <c r="K507" s="64"/>
      <c r="L507" s="119">
        <v>41145</v>
      </c>
      <c r="M507" s="117">
        <v>-3.4024941289538301E-3</v>
      </c>
      <c r="N507" s="117">
        <v>8.5202761000863492E-3</v>
      </c>
      <c r="O507" s="117">
        <v>-2.4812394093439638E-3</v>
      </c>
      <c r="P507" s="89">
        <v>-3.6859565057131977E-3</v>
      </c>
      <c r="R507" s="71">
        <v>41145</v>
      </c>
      <c r="S507" s="99">
        <f>+I507-[1]Data!W505</f>
        <v>7.6250174115724545E-3</v>
      </c>
    </row>
    <row r="508" spans="3:19">
      <c r="C508" s="71">
        <v>41152</v>
      </c>
      <c r="D508" s="118">
        <f t="shared" si="42"/>
        <v>12.494894398643579</v>
      </c>
      <c r="E508" s="92">
        <f t="shared" si="43"/>
        <v>161.47764294375509</v>
      </c>
      <c r="F508" s="92">
        <f t="shared" si="44"/>
        <v>0</v>
      </c>
      <c r="G508" s="92">
        <f t="shared" si="46"/>
        <v>173.97253734239865</v>
      </c>
      <c r="H508" s="92">
        <f t="shared" si="45"/>
        <v>173.89428491418784</v>
      </c>
      <c r="I508" s="91">
        <f t="shared" si="47"/>
        <v>4.3870631395760756E-3</v>
      </c>
      <c r="J508" s="115"/>
      <c r="K508" s="64"/>
      <c r="L508" s="119">
        <v>41152</v>
      </c>
      <c r="M508" s="117">
        <v>-5.1561625085546278E-3</v>
      </c>
      <c r="N508" s="117">
        <v>5.1331408405517033E-3</v>
      </c>
      <c r="O508" s="117">
        <v>-1.9413941636839264E-3</v>
      </c>
      <c r="P508" s="89">
        <v>-6.8442471328154742E-3</v>
      </c>
      <c r="R508" s="71">
        <v>41152</v>
      </c>
      <c r="S508" s="99">
        <f>+I508-[1]Data!W506</f>
        <v>4.3678323703453059E-3</v>
      </c>
    </row>
    <row r="509" spans="3:19">
      <c r="C509" s="71">
        <v>41159</v>
      </c>
      <c r="D509" s="118">
        <f t="shared" si="42"/>
        <v>12.815957538302754</v>
      </c>
      <c r="E509" s="92">
        <f t="shared" si="43"/>
        <v>161.6022001212572</v>
      </c>
      <c r="F509" s="92">
        <f t="shared" si="44"/>
        <v>0</v>
      </c>
      <c r="G509" s="92">
        <f t="shared" si="46"/>
        <v>174.41815765955994</v>
      </c>
      <c r="H509" s="92">
        <f t="shared" si="45"/>
        <v>174.33970479240395</v>
      </c>
      <c r="I509" s="91">
        <f t="shared" si="47"/>
        <v>2.5614405811894107E-3</v>
      </c>
      <c r="J509" s="115"/>
      <c r="K509" s="64"/>
      <c r="L509" s="119">
        <v>41159</v>
      </c>
      <c r="M509" s="117">
        <v>2.569554647008692E-2</v>
      </c>
      <c r="N509" s="117">
        <v>7.7135865517613707E-4</v>
      </c>
      <c r="O509" s="117">
        <v>2.0059570846757108E-2</v>
      </c>
      <c r="P509" s="89">
        <v>2.5330601601788121E-2</v>
      </c>
      <c r="R509" s="71">
        <v>41159</v>
      </c>
      <c r="S509" s="99">
        <f>+I509-[1]Data!W507</f>
        <v>2.5402867350355646E-3</v>
      </c>
    </row>
    <row r="510" spans="3:19">
      <c r="C510" s="71">
        <v>41166</v>
      </c>
      <c r="D510" s="118">
        <f t="shared" si="42"/>
        <v>13.163002666142441</v>
      </c>
      <c r="E510" s="92">
        <f t="shared" si="43"/>
        <v>161.38315129185696</v>
      </c>
      <c r="F510" s="92">
        <f t="shared" si="44"/>
        <v>0</v>
      </c>
      <c r="G510" s="92">
        <f t="shared" si="46"/>
        <v>174.54615395799939</v>
      </c>
      <c r="H510" s="92">
        <f t="shared" si="45"/>
        <v>174.46764351841668</v>
      </c>
      <c r="I510" s="91">
        <f t="shared" si="47"/>
        <v>7.3384732505468665E-4</v>
      </c>
      <c r="J510" s="115"/>
      <c r="K510" s="64"/>
      <c r="L510" s="119">
        <v>41166</v>
      </c>
      <c r="M510" s="117">
        <v>2.7079141515761216E-2</v>
      </c>
      <c r="N510" s="117">
        <v>-1.3554817275747266E-3</v>
      </c>
      <c r="O510" s="117">
        <v>2.4670758596031146E-2</v>
      </c>
      <c r="P510" s="89">
        <v>2.945806842264596E-2</v>
      </c>
      <c r="R510" s="71">
        <v>41166</v>
      </c>
      <c r="S510" s="99">
        <f>+I510-[1]Data!W508</f>
        <v>7.1461655582391744E-4</v>
      </c>
    </row>
    <row r="511" spans="3:19">
      <c r="C511" s="71">
        <v>41173</v>
      </c>
      <c r="D511" s="118">
        <f t="shared" si="42"/>
        <v>13.069623791328274</v>
      </c>
      <c r="E511" s="92">
        <f t="shared" si="43"/>
        <v>161.93292090290069</v>
      </c>
      <c r="F511" s="92">
        <f t="shared" si="44"/>
        <v>0</v>
      </c>
      <c r="G511" s="92">
        <f t="shared" si="46"/>
        <v>175.00254469422896</v>
      </c>
      <c r="H511" s="92">
        <f t="shared" si="45"/>
        <v>174.92382897119248</v>
      </c>
      <c r="I511" s="91">
        <f t="shared" si="47"/>
        <v>2.6147281156327653E-3</v>
      </c>
      <c r="J511" s="115"/>
      <c r="K511" s="64"/>
      <c r="L511" s="119">
        <v>41173</v>
      </c>
      <c r="M511" s="117">
        <v>-7.0940405606963039E-3</v>
      </c>
      <c r="N511" s="117">
        <v>3.4066109543832773E-3</v>
      </c>
      <c r="O511" s="117">
        <v>-2.0587380052340752E-2</v>
      </c>
      <c r="P511" s="89">
        <v>-7.1170190865510671E-3</v>
      </c>
      <c r="R511" s="71">
        <v>41173</v>
      </c>
      <c r="S511" s="99">
        <f>+I511-[1]Data!W509</f>
        <v>2.5935742694789192E-3</v>
      </c>
    </row>
    <row r="512" spans="3:19">
      <c r="C512" s="71">
        <v>41180</v>
      </c>
      <c r="D512" s="118">
        <f t="shared" si="42"/>
        <v>12.810292292759636</v>
      </c>
      <c r="E512" s="92">
        <f t="shared" si="43"/>
        <v>162.44403483816794</v>
      </c>
      <c r="F512" s="92">
        <f t="shared" si="44"/>
        <v>0</v>
      </c>
      <c r="G512" s="92">
        <f t="shared" si="46"/>
        <v>175.25432713092758</v>
      </c>
      <c r="H512" s="92">
        <f t="shared" si="45"/>
        <v>175.17549815675756</v>
      </c>
      <c r="I512" s="91">
        <f t="shared" si="47"/>
        <v>1.4387358603185165E-3</v>
      </c>
      <c r="J512" s="115"/>
      <c r="K512" s="64"/>
      <c r="L512" s="119">
        <v>41180</v>
      </c>
      <c r="M512" s="117">
        <v>-1.9842307836030009E-2</v>
      </c>
      <c r="N512" s="117">
        <v>3.1563312291125081E-3</v>
      </c>
      <c r="O512" s="117">
        <v>-6.5910575381508537E-3</v>
      </c>
      <c r="P512" s="89">
        <v>-1.7860845354106897E-2</v>
      </c>
      <c r="R512" s="71">
        <v>41180</v>
      </c>
      <c r="S512" s="99">
        <f>+I512-[1]Data!W510</f>
        <v>1.4195050910877473E-3</v>
      </c>
    </row>
    <row r="513" spans="3:19">
      <c r="C513" s="71">
        <v>41187</v>
      </c>
      <c r="D513" s="118">
        <f t="shared" si="42"/>
        <v>13.036218377953332</v>
      </c>
      <c r="E513" s="92">
        <f t="shared" si="43"/>
        <v>162.19492048316374</v>
      </c>
      <c r="F513" s="92">
        <f t="shared" si="44"/>
        <v>0</v>
      </c>
      <c r="G513" s="92">
        <f t="shared" si="46"/>
        <v>175.23113886111707</v>
      </c>
      <c r="H513" s="92">
        <f t="shared" si="45"/>
        <v>175.15232031697496</v>
      </c>
      <c r="I513" s="91">
        <f t="shared" si="47"/>
        <v>-1.3231211000667262E-4</v>
      </c>
      <c r="J513" s="115"/>
      <c r="K513" s="64"/>
      <c r="L513" s="119">
        <v>41187</v>
      </c>
      <c r="M513" s="117">
        <v>1.7636294319481594E-2</v>
      </c>
      <c r="N513" s="117">
        <v>-1.5335395679648453E-3</v>
      </c>
      <c r="O513" s="117">
        <v>7.8900179318588948E-3</v>
      </c>
      <c r="P513" s="89">
        <v>1.6225345316364062E-2</v>
      </c>
      <c r="R513" s="71">
        <v>41187</v>
      </c>
      <c r="S513" s="99">
        <f>+I513-[1]Data!W511</f>
        <v>-1.5154287923744187E-4</v>
      </c>
    </row>
    <row r="514" spans="3:19">
      <c r="C514" s="71">
        <v>41194</v>
      </c>
      <c r="D514" s="118">
        <f t="shared" si="42"/>
        <v>12.756765490041891</v>
      </c>
      <c r="E514" s="92">
        <f t="shared" si="43"/>
        <v>162.79623099524281</v>
      </c>
      <c r="F514" s="92">
        <f t="shared" si="44"/>
        <v>0</v>
      </c>
      <c r="G514" s="92">
        <f t="shared" si="46"/>
        <v>175.55299648528469</v>
      </c>
      <c r="H514" s="92">
        <f t="shared" si="45"/>
        <v>175.47403317035858</v>
      </c>
      <c r="I514" s="91">
        <f t="shared" si="47"/>
        <v>1.8367604425759756E-3</v>
      </c>
      <c r="J514" s="115"/>
      <c r="K514" s="64"/>
      <c r="L514" s="119">
        <v>41194</v>
      </c>
      <c r="M514" s="117">
        <v>-2.143665285509851E-2</v>
      </c>
      <c r="N514" s="117">
        <v>3.7073325742127939E-3</v>
      </c>
      <c r="O514" s="117">
        <v>-8.9550468509073111E-3</v>
      </c>
      <c r="P514" s="89">
        <v>-2.0299145299145227E-2</v>
      </c>
      <c r="R514" s="71">
        <v>41194</v>
      </c>
      <c r="S514" s="99">
        <f>+I514-[1]Data!W512</f>
        <v>1.8175296733452064E-3</v>
      </c>
    </row>
    <row r="515" spans="3:19">
      <c r="C515" s="71">
        <v>41201</v>
      </c>
      <c r="D515" s="118">
        <f t="shared" si="42"/>
        <v>12.915587718543815</v>
      </c>
      <c r="E515" s="92">
        <f t="shared" si="43"/>
        <v>162.36242841152861</v>
      </c>
      <c r="F515" s="92">
        <f t="shared" si="44"/>
        <v>0</v>
      </c>
      <c r="G515" s="92">
        <f t="shared" si="46"/>
        <v>175.27801613007242</v>
      </c>
      <c r="H515" s="92">
        <f t="shared" si="45"/>
        <v>175.19917650064767</v>
      </c>
      <c r="I515" s="91">
        <f t="shared" si="47"/>
        <v>-1.566366628412023E-3</v>
      </c>
      <c r="J515" s="115"/>
      <c r="K515" s="64"/>
      <c r="L515" s="119">
        <v>41201</v>
      </c>
      <c r="M515" s="117">
        <v>1.2450039049937973E-2</v>
      </c>
      <c r="N515" s="117">
        <v>-2.6646967258528113E-3</v>
      </c>
      <c r="O515" s="117">
        <v>1.6097181497217387E-2</v>
      </c>
      <c r="P515" s="89">
        <v>1.2056221979886157E-2</v>
      </c>
      <c r="R515" s="71">
        <v>41201</v>
      </c>
      <c r="S515" s="99">
        <f>+I515-[1]Data!W513</f>
        <v>-1.5855973976427922E-3</v>
      </c>
    </row>
    <row r="516" spans="3:19">
      <c r="C516" s="71">
        <v>41208</v>
      </c>
      <c r="D516" s="118">
        <f t="shared" si="42"/>
        <v>12.700210711257997</v>
      </c>
      <c r="E516" s="92">
        <f t="shared" si="43"/>
        <v>162.14767465721465</v>
      </c>
      <c r="F516" s="92">
        <f t="shared" si="44"/>
        <v>0</v>
      </c>
      <c r="G516" s="92">
        <f t="shared" si="46"/>
        <v>174.84788536847265</v>
      </c>
      <c r="H516" s="92">
        <f t="shared" si="45"/>
        <v>174.76923921082829</v>
      </c>
      <c r="I516" s="91">
        <f t="shared" si="47"/>
        <v>-2.4539914993138606E-3</v>
      </c>
      <c r="J516" s="115"/>
      <c r="K516" s="64"/>
      <c r="L516" s="119">
        <v>41208</v>
      </c>
      <c r="M516" s="117">
        <v>-1.66757419003539E-2</v>
      </c>
      <c r="N516" s="117">
        <v>-1.3226813396116609E-3</v>
      </c>
      <c r="O516" s="117">
        <v>-1.1484098939929428E-2</v>
      </c>
      <c r="P516" s="89">
        <v>-1.6492068243041148E-2</v>
      </c>
      <c r="R516" s="71">
        <v>41208</v>
      </c>
      <c r="S516" s="99">
        <f>+I516-[1]Data!W514</f>
        <v>-2.4751453454677067E-3</v>
      </c>
    </row>
    <row r="517" spans="3:19">
      <c r="C517" s="71">
        <v>41215</v>
      </c>
      <c r="D517" s="118">
        <f t="shared" ref="D517:D580" si="48">+D516*(1+M517)</f>
        <v>12.754323573859512</v>
      </c>
      <c r="E517" s="92">
        <f t="shared" ref="E517:E580" si="49">+E516*(1+N517)</f>
        <v>161.94580612815955</v>
      </c>
      <c r="F517" s="92">
        <f t="shared" ref="F517:F580" si="50">+F516*(1+O517)</f>
        <v>0</v>
      </c>
      <c r="G517" s="92">
        <f t="shared" si="46"/>
        <v>174.70012970201907</v>
      </c>
      <c r="H517" s="92">
        <f t="shared" ref="H517:H580" si="51">+H516*(1+(((D516/G516)*M517)+((E516/G516)*N517)+((F516/G516)*O517)))</f>
        <v>174.62155000451753</v>
      </c>
      <c r="I517" s="91">
        <f t="shared" si="47"/>
        <v>-8.4505263613694303E-4</v>
      </c>
      <c r="J517" s="115"/>
      <c r="K517" s="64"/>
      <c r="L517" s="119">
        <v>41215</v>
      </c>
      <c r="M517" s="117">
        <v>4.2607846304115148E-3</v>
      </c>
      <c r="N517" s="117">
        <v>-1.2449671540579849E-3</v>
      </c>
      <c r="O517" s="117">
        <v>1.2630324694667886E-2</v>
      </c>
      <c r="P517" s="89">
        <v>5.5083843087129934E-3</v>
      </c>
      <c r="R517" s="71">
        <v>41215</v>
      </c>
      <c r="S517" s="99">
        <f>+I517-[1]Data!W515</f>
        <v>-8.6620648229078924E-4</v>
      </c>
    </row>
    <row r="518" spans="3:19">
      <c r="C518" s="71">
        <v>41222</v>
      </c>
      <c r="D518" s="118">
        <f t="shared" si="48"/>
        <v>12.463735548156425</v>
      </c>
      <c r="E518" s="92">
        <f t="shared" si="49"/>
        <v>162.49987081428958</v>
      </c>
      <c r="F518" s="92">
        <f t="shared" si="50"/>
        <v>0</v>
      </c>
      <c r="G518" s="92">
        <f t="shared" ref="G518:G581" si="52">+SUM(D518:F518)</f>
        <v>174.963606362446</v>
      </c>
      <c r="H518" s="92">
        <f t="shared" si="51"/>
        <v>174.8849081537773</v>
      </c>
      <c r="I518" s="91">
        <f t="shared" si="47"/>
        <v>1.508165225042153E-3</v>
      </c>
      <c r="J518" s="115"/>
      <c r="K518" s="64"/>
      <c r="L518" s="119">
        <v>41222</v>
      </c>
      <c r="M518" s="117">
        <v>-2.2783491732847286E-2</v>
      </c>
      <c r="N518" s="117">
        <v>3.4212969102240115E-3</v>
      </c>
      <c r="O518" s="117">
        <v>-1.9650526563511229E-2</v>
      </c>
      <c r="P518" s="89">
        <v>-2.1640435835351021E-2</v>
      </c>
      <c r="R518" s="71">
        <v>41222</v>
      </c>
      <c r="S518" s="99">
        <f>+I518-[1]Data!W516</f>
        <v>1.4889344558113838E-3</v>
      </c>
    </row>
    <row r="519" spans="3:19">
      <c r="C519" s="71">
        <v>41229</v>
      </c>
      <c r="D519" s="118">
        <f t="shared" si="48"/>
        <v>12.241911882149127</v>
      </c>
      <c r="E519" s="92">
        <f t="shared" si="49"/>
        <v>162.01452732954002</v>
      </c>
      <c r="F519" s="92">
        <f t="shared" si="50"/>
        <v>0</v>
      </c>
      <c r="G519" s="92">
        <f t="shared" si="52"/>
        <v>174.25643921168916</v>
      </c>
      <c r="H519" s="92">
        <f t="shared" si="51"/>
        <v>174.17805908510135</v>
      </c>
      <c r="I519" s="91">
        <f t="shared" ref="I519:I582" si="53">+(H519-H518)/H518</f>
        <v>-4.0417956937394157E-3</v>
      </c>
      <c r="J519" s="115"/>
      <c r="K519" s="64"/>
      <c r="L519" s="119">
        <v>41229</v>
      </c>
      <c r="M519" s="117">
        <v>-1.7797526684534753E-2</v>
      </c>
      <c r="N519" s="117">
        <v>-2.9867315113389953E-3</v>
      </c>
      <c r="O519" s="117">
        <v>-1.3022865030306592E-2</v>
      </c>
      <c r="P519" s="89">
        <v>-1.8252126836813543E-2</v>
      </c>
      <c r="R519" s="71">
        <v>41229</v>
      </c>
      <c r="S519" s="99">
        <f>+I519-[1]Data!W517</f>
        <v>-4.059103386047108E-3</v>
      </c>
    </row>
    <row r="520" spans="3:19">
      <c r="C520" s="71">
        <v>41236</v>
      </c>
      <c r="D520" s="118">
        <f t="shared" si="48"/>
        <v>12.745337322308357</v>
      </c>
      <c r="E520" s="92">
        <f t="shared" si="49"/>
        <v>161.68380654789652</v>
      </c>
      <c r="F520" s="92">
        <f t="shared" si="50"/>
        <v>0</v>
      </c>
      <c r="G520" s="92">
        <f t="shared" si="52"/>
        <v>174.42914387020488</v>
      </c>
      <c r="H520" s="92">
        <f t="shared" si="51"/>
        <v>174.35068606147772</v>
      </c>
      <c r="I520" s="91">
        <f t="shared" si="53"/>
        <v>9.910948444546647E-4</v>
      </c>
      <c r="J520" s="115"/>
      <c r="K520" s="64"/>
      <c r="L520" s="119">
        <v>41236</v>
      </c>
      <c r="M520" s="117">
        <v>4.1123106015271534E-2</v>
      </c>
      <c r="N520" s="117">
        <v>-2.0413032528299405E-3</v>
      </c>
      <c r="O520" s="117">
        <v>2.4565243828286464E-2</v>
      </c>
      <c r="P520" s="89">
        <v>3.9325665668819787E-2</v>
      </c>
      <c r="R520" s="71">
        <v>41236</v>
      </c>
      <c r="S520" s="99">
        <f>+I520-[1]Data!W518</f>
        <v>9.7378715214697237E-4</v>
      </c>
    </row>
    <row r="521" spans="3:19">
      <c r="C521" s="71">
        <v>41243</v>
      </c>
      <c r="D521" s="118">
        <f t="shared" si="48"/>
        <v>12.849265275030405</v>
      </c>
      <c r="E521" s="92">
        <f t="shared" si="49"/>
        <v>162.24216630911283</v>
      </c>
      <c r="F521" s="92">
        <f t="shared" si="50"/>
        <v>0</v>
      </c>
      <c r="G521" s="92">
        <f t="shared" si="52"/>
        <v>175.09143158414324</v>
      </c>
      <c r="H521" s="92">
        <f t="shared" si="51"/>
        <v>175.01267587999772</v>
      </c>
      <c r="I521" s="91">
        <f t="shared" si="53"/>
        <v>3.7968868002422121E-3</v>
      </c>
      <c r="J521" s="115"/>
      <c r="K521" s="64"/>
      <c r="L521" s="119">
        <v>41243</v>
      </c>
      <c r="M521" s="117">
        <v>8.1541939686554776E-3</v>
      </c>
      <c r="N521" s="117">
        <v>3.453405589204153E-3</v>
      </c>
      <c r="O521" s="117">
        <v>4.510385756676504E-3</v>
      </c>
      <c r="P521" s="89">
        <v>8.5195403692811516E-3</v>
      </c>
      <c r="R521" s="71">
        <v>41243</v>
      </c>
      <c r="S521" s="99">
        <f>+I521-[1]Data!W519</f>
        <v>3.7795791079345198E-3</v>
      </c>
    </row>
    <row r="522" spans="3:19">
      <c r="C522" s="71">
        <v>41250</v>
      </c>
      <c r="D522" s="118">
        <f t="shared" si="48"/>
        <v>12.900545514860362</v>
      </c>
      <c r="E522" s="92">
        <f t="shared" si="49"/>
        <v>162.2078057084226</v>
      </c>
      <c r="F522" s="92">
        <f t="shared" si="50"/>
        <v>0</v>
      </c>
      <c r="G522" s="92">
        <f t="shared" si="52"/>
        <v>175.10835122328297</v>
      </c>
      <c r="H522" s="92">
        <f t="shared" si="51"/>
        <v>175.02958790872452</v>
      </c>
      <c r="I522" s="91">
        <f t="shared" si="53"/>
        <v>9.6633164665189126E-5</v>
      </c>
      <c r="J522" s="115"/>
      <c r="K522" s="64"/>
      <c r="L522" s="119">
        <v>41250</v>
      </c>
      <c r="M522" s="117">
        <v>3.9909083307360753E-3</v>
      </c>
      <c r="N522" s="117">
        <v>-2.1178588447075787E-4</v>
      </c>
      <c r="O522" s="117">
        <v>1.1697979439915032E-2</v>
      </c>
      <c r="P522" s="89">
        <v>5.6517556517556387E-3</v>
      </c>
      <c r="R522" s="71">
        <v>41250</v>
      </c>
      <c r="S522" s="99">
        <f>+I522-[1]Data!W520</f>
        <v>7.7402395434419898E-5</v>
      </c>
    </row>
    <row r="523" spans="3:19">
      <c r="C523" s="71">
        <v>41257</v>
      </c>
      <c r="D523" s="118">
        <f t="shared" si="48"/>
        <v>12.946941922325561</v>
      </c>
      <c r="E523" s="92">
        <f t="shared" si="49"/>
        <v>161.94580612815955</v>
      </c>
      <c r="F523" s="92">
        <f t="shared" si="50"/>
        <v>0</v>
      </c>
      <c r="G523" s="92">
        <f t="shared" si="52"/>
        <v>174.8927480504851</v>
      </c>
      <c r="H523" s="92">
        <f t="shared" si="51"/>
        <v>174.81408171371444</v>
      </c>
      <c r="I523" s="91">
        <f t="shared" si="53"/>
        <v>-1.2312557984337036E-3</v>
      </c>
      <c r="J523" s="115"/>
      <c r="K523" s="64"/>
      <c r="L523" s="119">
        <v>41257</v>
      </c>
      <c r="M523" s="117">
        <v>3.5964686463649167E-3</v>
      </c>
      <c r="N523" s="117">
        <v>-1.6152094476513626E-3</v>
      </c>
      <c r="O523" s="117">
        <v>1.9855174024760768E-3</v>
      </c>
      <c r="P523" s="89">
        <v>5.5004185101041247E-3</v>
      </c>
      <c r="R523" s="71">
        <v>41257</v>
      </c>
      <c r="S523" s="99">
        <f>+I523-[1]Data!W521</f>
        <v>-1.244717336895242E-3</v>
      </c>
    </row>
    <row r="524" spans="3:19">
      <c r="C524" s="71">
        <v>41264</v>
      </c>
      <c r="D524" s="118">
        <f t="shared" si="48"/>
        <v>13.099024462164115</v>
      </c>
      <c r="E524" s="92">
        <f t="shared" si="49"/>
        <v>161.88567507695166</v>
      </c>
      <c r="F524" s="92">
        <f t="shared" si="50"/>
        <v>0</v>
      </c>
      <c r="G524" s="92">
        <f t="shared" si="52"/>
        <v>174.98469953911578</v>
      </c>
      <c r="H524" s="92">
        <f t="shared" si="51"/>
        <v>174.90599184278702</v>
      </c>
      <c r="I524" s="91">
        <f t="shared" si="53"/>
        <v>5.2575929908833515E-4</v>
      </c>
      <c r="J524" s="115"/>
      <c r="K524" s="64"/>
      <c r="L524" s="119">
        <v>41264</v>
      </c>
      <c r="M524" s="117">
        <v>1.1746599370798675E-2</v>
      </c>
      <c r="N524" s="117">
        <v>-3.7130354064444064E-4</v>
      </c>
      <c r="O524" s="117">
        <v>1.7950810117729244E-2</v>
      </c>
      <c r="P524" s="89">
        <v>1.0227137590676649E-2</v>
      </c>
      <c r="R524" s="71">
        <v>41264</v>
      </c>
      <c r="S524" s="99">
        <f>+I524-[1]Data!W522</f>
        <v>5.1422083754987366E-4</v>
      </c>
    </row>
    <row r="525" spans="3:19">
      <c r="C525" s="71">
        <v>41271</v>
      </c>
      <c r="D525" s="118">
        <f t="shared" si="48"/>
        <v>12.960128269710403</v>
      </c>
      <c r="E525" s="92">
        <f t="shared" si="49"/>
        <v>161.74823267419069</v>
      </c>
      <c r="F525" s="92">
        <f t="shared" si="50"/>
        <v>0</v>
      </c>
      <c r="G525" s="92">
        <f t="shared" si="52"/>
        <v>174.70836094390108</v>
      </c>
      <c r="H525" s="92">
        <f t="shared" si="51"/>
        <v>174.6297775440068</v>
      </c>
      <c r="I525" s="91">
        <f t="shared" si="53"/>
        <v>-1.5792157596778678E-3</v>
      </c>
      <c r="J525" s="115"/>
      <c r="K525" s="64"/>
      <c r="L525" s="119">
        <v>41271</v>
      </c>
      <c r="M525" s="117">
        <v>-1.0603552413762268E-2</v>
      </c>
      <c r="N525" s="117">
        <v>-8.4900904725279246E-4</v>
      </c>
      <c r="O525" s="117">
        <v>-2.2901637467079221E-3</v>
      </c>
      <c r="P525" s="89">
        <v>-7.7104178928781766E-3</v>
      </c>
      <c r="R525" s="71">
        <v>41271</v>
      </c>
      <c r="S525" s="99">
        <f>+I525-[1]Data!W523</f>
        <v>-1.5907542212163293E-3</v>
      </c>
    </row>
    <row r="526" spans="3:19">
      <c r="C526" s="71">
        <v>41278</v>
      </c>
      <c r="D526" s="118">
        <f t="shared" si="48"/>
        <v>13.382775122556541</v>
      </c>
      <c r="E526" s="92">
        <f t="shared" si="49"/>
        <v>160.24925146907924</v>
      </c>
      <c r="F526" s="92">
        <f t="shared" si="50"/>
        <v>0</v>
      </c>
      <c r="G526" s="92">
        <f t="shared" si="52"/>
        <v>173.63202659163579</v>
      </c>
      <c r="H526" s="92">
        <f t="shared" si="51"/>
        <v>173.55392732434035</v>
      </c>
      <c r="I526" s="91">
        <f t="shared" si="53"/>
        <v>-6.1607489558608329E-3</v>
      </c>
      <c r="J526" s="115"/>
      <c r="K526" s="64"/>
      <c r="L526" s="119">
        <v>41278</v>
      </c>
      <c r="M526" s="117">
        <v>3.2611317114346859E-2</v>
      </c>
      <c r="N526" s="117">
        <v>-9.2673730051248109E-3</v>
      </c>
      <c r="O526" s="117">
        <v>1.882244921381844E-2</v>
      </c>
      <c r="P526" s="89">
        <v>3.1140637048460762E-2</v>
      </c>
      <c r="R526" s="71">
        <v>41278</v>
      </c>
      <c r="S526" s="99">
        <f>+I526-[1]Data!W524</f>
        <v>-6.1742104943223715E-3</v>
      </c>
    </row>
    <row r="527" spans="3:19">
      <c r="C527" s="71">
        <v>41285</v>
      </c>
      <c r="D527" s="118">
        <f t="shared" si="48"/>
        <v>13.498326596306711</v>
      </c>
      <c r="E527" s="92">
        <f t="shared" si="49"/>
        <v>160.7302998787425</v>
      </c>
      <c r="F527" s="92">
        <f t="shared" si="50"/>
        <v>0</v>
      </c>
      <c r="G527" s="92">
        <f t="shared" si="52"/>
        <v>174.22862647504923</v>
      </c>
      <c r="H527" s="92">
        <f t="shared" si="51"/>
        <v>174.1502588585634</v>
      </c>
      <c r="I527" s="91">
        <f t="shared" si="53"/>
        <v>3.4360013824902996E-3</v>
      </c>
      <c r="J527" s="115"/>
      <c r="K527" s="64"/>
      <c r="L527" s="119">
        <v>41285</v>
      </c>
      <c r="M527" s="117">
        <v>8.6343432279161209E-3</v>
      </c>
      <c r="N527" s="117">
        <v>3.0018761726078921E-3</v>
      </c>
      <c r="O527" s="117">
        <v>7.4349442379183376E-3</v>
      </c>
      <c r="P527" s="89">
        <v>6.9028992176713563E-3</v>
      </c>
      <c r="R527" s="71">
        <v>41285</v>
      </c>
      <c r="S527" s="99">
        <f>+I527-[1]Data!W525</f>
        <v>3.422539844028761E-3</v>
      </c>
    </row>
    <row r="528" spans="3:19">
      <c r="C528" s="71">
        <v>41292</v>
      </c>
      <c r="D528" s="118">
        <f t="shared" si="48"/>
        <v>13.55859308768782</v>
      </c>
      <c r="E528" s="92">
        <f t="shared" si="49"/>
        <v>160.69164420296596</v>
      </c>
      <c r="F528" s="92">
        <f t="shared" si="50"/>
        <v>0</v>
      </c>
      <c r="G528" s="92">
        <f t="shared" si="52"/>
        <v>174.25023729065379</v>
      </c>
      <c r="H528" s="92">
        <f t="shared" si="51"/>
        <v>174.17185995367518</v>
      </c>
      <c r="I528" s="91">
        <f t="shared" si="53"/>
        <v>1.2403711170662138E-4</v>
      </c>
      <c r="J528" s="115"/>
      <c r="K528" s="64"/>
      <c r="L528" s="119">
        <v>41292</v>
      </c>
      <c r="M528" s="117">
        <v>4.4647379770466483E-3</v>
      </c>
      <c r="N528" s="117">
        <v>-2.4050024050032554E-4</v>
      </c>
      <c r="O528" s="117">
        <v>4.9759588504975196E-3</v>
      </c>
      <c r="P528" s="89">
        <v>4.8274680073126077E-3</v>
      </c>
      <c r="R528" s="71">
        <v>41292</v>
      </c>
      <c r="S528" s="99">
        <f>+I528-[1]Data!W526</f>
        <v>1.08652496322006E-4</v>
      </c>
    </row>
    <row r="529" spans="3:19">
      <c r="C529" s="71">
        <v>41299</v>
      </c>
      <c r="D529" s="118">
        <f t="shared" si="48"/>
        <v>13.72815974739221</v>
      </c>
      <c r="E529" s="92">
        <f t="shared" si="49"/>
        <v>160.07315339054176</v>
      </c>
      <c r="F529" s="92">
        <f t="shared" si="50"/>
        <v>0</v>
      </c>
      <c r="G529" s="92">
        <f t="shared" si="52"/>
        <v>173.80131313793396</v>
      </c>
      <c r="H529" s="92">
        <f t="shared" si="51"/>
        <v>173.72313772595783</v>
      </c>
      <c r="I529" s="91">
        <f t="shared" si="53"/>
        <v>-2.5763187453857464E-3</v>
      </c>
      <c r="J529" s="115"/>
      <c r="K529" s="64"/>
      <c r="L529" s="119">
        <v>41299</v>
      </c>
      <c r="M529" s="117">
        <v>1.2506213484522213E-2</v>
      </c>
      <c r="N529" s="117">
        <v>-3.8489295164782235E-3</v>
      </c>
      <c r="O529" s="117">
        <v>6.8984700973574913E-3</v>
      </c>
      <c r="P529" s="89">
        <v>9.4948403786566E-3</v>
      </c>
      <c r="R529" s="71">
        <v>41299</v>
      </c>
      <c r="S529" s="99">
        <f>+I529-[1]Data!W527</f>
        <v>-2.5917033607703618E-3</v>
      </c>
    </row>
    <row r="530" spans="3:19">
      <c r="C530" s="71">
        <v>41306</v>
      </c>
      <c r="D530" s="118">
        <f t="shared" si="48"/>
        <v>13.838729712130325</v>
      </c>
      <c r="E530" s="92">
        <f t="shared" si="49"/>
        <v>159.76820305941595</v>
      </c>
      <c r="F530" s="92">
        <f t="shared" si="50"/>
        <v>0</v>
      </c>
      <c r="G530" s="92">
        <f t="shared" si="52"/>
        <v>173.60693277154627</v>
      </c>
      <c r="H530" s="92">
        <f t="shared" si="51"/>
        <v>173.52884479139067</v>
      </c>
      <c r="I530" s="91">
        <f t="shared" si="53"/>
        <v>-1.1184056258162283E-3</v>
      </c>
      <c r="J530" s="115"/>
      <c r="K530" s="64"/>
      <c r="L530" s="119">
        <v>41306</v>
      </c>
      <c r="M530" s="117">
        <v>8.0542451991148407E-3</v>
      </c>
      <c r="N530" s="117">
        <v>-1.9050685556359964E-3</v>
      </c>
      <c r="O530" s="117">
        <v>-5.5251671363058729E-3</v>
      </c>
      <c r="P530" s="89">
        <v>7.4624764157584329E-3</v>
      </c>
      <c r="R530" s="71">
        <v>41306</v>
      </c>
      <c r="S530" s="99">
        <f>+I530-[1]Data!W528</f>
        <v>-1.1318671642777667E-3</v>
      </c>
    </row>
    <row r="531" spans="3:19">
      <c r="C531" s="71">
        <v>41313</v>
      </c>
      <c r="D531" s="118">
        <f t="shared" si="48"/>
        <v>13.776705041097902</v>
      </c>
      <c r="E531" s="92">
        <f t="shared" si="49"/>
        <v>159.29574479992525</v>
      </c>
      <c r="F531" s="92">
        <f t="shared" si="50"/>
        <v>0</v>
      </c>
      <c r="G531" s="92">
        <f t="shared" si="52"/>
        <v>173.07244984102314</v>
      </c>
      <c r="H531" s="92">
        <f t="shared" si="51"/>
        <v>172.99460227000213</v>
      </c>
      <c r="I531" s="91">
        <f t="shared" si="53"/>
        <v>-3.0786957755108645E-3</v>
      </c>
      <c r="J531" s="115"/>
      <c r="K531" s="64"/>
      <c r="L531" s="119">
        <v>41313</v>
      </c>
      <c r="M531" s="117">
        <v>-4.4819627467725699E-3</v>
      </c>
      <c r="N531" s="117">
        <v>-2.9571482337760703E-3</v>
      </c>
      <c r="O531" s="117">
        <v>-3.7224290238347456E-3</v>
      </c>
      <c r="P531" s="89">
        <v>-5.3108228980321371E-3</v>
      </c>
      <c r="R531" s="71">
        <v>41313</v>
      </c>
      <c r="S531" s="99">
        <f>+I531-[1]Data!W529</f>
        <v>-3.0921573139724031E-3</v>
      </c>
    </row>
    <row r="532" spans="3:19">
      <c r="C532" s="71">
        <v>41320</v>
      </c>
      <c r="D532" s="118">
        <f t="shared" si="48"/>
        <v>13.742322861250006</v>
      </c>
      <c r="E532" s="92">
        <f t="shared" si="49"/>
        <v>159.20125314802712</v>
      </c>
      <c r="F532" s="92">
        <f t="shared" si="50"/>
        <v>0</v>
      </c>
      <c r="G532" s="92">
        <f t="shared" si="52"/>
        <v>172.94357600927714</v>
      </c>
      <c r="H532" s="92">
        <f t="shared" si="51"/>
        <v>172.8657864053952</v>
      </c>
      <c r="I532" s="91">
        <f t="shared" si="53"/>
        <v>-7.4462360626654047E-4</v>
      </c>
      <c r="J532" s="115"/>
      <c r="K532" s="64"/>
      <c r="L532" s="119">
        <v>41320</v>
      </c>
      <c r="M532" s="117">
        <v>-2.4956751084767746E-3</v>
      </c>
      <c r="N532" s="117">
        <v>-5.9318377911985127E-4</v>
      </c>
      <c r="O532" s="117">
        <v>-2.8440776265892869E-3</v>
      </c>
      <c r="P532" s="89">
        <v>-1.5174506828528648E-3</v>
      </c>
      <c r="R532" s="71">
        <v>41320</v>
      </c>
      <c r="S532" s="99">
        <f>+I532-[1]Data!W530</f>
        <v>-7.6385437549730969E-4</v>
      </c>
    </row>
    <row r="533" spans="3:19">
      <c r="C533" s="71">
        <v>41327</v>
      </c>
      <c r="D533" s="118">
        <f t="shared" si="48"/>
        <v>13.694754334017263</v>
      </c>
      <c r="E533" s="92">
        <f t="shared" si="49"/>
        <v>159.20984329819967</v>
      </c>
      <c r="F533" s="92">
        <f t="shared" si="50"/>
        <v>0</v>
      </c>
      <c r="G533" s="92">
        <f t="shared" si="52"/>
        <v>172.90459763221693</v>
      </c>
      <c r="H533" s="92">
        <f t="shared" si="51"/>
        <v>172.82682556071512</v>
      </c>
      <c r="I533" s="91">
        <f t="shared" si="53"/>
        <v>-2.2538204632759217E-4</v>
      </c>
      <c r="J533" s="115"/>
      <c r="K533" s="64"/>
      <c r="L533" s="119">
        <v>41327</v>
      </c>
      <c r="M533" s="117">
        <v>-3.4614619168112743E-3</v>
      </c>
      <c r="N533" s="117">
        <v>5.3957804996443662E-5</v>
      </c>
      <c r="O533" s="117">
        <v>3.3555170292490504E-4</v>
      </c>
      <c r="P533" s="89">
        <v>-4.5874141618822339E-3</v>
      </c>
      <c r="R533" s="71">
        <v>41327</v>
      </c>
      <c r="S533" s="99">
        <f>+I533-[1]Data!W531</f>
        <v>-2.5038204632759216E-4</v>
      </c>
    </row>
    <row r="534" spans="3:19">
      <c r="C534" s="71">
        <v>41334</v>
      </c>
      <c r="D534" s="118">
        <f t="shared" si="48"/>
        <v>13.691824034598408</v>
      </c>
      <c r="E534" s="92">
        <f t="shared" si="49"/>
        <v>159.8412193358827</v>
      </c>
      <c r="F534" s="92">
        <f t="shared" si="50"/>
        <v>0</v>
      </c>
      <c r="G534" s="92">
        <f t="shared" si="52"/>
        <v>173.5330433704811</v>
      </c>
      <c r="H534" s="92">
        <f t="shared" si="51"/>
        <v>173.45498862560012</v>
      </c>
      <c r="I534" s="91">
        <f t="shared" si="53"/>
        <v>3.6346386786137181E-3</v>
      </c>
      <c r="J534" s="115"/>
      <c r="K534" s="64"/>
      <c r="L534" s="119">
        <v>41334</v>
      </c>
      <c r="M534" s="117">
        <v>-2.1397239756068223E-4</v>
      </c>
      <c r="N534" s="117">
        <v>3.965684687601086E-3</v>
      </c>
      <c r="O534" s="117">
        <v>1.4032537597137535E-2</v>
      </c>
      <c r="P534" s="89">
        <v>-2.2618677372836124E-4</v>
      </c>
      <c r="R534" s="71">
        <v>41334</v>
      </c>
      <c r="S534" s="99">
        <f>+I534-[1]Data!W532</f>
        <v>3.6115617555367951E-3</v>
      </c>
    </row>
    <row r="535" spans="3:19">
      <c r="C535" s="71">
        <v>41341</v>
      </c>
      <c r="D535" s="118">
        <f t="shared" si="48"/>
        <v>13.955257952353444</v>
      </c>
      <c r="E535" s="92">
        <f t="shared" si="49"/>
        <v>158.58276233560289</v>
      </c>
      <c r="F535" s="92">
        <f t="shared" si="50"/>
        <v>0</v>
      </c>
      <c r="G535" s="92">
        <f t="shared" si="52"/>
        <v>172.53802028795633</v>
      </c>
      <c r="H535" s="92">
        <f t="shared" si="51"/>
        <v>172.46041310206095</v>
      </c>
      <c r="I535" s="91">
        <f t="shared" si="53"/>
        <v>-5.7339113243144845E-3</v>
      </c>
      <c r="J535" s="115"/>
      <c r="K535" s="64"/>
      <c r="L535" s="119">
        <v>41341</v>
      </c>
      <c r="M535" s="117">
        <v>1.9240235420010722E-2</v>
      </c>
      <c r="N535" s="117">
        <v>-7.8731694209322866E-3</v>
      </c>
      <c r="O535" s="117">
        <v>6.836475906935765E-3</v>
      </c>
      <c r="P535" s="89">
        <v>1.835355334973561E-2</v>
      </c>
      <c r="R535" s="71">
        <v>41341</v>
      </c>
      <c r="S535" s="99">
        <f>+I535-[1]Data!W533</f>
        <v>-5.7531420935452542E-3</v>
      </c>
    </row>
    <row r="536" spans="3:19">
      <c r="C536" s="71">
        <v>41348</v>
      </c>
      <c r="D536" s="118">
        <f t="shared" si="48"/>
        <v>14.109196348490608</v>
      </c>
      <c r="E536" s="92">
        <f t="shared" si="49"/>
        <v>158.59564756086172</v>
      </c>
      <c r="F536" s="92">
        <f t="shared" si="50"/>
        <v>0</v>
      </c>
      <c r="G536" s="92">
        <f t="shared" si="52"/>
        <v>172.70484390935232</v>
      </c>
      <c r="H536" s="92">
        <f t="shared" si="51"/>
        <v>172.62716168659389</v>
      </c>
      <c r="I536" s="91">
        <f t="shared" si="53"/>
        <v>9.6688034971978626E-4</v>
      </c>
      <c r="J536" s="115"/>
      <c r="K536" s="64"/>
      <c r="L536" s="119">
        <v>41348</v>
      </c>
      <c r="M536" s="117">
        <v>1.1030852791309697E-2</v>
      </c>
      <c r="N536" s="117">
        <v>8.1252369860713698E-5</v>
      </c>
      <c r="O536" s="117">
        <v>5.5306100098564829E-3</v>
      </c>
      <c r="P536" s="89">
        <v>6.8314357123020813E-3</v>
      </c>
      <c r="R536" s="71">
        <v>41348</v>
      </c>
      <c r="S536" s="99">
        <f>+I536-[1]Data!W534</f>
        <v>9.4764958048901705E-4</v>
      </c>
    </row>
    <row r="537" spans="3:19">
      <c r="C537" s="71">
        <v>41355</v>
      </c>
      <c r="D537" s="118">
        <f t="shared" si="48"/>
        <v>13.990519222026993</v>
      </c>
      <c r="E537" s="92">
        <f t="shared" si="49"/>
        <v>159.27426942449384</v>
      </c>
      <c r="F537" s="92">
        <f t="shared" si="50"/>
        <v>0</v>
      </c>
      <c r="G537" s="92">
        <f t="shared" si="52"/>
        <v>173.26478864652083</v>
      </c>
      <c r="H537" s="92">
        <f t="shared" si="51"/>
        <v>173.18685456196849</v>
      </c>
      <c r="I537" s="91">
        <f t="shared" si="53"/>
        <v>3.2422063243484332E-3</v>
      </c>
      <c r="J537" s="115"/>
      <c r="K537" s="64"/>
      <c r="L537" s="119">
        <v>41355</v>
      </c>
      <c r="M537" s="117">
        <v>-8.4113314133806572E-3</v>
      </c>
      <c r="N537" s="117">
        <v>4.2789438050101127E-3</v>
      </c>
      <c r="O537" s="117">
        <v>-1.0782551870609322E-2</v>
      </c>
      <c r="P537" s="89">
        <v>-1.0508605472197712E-2</v>
      </c>
      <c r="R537" s="71">
        <v>41355</v>
      </c>
      <c r="S537" s="99">
        <f>+I537-[1]Data!W535</f>
        <v>3.2287447858868946E-3</v>
      </c>
    </row>
    <row r="538" spans="3:19">
      <c r="C538" s="71">
        <v>41362</v>
      </c>
      <c r="D538" s="118">
        <f t="shared" si="48"/>
        <v>14.011812731137336</v>
      </c>
      <c r="E538" s="92">
        <f t="shared" si="49"/>
        <v>159.66082618225897</v>
      </c>
      <c r="F538" s="92">
        <f t="shared" si="50"/>
        <v>0</v>
      </c>
      <c r="G538" s="92">
        <f t="shared" si="52"/>
        <v>173.6726389133963</v>
      </c>
      <c r="H538" s="92">
        <f t="shared" si="51"/>
        <v>173.59452137877642</v>
      </c>
      <c r="I538" s="91">
        <f t="shared" si="53"/>
        <v>2.3539131641314255E-3</v>
      </c>
      <c r="J538" s="115"/>
      <c r="K538" s="64"/>
      <c r="L538" s="119">
        <v>41362</v>
      </c>
      <c r="M538" s="117">
        <v>1.5219956294988332E-3</v>
      </c>
      <c r="N538" s="117">
        <v>2.426988107758364E-3</v>
      </c>
      <c r="O538" s="117">
        <v>1.2496559317368466E-2</v>
      </c>
      <c r="P538" s="89">
        <v>3.6515679442508772E-3</v>
      </c>
      <c r="R538" s="71">
        <v>41362</v>
      </c>
      <c r="S538" s="99">
        <f>+I538-[1]Data!W536</f>
        <v>2.33852854874681E-3</v>
      </c>
    </row>
    <row r="539" spans="3:19">
      <c r="C539" s="71">
        <v>41369</v>
      </c>
      <c r="D539" s="118">
        <f t="shared" si="48"/>
        <v>13.861390694302797</v>
      </c>
      <c r="E539" s="92">
        <f t="shared" si="49"/>
        <v>160.57138210055018</v>
      </c>
      <c r="F539" s="92">
        <f t="shared" si="50"/>
        <v>0</v>
      </c>
      <c r="G539" s="92">
        <f t="shared" si="52"/>
        <v>174.43277279485298</v>
      </c>
      <c r="H539" s="92">
        <f t="shared" si="51"/>
        <v>174.3543133538443</v>
      </c>
      <c r="I539" s="91">
        <f t="shared" si="53"/>
        <v>4.3768200115604332E-3</v>
      </c>
      <c r="J539" s="115"/>
      <c r="K539" s="64"/>
      <c r="L539" s="119">
        <v>41369</v>
      </c>
      <c r="M539" s="117">
        <v>-1.0735373054213697E-2</v>
      </c>
      <c r="N539" s="117">
        <v>5.7030640518656132E-3</v>
      </c>
      <c r="O539" s="117">
        <v>2.8545019573727709E-2</v>
      </c>
      <c r="P539" s="89">
        <v>-1.2609009609509583E-2</v>
      </c>
      <c r="R539" s="71">
        <v>41369</v>
      </c>
      <c r="S539" s="99">
        <f>+I539-[1]Data!W537</f>
        <v>4.3633584730988946E-3</v>
      </c>
    </row>
    <row r="540" spans="3:19">
      <c r="C540" s="71">
        <v>41376</v>
      </c>
      <c r="D540" s="118">
        <f t="shared" si="48"/>
        <v>14.226994385128563</v>
      </c>
      <c r="E540" s="92">
        <f t="shared" si="49"/>
        <v>160.24925146907924</v>
      </c>
      <c r="F540" s="92">
        <f t="shared" si="50"/>
        <v>0</v>
      </c>
      <c r="G540" s="92">
        <f t="shared" si="52"/>
        <v>174.4762458542078</v>
      </c>
      <c r="H540" s="92">
        <f t="shared" si="51"/>
        <v>174.39776685912176</v>
      </c>
      <c r="I540" s="91">
        <f t="shared" si="53"/>
        <v>2.4922529555817754E-4</v>
      </c>
      <c r="J540" s="115"/>
      <c r="K540" s="64"/>
      <c r="L540" s="119">
        <v>41376</v>
      </c>
      <c r="M540" s="117">
        <v>2.6375686169500649E-2</v>
      </c>
      <c r="N540" s="117">
        <v>-2.006152200080246E-3</v>
      </c>
      <c r="O540" s="117">
        <v>3.0924565205899576E-2</v>
      </c>
      <c r="P540" s="89">
        <v>2.458370837083711E-2</v>
      </c>
      <c r="R540" s="71">
        <v>41376</v>
      </c>
      <c r="S540" s="99">
        <f>+I540-[1]Data!W538</f>
        <v>2.3576375709663907E-4</v>
      </c>
    </row>
    <row r="541" spans="3:19">
      <c r="C541" s="71">
        <v>41383</v>
      </c>
      <c r="D541" s="118">
        <f t="shared" si="48"/>
        <v>13.892061161553475</v>
      </c>
      <c r="E541" s="92">
        <f t="shared" si="49"/>
        <v>160.29220221994203</v>
      </c>
      <c r="F541" s="92">
        <f t="shared" si="50"/>
        <v>0</v>
      </c>
      <c r="G541" s="92">
        <f t="shared" si="52"/>
        <v>174.1842633814955</v>
      </c>
      <c r="H541" s="92">
        <f t="shared" si="51"/>
        <v>174.10591571942231</v>
      </c>
      <c r="I541" s="91">
        <f t="shared" si="53"/>
        <v>-1.6734797982545441E-3</v>
      </c>
      <c r="J541" s="115"/>
      <c r="K541" s="64"/>
      <c r="L541" s="119">
        <v>41383</v>
      </c>
      <c r="M541" s="117">
        <v>-2.3542092905103854E-2</v>
      </c>
      <c r="N541" s="117">
        <v>2.6802465826846925E-4</v>
      </c>
      <c r="O541" s="117">
        <v>-5.435339965131793E-3</v>
      </c>
      <c r="P541" s="89">
        <v>-2.1715258331960599E-2</v>
      </c>
      <c r="R541" s="71">
        <v>41383</v>
      </c>
      <c r="S541" s="99">
        <f>+I541-[1]Data!W539</f>
        <v>-1.6850182597930056E-3</v>
      </c>
    </row>
    <row r="542" spans="3:19">
      <c r="C542" s="71">
        <v>41390</v>
      </c>
      <c r="D542" s="118">
        <f t="shared" si="48"/>
        <v>14.239301642687753</v>
      </c>
      <c r="E542" s="92">
        <f t="shared" si="49"/>
        <v>160.9149881074525</v>
      </c>
      <c r="F542" s="92">
        <f t="shared" si="50"/>
        <v>0</v>
      </c>
      <c r="G542" s="92">
        <f t="shared" si="52"/>
        <v>175.15428975014026</v>
      </c>
      <c r="H542" s="92">
        <f t="shared" si="51"/>
        <v>175.07550577254318</v>
      </c>
      <c r="I542" s="91">
        <f t="shared" si="53"/>
        <v>5.5689667356472582E-3</v>
      </c>
      <c r="J542" s="115"/>
      <c r="K542" s="64"/>
      <c r="L542" s="119">
        <v>41390</v>
      </c>
      <c r="M542" s="117">
        <v>2.4995605554578981E-2</v>
      </c>
      <c r="N542" s="117">
        <v>3.8853161843515238E-3</v>
      </c>
      <c r="O542" s="117">
        <v>5.5166013611053473E-3</v>
      </c>
      <c r="P542" s="89">
        <v>2.329170759085156E-2</v>
      </c>
      <c r="R542" s="71">
        <v>41390</v>
      </c>
      <c r="S542" s="99">
        <f>+I542-[1]Data!W540</f>
        <v>5.5593513510318734E-3</v>
      </c>
    </row>
    <row r="543" spans="3:19">
      <c r="C543" s="71">
        <v>41397</v>
      </c>
      <c r="D543" s="118">
        <f t="shared" si="48"/>
        <v>14.480172254917607</v>
      </c>
      <c r="E543" s="92">
        <f t="shared" si="49"/>
        <v>160.58426732580901</v>
      </c>
      <c r="F543" s="92">
        <f t="shared" si="50"/>
        <v>0</v>
      </c>
      <c r="G543" s="92">
        <f t="shared" si="52"/>
        <v>175.06443958072663</v>
      </c>
      <c r="H543" s="92">
        <f t="shared" si="51"/>
        <v>174.9856960175193</v>
      </c>
      <c r="I543" s="91">
        <f t="shared" si="53"/>
        <v>-5.1297727016455952E-4</v>
      </c>
      <c r="J543" s="115"/>
      <c r="K543" s="64"/>
      <c r="L543" s="119">
        <v>41397</v>
      </c>
      <c r="M543" s="117">
        <v>1.6915900672245906E-2</v>
      </c>
      <c r="N543" s="117">
        <v>-2.0552515681302066E-3</v>
      </c>
      <c r="O543" s="117">
        <v>9.9471876121622199E-3</v>
      </c>
      <c r="P543" s="89">
        <v>1.7221993692582011E-2</v>
      </c>
      <c r="R543" s="71">
        <v>41397</v>
      </c>
      <c r="S543" s="99">
        <f>+I543-[1]Data!W541</f>
        <v>-5.2259265477994413E-4</v>
      </c>
    </row>
    <row r="544" spans="3:19">
      <c r="C544" s="71">
        <v>41404</v>
      </c>
      <c r="D544" s="118">
        <f t="shared" si="48"/>
        <v>14.610863608998525</v>
      </c>
      <c r="E544" s="92">
        <f t="shared" si="49"/>
        <v>159.02945014457592</v>
      </c>
      <c r="F544" s="92">
        <f t="shared" si="50"/>
        <v>0</v>
      </c>
      <c r="G544" s="92">
        <f t="shared" si="52"/>
        <v>173.64031375357445</v>
      </c>
      <c r="H544" s="92">
        <f t="shared" si="51"/>
        <v>173.56221075873356</v>
      </c>
      <c r="I544" s="91">
        <f t="shared" si="53"/>
        <v>-8.1348663986982612E-3</v>
      </c>
      <c r="J544" s="115"/>
      <c r="K544" s="64"/>
      <c r="L544" s="119">
        <v>41404</v>
      </c>
      <c r="M544" s="117">
        <v>9.0255386317336598E-3</v>
      </c>
      <c r="N544" s="117">
        <v>-9.682250989622351E-3</v>
      </c>
      <c r="O544" s="117">
        <v>-2.8938417017819627E-3</v>
      </c>
      <c r="P544" s="89">
        <v>8.9235165664680732E-3</v>
      </c>
      <c r="R544" s="71">
        <v>41404</v>
      </c>
      <c r="S544" s="99">
        <f>+I544-[1]Data!W542</f>
        <v>-8.1425587063905687E-3</v>
      </c>
    </row>
    <row r="545" spans="3:19">
      <c r="C545" s="71">
        <v>41411</v>
      </c>
      <c r="D545" s="118">
        <f t="shared" si="48"/>
        <v>14.778281382462421</v>
      </c>
      <c r="E545" s="92">
        <f t="shared" si="49"/>
        <v>158.25204155395937</v>
      </c>
      <c r="F545" s="92">
        <f t="shared" si="50"/>
        <v>0</v>
      </c>
      <c r="G545" s="92">
        <f t="shared" si="52"/>
        <v>173.03032293642178</v>
      </c>
      <c r="H545" s="92">
        <f t="shared" si="51"/>
        <v>172.95249431398102</v>
      </c>
      <c r="I545" s="91">
        <f t="shared" si="53"/>
        <v>-3.5129562022005716E-3</v>
      </c>
      <c r="J545" s="115"/>
      <c r="K545" s="64"/>
      <c r="L545" s="119">
        <v>41411</v>
      </c>
      <c r="M545" s="117">
        <v>1.1458444753449634E-2</v>
      </c>
      <c r="N545" s="117">
        <v>-4.8884567601145202E-3</v>
      </c>
      <c r="O545" s="117">
        <v>2.3930753564154728E-3</v>
      </c>
      <c r="P545" s="89">
        <v>9.5393330483112253E-3</v>
      </c>
      <c r="R545" s="71">
        <v>41411</v>
      </c>
      <c r="S545" s="99">
        <f>+I545-[1]Data!W543</f>
        <v>-3.5206485098928791E-3</v>
      </c>
    </row>
    <row r="546" spans="3:19">
      <c r="C546" s="71">
        <v>41418</v>
      </c>
      <c r="D546" s="118">
        <f t="shared" si="48"/>
        <v>14.580583848337026</v>
      </c>
      <c r="E546" s="92">
        <f t="shared" si="49"/>
        <v>158.21338587818286</v>
      </c>
      <c r="F546" s="92">
        <f t="shared" si="50"/>
        <v>0</v>
      </c>
      <c r="G546" s="92">
        <f t="shared" si="52"/>
        <v>172.79396972651989</v>
      </c>
      <c r="H546" s="92">
        <f t="shared" si="51"/>
        <v>172.71624741518357</v>
      </c>
      <c r="I546" s="91">
        <f t="shared" si="53"/>
        <v>-1.3659641032326476E-3</v>
      </c>
      <c r="J546" s="115"/>
      <c r="K546" s="64"/>
      <c r="L546" s="119">
        <v>41418</v>
      </c>
      <c r="M546" s="117">
        <v>-1.3377572737247028E-2</v>
      </c>
      <c r="N546" s="117">
        <v>-2.4426652191606731E-4</v>
      </c>
      <c r="O546" s="117">
        <v>-4.3937623812668289E-2</v>
      </c>
      <c r="P546" s="89">
        <v>-1.3948810248537577E-2</v>
      </c>
      <c r="R546" s="71">
        <v>41418</v>
      </c>
      <c r="S546" s="99">
        <f>+I546-[1]Data!W544</f>
        <v>-1.3736564109249553E-3</v>
      </c>
    </row>
    <row r="547" spans="3:19">
      <c r="C547" s="71">
        <v>41425</v>
      </c>
      <c r="D547" s="118">
        <f t="shared" si="48"/>
        <v>14.377318745315808</v>
      </c>
      <c r="E547" s="92">
        <f t="shared" si="49"/>
        <v>157.36725608618585</v>
      </c>
      <c r="F547" s="92">
        <f t="shared" si="50"/>
        <v>0</v>
      </c>
      <c r="G547" s="92">
        <f t="shared" si="52"/>
        <v>171.74457483150167</v>
      </c>
      <c r="H547" s="92">
        <f t="shared" si="51"/>
        <v>171.6673245354612</v>
      </c>
      <c r="I547" s="91">
        <f t="shared" si="53"/>
        <v>-6.073099059412273E-3</v>
      </c>
      <c r="J547" s="115"/>
      <c r="K547" s="64"/>
      <c r="L547" s="119">
        <v>41425</v>
      </c>
      <c r="M547" s="117">
        <v>-1.3940806838431304E-2</v>
      </c>
      <c r="N547" s="117">
        <v>-5.3480291019655426E-3</v>
      </c>
      <c r="O547" s="117">
        <v>-4.3512910423971936E-2</v>
      </c>
      <c r="P547" s="89">
        <v>-1.4360874000107431E-2</v>
      </c>
      <c r="R547" s="71">
        <v>41425</v>
      </c>
      <c r="S547" s="99">
        <f>+I547-[1]Data!W545</f>
        <v>-6.0827144440276579E-3</v>
      </c>
    </row>
    <row r="548" spans="3:19">
      <c r="C548" s="71">
        <v>41432</v>
      </c>
      <c r="D548" s="118">
        <f t="shared" si="48"/>
        <v>14.360616038628336</v>
      </c>
      <c r="E548" s="92">
        <f t="shared" si="49"/>
        <v>158.01581242421403</v>
      </c>
      <c r="F548" s="92">
        <f t="shared" si="50"/>
        <v>0</v>
      </c>
      <c r="G548" s="92">
        <f t="shared" si="52"/>
        <v>172.37642846284237</v>
      </c>
      <c r="H548" s="92">
        <f t="shared" si="51"/>
        <v>172.2988939605606</v>
      </c>
      <c r="I548" s="91">
        <f t="shared" si="53"/>
        <v>3.6790310958037739E-3</v>
      </c>
      <c r="J548" s="115"/>
      <c r="K548" s="64"/>
      <c r="L548" s="119">
        <v>41432</v>
      </c>
      <c r="M548" s="117">
        <v>-1.1617400283981142E-3</v>
      </c>
      <c r="N548" s="117">
        <v>4.1212915199650398E-3</v>
      </c>
      <c r="O548" s="117">
        <v>-1.0831528078653495E-2</v>
      </c>
      <c r="P548" s="89">
        <v>-4.3029494267272641E-3</v>
      </c>
      <c r="R548" s="71">
        <v>41432</v>
      </c>
      <c r="S548" s="99">
        <f>+I548-[1]Data!W546</f>
        <v>3.6694157111883891E-3</v>
      </c>
    </row>
    <row r="549" spans="3:19">
      <c r="C549" s="71">
        <v>41439</v>
      </c>
      <c r="D549" s="118">
        <f t="shared" si="48"/>
        <v>14.298200661006732</v>
      </c>
      <c r="E549" s="92">
        <f t="shared" si="49"/>
        <v>158.99079446879944</v>
      </c>
      <c r="F549" s="92">
        <f t="shared" si="50"/>
        <v>0</v>
      </c>
      <c r="G549" s="92">
        <f t="shared" si="52"/>
        <v>173.28899512980615</v>
      </c>
      <c r="H549" s="92">
        <f t="shared" si="51"/>
        <v>173.21105015723589</v>
      </c>
      <c r="I549" s="91">
        <f t="shared" si="53"/>
        <v>5.2940339645133018E-3</v>
      </c>
      <c r="J549" s="115"/>
      <c r="K549" s="64"/>
      <c r="L549" s="119">
        <v>41439</v>
      </c>
      <c r="M549" s="117">
        <v>-4.3462883105930402E-3</v>
      </c>
      <c r="N549" s="117">
        <v>6.1701549334059226E-3</v>
      </c>
      <c r="O549" s="117">
        <v>-6.176999101527531E-3</v>
      </c>
      <c r="P549" s="89">
        <v>-7.0019966631109714E-3</v>
      </c>
      <c r="R549" s="71">
        <v>41439</v>
      </c>
      <c r="S549" s="99">
        <f>+I549-[1]Data!W547</f>
        <v>5.2844185798979169E-3</v>
      </c>
    </row>
    <row r="550" spans="3:19">
      <c r="C550" s="71">
        <v>41446</v>
      </c>
      <c r="D550" s="118">
        <f t="shared" si="48"/>
        <v>13.881707436940189</v>
      </c>
      <c r="E550" s="92">
        <f t="shared" si="49"/>
        <v>155.41299692192879</v>
      </c>
      <c r="F550" s="92">
        <f t="shared" si="50"/>
        <v>0</v>
      </c>
      <c r="G550" s="92">
        <f t="shared" si="52"/>
        <v>169.29470435886898</v>
      </c>
      <c r="H550" s="92">
        <f t="shared" si="51"/>
        <v>169.21855600866556</v>
      </c>
      <c r="I550" s="91">
        <f t="shared" si="53"/>
        <v>-2.304988131499729E-2</v>
      </c>
      <c r="J550" s="115"/>
      <c r="K550" s="64"/>
      <c r="L550" s="119">
        <v>41446</v>
      </c>
      <c r="M550" s="117">
        <v>-2.9129065533565972E-2</v>
      </c>
      <c r="N550" s="117">
        <v>-2.2503174217251641E-2</v>
      </c>
      <c r="O550" s="117">
        <v>-5.1587750028251757E-2</v>
      </c>
      <c r="P550" s="89">
        <v>-3.2116788321167954E-2</v>
      </c>
      <c r="R550" s="71">
        <v>41446</v>
      </c>
      <c r="S550" s="99">
        <f>+I550-[1]Data!W548</f>
        <v>-2.3059496699612676E-2</v>
      </c>
    </row>
    <row r="551" spans="3:19">
      <c r="C551" s="71">
        <v>41453</v>
      </c>
      <c r="D551" s="118">
        <f t="shared" si="48"/>
        <v>14.002435772997</v>
      </c>
      <c r="E551" s="92">
        <f t="shared" si="49"/>
        <v>155.37004617106604</v>
      </c>
      <c r="F551" s="92">
        <f t="shared" si="50"/>
        <v>0</v>
      </c>
      <c r="G551" s="92">
        <f t="shared" si="52"/>
        <v>169.37248194406303</v>
      </c>
      <c r="H551" s="92">
        <f t="shared" si="51"/>
        <v>169.29629860968913</v>
      </c>
      <c r="I551" s="91">
        <f t="shared" si="53"/>
        <v>4.5942125294812079E-4</v>
      </c>
      <c r="J551" s="115"/>
      <c r="K551" s="64"/>
      <c r="L551" s="119">
        <v>41453</v>
      </c>
      <c r="M551" s="117">
        <v>8.696937073860567E-3</v>
      </c>
      <c r="N551" s="117">
        <v>-2.7636524430678171E-4</v>
      </c>
      <c r="O551" s="117">
        <v>3.9261245159368505E-2</v>
      </c>
      <c r="P551" s="89">
        <v>1.2578616352201304E-2</v>
      </c>
      <c r="R551" s="71">
        <v>41453</v>
      </c>
      <c r="S551" s="99">
        <f>+I551-[1]Data!W549</f>
        <v>4.4788279140965925E-4</v>
      </c>
    </row>
    <row r="552" spans="3:19">
      <c r="C552" s="71">
        <v>41460</v>
      </c>
      <c r="D552" s="118">
        <f t="shared" si="48"/>
        <v>14.15383457630449</v>
      </c>
      <c r="E552" s="92">
        <f t="shared" si="49"/>
        <v>153.57040970991503</v>
      </c>
      <c r="F552" s="92">
        <f t="shared" si="50"/>
        <v>0</v>
      </c>
      <c r="G552" s="92">
        <f t="shared" si="52"/>
        <v>167.72424428621952</v>
      </c>
      <c r="H552" s="92">
        <f t="shared" si="51"/>
        <v>167.64880232517362</v>
      </c>
      <c r="I552" s="91">
        <f t="shared" si="53"/>
        <v>-9.7314371196844506E-3</v>
      </c>
      <c r="J552" s="115"/>
      <c r="K552" s="64"/>
      <c r="L552" s="119">
        <v>41460</v>
      </c>
      <c r="M552" s="117">
        <v>1.0812319068047853E-2</v>
      </c>
      <c r="N552" s="117">
        <v>-1.1582904848786414E-2</v>
      </c>
      <c r="O552" s="117">
        <v>5.6753038293969795E-3</v>
      </c>
      <c r="P552" s="89">
        <v>6.8575925353418898E-3</v>
      </c>
      <c r="R552" s="71">
        <v>41460</v>
      </c>
      <c r="S552" s="99">
        <f>+I552-[1]Data!W550</f>
        <v>-9.7391294273767581E-3</v>
      </c>
    </row>
    <row r="553" spans="3:19">
      <c r="C553" s="71">
        <v>41467</v>
      </c>
      <c r="D553" s="118">
        <f t="shared" si="48"/>
        <v>14.634989740880425</v>
      </c>
      <c r="E553" s="92">
        <f t="shared" si="49"/>
        <v>155.31421019494442</v>
      </c>
      <c r="F553" s="92">
        <f t="shared" si="50"/>
        <v>0</v>
      </c>
      <c r="G553" s="92">
        <f t="shared" si="52"/>
        <v>169.94919993582485</v>
      </c>
      <c r="H553" s="92">
        <f t="shared" si="51"/>
        <v>169.87275719508747</v>
      </c>
      <c r="I553" s="91">
        <f t="shared" si="53"/>
        <v>1.3265557755672149E-2</v>
      </c>
      <c r="J553" s="115"/>
      <c r="K553" s="64"/>
      <c r="L553" s="119">
        <v>41467</v>
      </c>
      <c r="M553" s="117">
        <v>3.3994686173700002E-2</v>
      </c>
      <c r="N553" s="117">
        <v>1.1355055237029793E-2</v>
      </c>
      <c r="O553" s="117">
        <v>2.576526249786229E-2</v>
      </c>
      <c r="P553" s="89">
        <v>3.3579902302861057E-2</v>
      </c>
      <c r="R553" s="71">
        <v>41467</v>
      </c>
      <c r="S553" s="99">
        <f>+I553-[1]Data!W551</f>
        <v>1.3257865447979841E-2</v>
      </c>
    </row>
    <row r="554" spans="3:19">
      <c r="C554" s="71">
        <v>41474</v>
      </c>
      <c r="D554" s="118">
        <f t="shared" si="48"/>
        <v>14.783555921416356</v>
      </c>
      <c r="E554" s="92">
        <f t="shared" si="49"/>
        <v>156.20329073780422</v>
      </c>
      <c r="F554" s="92">
        <f t="shared" si="50"/>
        <v>0</v>
      </c>
      <c r="G554" s="92">
        <f t="shared" si="52"/>
        <v>170.98684665922059</v>
      </c>
      <c r="H554" s="92">
        <f t="shared" si="51"/>
        <v>170.90993718748663</v>
      </c>
      <c r="I554" s="91">
        <f t="shared" si="53"/>
        <v>6.1056287631101941E-3</v>
      </c>
      <c r="J554" s="115"/>
      <c r="K554" s="64"/>
      <c r="L554" s="119">
        <v>41474</v>
      </c>
      <c r="M554" s="117">
        <v>1.0151437286008928E-2</v>
      </c>
      <c r="N554" s="117">
        <v>5.7243992146234707E-3</v>
      </c>
      <c r="O554" s="117">
        <v>3.9455404278966825E-3</v>
      </c>
      <c r="P554" s="89">
        <v>9.6413524900076982E-3</v>
      </c>
      <c r="R554" s="71">
        <v>41474</v>
      </c>
      <c r="S554" s="99">
        <f>+I554-[1]Data!W552</f>
        <v>6.099859532340963E-3</v>
      </c>
    </row>
    <row r="555" spans="3:19">
      <c r="C555" s="71">
        <v>41481</v>
      </c>
      <c r="D555" s="118">
        <f t="shared" si="48"/>
        <v>14.809830939538754</v>
      </c>
      <c r="E555" s="92">
        <f t="shared" si="49"/>
        <v>156.52971644436144</v>
      </c>
      <c r="F555" s="92">
        <f t="shared" si="50"/>
        <v>0</v>
      </c>
      <c r="G555" s="92">
        <f t="shared" si="52"/>
        <v>171.3395473839002</v>
      </c>
      <c r="H555" s="92">
        <f t="shared" si="51"/>
        <v>171.26247926822992</v>
      </c>
      <c r="I555" s="91">
        <f t="shared" si="53"/>
        <v>2.0627360032117702E-3</v>
      </c>
      <c r="J555" s="115"/>
      <c r="K555" s="64"/>
      <c r="L555" s="119">
        <v>41481</v>
      </c>
      <c r="M555" s="117">
        <v>1.7773138115122725E-3</v>
      </c>
      <c r="N555" s="117">
        <v>2.0897492300923637E-3</v>
      </c>
      <c r="O555" s="117">
        <v>-6.7530167164839968E-3</v>
      </c>
      <c r="P555" s="89">
        <v>2.8353617761134203E-3</v>
      </c>
      <c r="R555" s="71">
        <v>41481</v>
      </c>
      <c r="S555" s="99">
        <f>+I555-[1]Data!W553</f>
        <v>2.0569667724425395E-3</v>
      </c>
    </row>
    <row r="556" spans="3:19">
      <c r="C556" s="71">
        <v>41488</v>
      </c>
      <c r="D556" s="118">
        <f t="shared" si="48"/>
        <v>14.982132545367408</v>
      </c>
      <c r="E556" s="92">
        <f t="shared" si="49"/>
        <v>156.33214299039261</v>
      </c>
      <c r="F556" s="92">
        <f t="shared" si="50"/>
        <v>0</v>
      </c>
      <c r="G556" s="92">
        <f t="shared" si="52"/>
        <v>171.31427553576003</v>
      </c>
      <c r="H556" s="92">
        <f t="shared" si="51"/>
        <v>171.23721878730615</v>
      </c>
      <c r="I556" s="91">
        <f t="shared" si="53"/>
        <v>-1.4749570969490566E-4</v>
      </c>
      <c r="J556" s="115"/>
      <c r="K556" s="64"/>
      <c r="L556" s="119">
        <v>41488</v>
      </c>
      <c r="M556" s="117">
        <v>1.1634272297372971E-2</v>
      </c>
      <c r="N556" s="117">
        <v>-1.2622105147623191E-3</v>
      </c>
      <c r="O556" s="117">
        <v>-1.5046812304948667E-2</v>
      </c>
      <c r="P556" s="89">
        <v>9.6556506894986734E-3</v>
      </c>
      <c r="R556" s="71">
        <v>41488</v>
      </c>
      <c r="S556" s="99">
        <f>+I556-[1]Data!W554</f>
        <v>-1.5518801738721337E-4</v>
      </c>
    </row>
    <row r="557" spans="3:19">
      <c r="C557" s="71">
        <v>41495</v>
      </c>
      <c r="D557" s="118">
        <f t="shared" si="48"/>
        <v>14.914247275497278</v>
      </c>
      <c r="E557" s="92">
        <f t="shared" si="49"/>
        <v>157.18686293256218</v>
      </c>
      <c r="F557" s="92">
        <f t="shared" si="50"/>
        <v>0</v>
      </c>
      <c r="G557" s="92">
        <f t="shared" si="52"/>
        <v>172.10111020805945</v>
      </c>
      <c r="H557" s="92">
        <f t="shared" si="51"/>
        <v>172.02369954326542</v>
      </c>
      <c r="I557" s="91">
        <f t="shared" si="53"/>
        <v>4.5929311485499134E-3</v>
      </c>
      <c r="J557" s="115"/>
      <c r="K557" s="64"/>
      <c r="L557" s="119">
        <v>41495</v>
      </c>
      <c r="M557" s="117">
        <v>-4.5310819180492349E-3</v>
      </c>
      <c r="N557" s="117">
        <v>5.4673333699654077E-3</v>
      </c>
      <c r="O557" s="117">
        <v>-2.8290143713936497E-4</v>
      </c>
      <c r="P557" s="89">
        <v>-4.491057511954109E-3</v>
      </c>
      <c r="R557" s="71">
        <v>41495</v>
      </c>
      <c r="S557" s="99">
        <f>+I557-[1]Data!W555</f>
        <v>4.5833157639345286E-3</v>
      </c>
    </row>
    <row r="558" spans="3:19">
      <c r="C558" s="71">
        <v>41502</v>
      </c>
      <c r="D558" s="118">
        <f t="shared" si="48"/>
        <v>14.737452543893045</v>
      </c>
      <c r="E558" s="92">
        <f t="shared" si="49"/>
        <v>155.32280034511697</v>
      </c>
      <c r="F558" s="92">
        <f t="shared" si="50"/>
        <v>0</v>
      </c>
      <c r="G558" s="92">
        <f t="shared" si="52"/>
        <v>170.06025288901003</v>
      </c>
      <c r="H558" s="92">
        <f t="shared" si="51"/>
        <v>169.98376019692182</v>
      </c>
      <c r="I558" s="91">
        <f t="shared" si="53"/>
        <v>-1.1858478522202339E-2</v>
      </c>
      <c r="J558" s="115"/>
      <c r="K558" s="64"/>
      <c r="L558" s="119">
        <v>41502</v>
      </c>
      <c r="M558" s="117">
        <v>-1.1854083437029364E-2</v>
      </c>
      <c r="N558" s="117">
        <v>-1.1858895537885706E-2</v>
      </c>
      <c r="O558" s="117">
        <v>-3.718376818156089E-2</v>
      </c>
      <c r="P558" s="89">
        <v>-9.7922139957009741E-3</v>
      </c>
      <c r="R558" s="71">
        <v>41502</v>
      </c>
      <c r="S558" s="99">
        <f>+I558-[1]Data!W556</f>
        <v>-1.1868093906817723E-2</v>
      </c>
    </row>
    <row r="559" spans="3:19">
      <c r="C559" s="71">
        <v>41509</v>
      </c>
      <c r="D559" s="118">
        <f t="shared" si="48"/>
        <v>14.734424567826897</v>
      </c>
      <c r="E559" s="92">
        <f t="shared" si="49"/>
        <v>155.27555451916788</v>
      </c>
      <c r="F559" s="92">
        <f t="shared" si="50"/>
        <v>0</v>
      </c>
      <c r="G559" s="92">
        <f t="shared" si="52"/>
        <v>170.00997908699478</v>
      </c>
      <c r="H559" s="92">
        <f t="shared" si="51"/>
        <v>169.93350900794164</v>
      </c>
      <c r="I559" s="91">
        <f t="shared" si="53"/>
        <v>-2.9562346968892237E-4</v>
      </c>
      <c r="J559" s="115"/>
      <c r="K559" s="64"/>
      <c r="L559" s="119">
        <v>41509</v>
      </c>
      <c r="M559" s="117">
        <v>-2.0546129374333604E-4</v>
      </c>
      <c r="N559" s="117">
        <v>-3.0417830379120552E-4</v>
      </c>
      <c r="O559" s="117">
        <v>1.4695509052433575E-3</v>
      </c>
      <c r="P559" s="89">
        <v>-3.1087527469581609E-3</v>
      </c>
      <c r="R559" s="71">
        <v>41509</v>
      </c>
      <c r="S559" s="99">
        <f>+I559-[1]Data!W557</f>
        <v>-3.0331577738123005E-4</v>
      </c>
    </row>
    <row r="560" spans="3:19">
      <c r="C560" s="71">
        <v>41516</v>
      </c>
      <c r="D560" s="118">
        <f t="shared" si="48"/>
        <v>14.385230553746718</v>
      </c>
      <c r="E560" s="92">
        <f t="shared" si="49"/>
        <v>155.7050620277958</v>
      </c>
      <c r="F560" s="92">
        <f t="shared" si="50"/>
        <v>0</v>
      </c>
      <c r="G560" s="92">
        <f t="shared" si="52"/>
        <v>170.09029258154251</v>
      </c>
      <c r="H560" s="92">
        <f t="shared" si="51"/>
        <v>170.013786377673</v>
      </c>
      <c r="I560" s="91">
        <f t="shared" si="53"/>
        <v>4.72404590477861E-4</v>
      </c>
      <c r="J560" s="115"/>
      <c r="K560" s="64"/>
      <c r="L560" s="119">
        <v>41516</v>
      </c>
      <c r="M560" s="117">
        <v>-2.3699195884626347E-2</v>
      </c>
      <c r="N560" s="117">
        <v>2.7660986944014164E-3</v>
      </c>
      <c r="O560" s="117">
        <v>-1.1973939073780549E-2</v>
      </c>
      <c r="P560" s="89">
        <v>-2.1506532609280069E-2</v>
      </c>
      <c r="R560" s="71">
        <v>41516</v>
      </c>
      <c r="S560" s="99">
        <f>+I560-[1]Data!W558</f>
        <v>4.6663535970863025E-4</v>
      </c>
    </row>
    <row r="561" spans="3:19">
      <c r="C561" s="71">
        <v>41523</v>
      </c>
      <c r="D561" s="118">
        <f t="shared" si="48"/>
        <v>14.674939489624148</v>
      </c>
      <c r="E561" s="92">
        <f t="shared" si="49"/>
        <v>154.34781830053157</v>
      </c>
      <c r="F561" s="92">
        <f t="shared" si="50"/>
        <v>0</v>
      </c>
      <c r="G561" s="92">
        <f t="shared" si="52"/>
        <v>169.02275779015571</v>
      </c>
      <c r="H561" s="92">
        <f t="shared" si="51"/>
        <v>168.94673176086377</v>
      </c>
      <c r="I561" s="91">
        <f t="shared" si="53"/>
        <v>-6.2762828800180213E-3</v>
      </c>
      <c r="J561" s="115"/>
      <c r="K561" s="64"/>
      <c r="L561" s="119">
        <v>41523</v>
      </c>
      <c r="M561" s="117">
        <v>2.0139332129228568E-2</v>
      </c>
      <c r="N561" s="117">
        <v>-8.7167604545955214E-3</v>
      </c>
      <c r="O561" s="117">
        <v>1.4376522307372347E-2</v>
      </c>
      <c r="P561" s="89">
        <v>2.1017638331776407E-2</v>
      </c>
      <c r="R561" s="71">
        <v>41523</v>
      </c>
      <c r="S561" s="99">
        <f>+I561-[1]Data!W559</f>
        <v>-6.2801290338641751E-3</v>
      </c>
    </row>
    <row r="562" spans="3:19">
      <c r="C562" s="71">
        <v>41530</v>
      </c>
      <c r="D562" s="118">
        <f t="shared" si="48"/>
        <v>14.980862748952573</v>
      </c>
      <c r="E562" s="92">
        <f t="shared" si="49"/>
        <v>154.94053866243809</v>
      </c>
      <c r="F562" s="92">
        <f t="shared" si="50"/>
        <v>0</v>
      </c>
      <c r="G562" s="92">
        <f t="shared" si="52"/>
        <v>169.92140141139066</v>
      </c>
      <c r="H562" s="92">
        <f t="shared" si="51"/>
        <v>169.84497117436268</v>
      </c>
      <c r="I562" s="91">
        <f t="shared" si="53"/>
        <v>5.3167019221794102E-3</v>
      </c>
      <c r="J562" s="115"/>
      <c r="K562" s="64"/>
      <c r="L562" s="119">
        <v>41530</v>
      </c>
      <c r="M562" s="117">
        <v>2.0846645367412098E-2</v>
      </c>
      <c r="N562" s="117">
        <v>3.8401602849510112E-3</v>
      </c>
      <c r="O562" s="117">
        <v>2.5944363103953188E-2</v>
      </c>
      <c r="P562" s="89">
        <v>2.2118774049457869E-2</v>
      </c>
      <c r="R562" s="71">
        <v>41530</v>
      </c>
      <c r="S562" s="99">
        <f>+I562-[1]Data!W560</f>
        <v>5.3128557683332564E-3</v>
      </c>
    </row>
    <row r="563" spans="3:19">
      <c r="C563" s="71">
        <v>41537</v>
      </c>
      <c r="D563" s="118">
        <f t="shared" si="48"/>
        <v>15.269399565062463</v>
      </c>
      <c r="E563" s="92">
        <f t="shared" si="49"/>
        <v>156.53830659453396</v>
      </c>
      <c r="F563" s="92">
        <f t="shared" si="50"/>
        <v>0</v>
      </c>
      <c r="G563" s="92">
        <f t="shared" si="52"/>
        <v>171.80770615959642</v>
      </c>
      <c r="H563" s="92">
        <f t="shared" si="51"/>
        <v>171.73042746723664</v>
      </c>
      <c r="I563" s="91">
        <f t="shared" si="53"/>
        <v>1.1101042791183652E-2</v>
      </c>
      <c r="J563" s="115"/>
      <c r="K563" s="64"/>
      <c r="L563" s="119">
        <v>41537</v>
      </c>
      <c r="M563" s="117">
        <v>1.9260360430847848E-2</v>
      </c>
      <c r="N563" s="117">
        <v>1.0312136164550564E-2</v>
      </c>
      <c r="O563" s="117">
        <v>3.1453362255965241E-2</v>
      </c>
      <c r="P563" s="89">
        <v>2.0086876398578372E-2</v>
      </c>
      <c r="R563" s="71">
        <v>41537</v>
      </c>
      <c r="S563" s="99">
        <f>+I563-[1]Data!W561</f>
        <v>1.1099119714260575E-2</v>
      </c>
    </row>
    <row r="564" spans="3:19">
      <c r="C564" s="71">
        <v>41544</v>
      </c>
      <c r="D564" s="118">
        <f t="shared" si="48"/>
        <v>15.18862097774937</v>
      </c>
      <c r="E564" s="92">
        <f t="shared" si="49"/>
        <v>157.69368179274309</v>
      </c>
      <c r="F564" s="92">
        <f t="shared" si="50"/>
        <v>0</v>
      </c>
      <c r="G564" s="92">
        <f t="shared" si="52"/>
        <v>172.88230277049246</v>
      </c>
      <c r="H564" s="92">
        <f t="shared" si="51"/>
        <v>172.80454072716572</v>
      </c>
      <c r="I564" s="91">
        <f t="shared" si="53"/>
        <v>6.2546473316966566E-3</v>
      </c>
      <c r="J564" s="115"/>
      <c r="K564" s="64"/>
      <c r="L564" s="119">
        <v>41544</v>
      </c>
      <c r="M564" s="117">
        <v>-5.2902268336680923E-3</v>
      </c>
      <c r="N564" s="117">
        <v>7.3807825275750364E-3</v>
      </c>
      <c r="O564" s="117">
        <v>-6.3644916708174536E-3</v>
      </c>
      <c r="P564" s="89">
        <v>-6.1680602869826654E-3</v>
      </c>
      <c r="R564" s="71">
        <v>41544</v>
      </c>
      <c r="S564" s="99">
        <f>+I564-[1]Data!W562</f>
        <v>6.2508011778505028E-3</v>
      </c>
    </row>
    <row r="565" spans="3:19">
      <c r="C565" s="71">
        <v>41551</v>
      </c>
      <c r="D565" s="118">
        <f t="shared" si="48"/>
        <v>15.115461168925298</v>
      </c>
      <c r="E565" s="92">
        <f t="shared" si="49"/>
        <v>157.9642715231787</v>
      </c>
      <c r="F565" s="92">
        <f t="shared" si="50"/>
        <v>0</v>
      </c>
      <c r="G565" s="92">
        <f t="shared" si="52"/>
        <v>173.07973269210399</v>
      </c>
      <c r="H565" s="92">
        <f t="shared" si="51"/>
        <v>173.00188184527411</v>
      </c>
      <c r="I565" s="91">
        <f t="shared" si="53"/>
        <v>1.1419903509362732E-3</v>
      </c>
      <c r="J565" s="115"/>
      <c r="K565" s="64"/>
      <c r="L565" s="119">
        <v>41551</v>
      </c>
      <c r="M565" s="117">
        <v>-4.8167512331269069E-3</v>
      </c>
      <c r="N565" s="117">
        <v>1.71591992373688E-3</v>
      </c>
      <c r="O565" s="117">
        <v>-1.4091567338754602E-2</v>
      </c>
      <c r="P565" s="89">
        <v>-3.3758342205716966E-3</v>
      </c>
      <c r="R565" s="71">
        <v>41551</v>
      </c>
      <c r="S565" s="99">
        <f>+I565-[1]Data!W563</f>
        <v>1.1381441970901194E-3</v>
      </c>
    </row>
    <row r="566" spans="3:19">
      <c r="C566" s="71">
        <v>41558</v>
      </c>
      <c r="D566" s="118">
        <f t="shared" si="48"/>
        <v>15.211672666511026</v>
      </c>
      <c r="E566" s="92">
        <f t="shared" si="49"/>
        <v>157.70227194291567</v>
      </c>
      <c r="F566" s="92">
        <f t="shared" si="50"/>
        <v>0</v>
      </c>
      <c r="G566" s="92">
        <f t="shared" si="52"/>
        <v>172.91394460942669</v>
      </c>
      <c r="H566" s="92">
        <f t="shared" si="51"/>
        <v>172.83616833367705</v>
      </c>
      <c r="I566" s="91">
        <f t="shared" si="53"/>
        <v>-9.5787115047262482E-4</v>
      </c>
      <c r="J566" s="115"/>
      <c r="K566" s="64"/>
      <c r="L566" s="119">
        <v>41558</v>
      </c>
      <c r="M566" s="117">
        <v>6.365105008077486E-3</v>
      </c>
      <c r="N566" s="117">
        <v>-1.6586002501494286E-3</v>
      </c>
      <c r="O566" s="117">
        <v>1.8699508502344513E-2</v>
      </c>
      <c r="P566" s="89">
        <v>7.3477683107949481E-3</v>
      </c>
      <c r="R566" s="71">
        <v>41558</v>
      </c>
      <c r="S566" s="99">
        <f>+I566-[1]Data!W564</f>
        <v>-9.6748653508800942E-4</v>
      </c>
    </row>
    <row r="567" spans="3:19">
      <c r="C567" s="71">
        <v>41565</v>
      </c>
      <c r="D567" s="118">
        <f t="shared" si="48"/>
        <v>15.610095710827968</v>
      </c>
      <c r="E567" s="92">
        <f t="shared" si="49"/>
        <v>158.83187669060712</v>
      </c>
      <c r="F567" s="92">
        <f t="shared" si="50"/>
        <v>0</v>
      </c>
      <c r="G567" s="92">
        <f t="shared" si="52"/>
        <v>174.44197240143509</v>
      </c>
      <c r="H567" s="92">
        <f t="shared" si="51"/>
        <v>174.36350882246549</v>
      </c>
      <c r="I567" s="91">
        <f t="shared" si="53"/>
        <v>8.8369263419434303E-3</v>
      </c>
      <c r="J567" s="115"/>
      <c r="K567" s="64"/>
      <c r="L567" s="119">
        <v>41565</v>
      </c>
      <c r="M567" s="117">
        <v>2.6191928596654698E-2</v>
      </c>
      <c r="N567" s="117">
        <v>7.1628945719966102E-3</v>
      </c>
      <c r="O567" s="117">
        <v>2.4733806566104747E-2</v>
      </c>
      <c r="P567" s="89">
        <v>2.5322676599156678E-2</v>
      </c>
      <c r="R567" s="71">
        <v>41565</v>
      </c>
      <c r="S567" s="99">
        <f>+I567-[1]Data!W565</f>
        <v>8.8215417265588153E-3</v>
      </c>
    </row>
    <row r="568" spans="3:19">
      <c r="C568" s="71">
        <v>41572</v>
      </c>
      <c r="D568" s="118">
        <f t="shared" si="48"/>
        <v>15.706014178471809</v>
      </c>
      <c r="E568" s="92">
        <f t="shared" si="49"/>
        <v>159.58351483070598</v>
      </c>
      <c r="F568" s="92">
        <f t="shared" si="50"/>
        <v>0</v>
      </c>
      <c r="G568" s="92">
        <f t="shared" si="52"/>
        <v>175.28952900917778</v>
      </c>
      <c r="H568" s="92">
        <f t="shared" si="51"/>
        <v>175.21068420128776</v>
      </c>
      <c r="I568" s="91">
        <f t="shared" si="53"/>
        <v>4.8586736097680485E-3</v>
      </c>
      <c r="J568" s="115"/>
      <c r="K568" s="64"/>
      <c r="L568" s="119">
        <v>41572</v>
      </c>
      <c r="M568" s="117">
        <v>6.1446431476591132E-3</v>
      </c>
      <c r="N568" s="117">
        <v>4.7322877230935641E-3</v>
      </c>
      <c r="O568" s="117">
        <v>1.5694339214200241E-3</v>
      </c>
      <c r="P568" s="89">
        <v>3.8597376387488136E-3</v>
      </c>
      <c r="R568" s="71">
        <v>41572</v>
      </c>
      <c r="S568" s="99">
        <f>+I568-[1]Data!W566</f>
        <v>4.850981302075741E-3</v>
      </c>
    </row>
    <row r="569" spans="3:19">
      <c r="C569" s="71">
        <v>41579</v>
      </c>
      <c r="D569" s="118">
        <f t="shared" si="48"/>
        <v>15.607360764703701</v>
      </c>
      <c r="E569" s="92">
        <f t="shared" si="49"/>
        <v>158.5011559089636</v>
      </c>
      <c r="F569" s="92">
        <f t="shared" si="50"/>
        <v>0</v>
      </c>
      <c r="G569" s="92">
        <f t="shared" si="52"/>
        <v>174.10851667366731</v>
      </c>
      <c r="H569" s="92">
        <f t="shared" si="51"/>
        <v>174.03020308228082</v>
      </c>
      <c r="I569" s="91">
        <f t="shared" si="53"/>
        <v>-6.7374950585248911E-3</v>
      </c>
      <c r="J569" s="115"/>
      <c r="K569" s="64"/>
      <c r="L569" s="119">
        <v>41579</v>
      </c>
      <c r="M569" s="117">
        <v>-6.2812507773826066E-3</v>
      </c>
      <c r="N569" s="117">
        <v>-6.7823980621720863E-3</v>
      </c>
      <c r="O569" s="117">
        <v>-2.0586804992705477E-2</v>
      </c>
      <c r="P569" s="89">
        <v>-5.52861055964614E-3</v>
      </c>
      <c r="R569" s="71">
        <v>41579</v>
      </c>
      <c r="S569" s="99">
        <f>+I569-[1]Data!W567</f>
        <v>-6.7451873662171986E-3</v>
      </c>
    </row>
    <row r="570" spans="3:19">
      <c r="C570" s="71">
        <v>41586</v>
      </c>
      <c r="D570" s="118">
        <f t="shared" si="48"/>
        <v>15.591927854431068</v>
      </c>
      <c r="E570" s="92">
        <f t="shared" si="49"/>
        <v>157.57771476541356</v>
      </c>
      <c r="F570" s="92">
        <f t="shared" si="50"/>
        <v>0</v>
      </c>
      <c r="G570" s="92">
        <f t="shared" si="52"/>
        <v>173.16964261984464</v>
      </c>
      <c r="H570" s="92">
        <f t="shared" si="51"/>
        <v>173.09175133174591</v>
      </c>
      <c r="I570" s="91">
        <f t="shared" si="53"/>
        <v>-5.3924648360676401E-3</v>
      </c>
      <c r="J570" s="115"/>
      <c r="K570" s="64"/>
      <c r="L570" s="119">
        <v>41586</v>
      </c>
      <c r="M570" s="117">
        <v>-9.8882255016079462E-4</v>
      </c>
      <c r="N570" s="117">
        <v>-5.8260846001679471E-3</v>
      </c>
      <c r="O570" s="117">
        <v>-2.4550369634778708E-2</v>
      </c>
      <c r="P570" s="89">
        <v>-4.4222070603694439E-3</v>
      </c>
      <c r="R570" s="71">
        <v>41586</v>
      </c>
      <c r="S570" s="99">
        <f>+I570-[1]Data!W568</f>
        <v>-5.4020802206830249E-3</v>
      </c>
    </row>
    <row r="571" spans="3:19">
      <c r="C571" s="71">
        <v>41593</v>
      </c>
      <c r="D571" s="118">
        <f t="shared" si="48"/>
        <v>15.838268358909451</v>
      </c>
      <c r="E571" s="92">
        <f t="shared" si="49"/>
        <v>158.11889422628474</v>
      </c>
      <c r="F571" s="92">
        <f t="shared" si="50"/>
        <v>0</v>
      </c>
      <c r="G571" s="92">
        <f t="shared" si="52"/>
        <v>173.9571625851942</v>
      </c>
      <c r="H571" s="92">
        <f t="shared" si="51"/>
        <v>173.87891707251214</v>
      </c>
      <c r="I571" s="91">
        <f t="shared" si="53"/>
        <v>4.5476791049248386E-3</v>
      </c>
      <c r="J571" s="115"/>
      <c r="K571" s="64"/>
      <c r="L571" s="119">
        <v>41593</v>
      </c>
      <c r="M571" s="117">
        <v>1.5799233217230077E-2</v>
      </c>
      <c r="N571" s="117">
        <v>3.4343654600959193E-3</v>
      </c>
      <c r="O571" s="117">
        <v>1.7419829195181178E-2</v>
      </c>
      <c r="P571" s="89">
        <v>1.5178435453576224E-2</v>
      </c>
      <c r="R571" s="71">
        <v>41593</v>
      </c>
      <c r="S571" s="99">
        <f>+I571-[1]Data!W569</f>
        <v>4.5322944895402235E-3</v>
      </c>
    </row>
    <row r="572" spans="3:19">
      <c r="C572" s="71">
        <v>41600</v>
      </c>
      <c r="D572" s="118">
        <f t="shared" si="48"/>
        <v>15.854385005713151</v>
      </c>
      <c r="E572" s="92">
        <f t="shared" si="49"/>
        <v>157.95568137300614</v>
      </c>
      <c r="F572" s="92">
        <f t="shared" si="50"/>
        <v>0</v>
      </c>
      <c r="G572" s="92">
        <f t="shared" si="52"/>
        <v>173.81006637871928</v>
      </c>
      <c r="H572" s="92">
        <f t="shared" si="51"/>
        <v>173.73188702955656</v>
      </c>
      <c r="I572" s="91">
        <f t="shared" si="53"/>
        <v>-8.4558867418217426E-4</v>
      </c>
      <c r="J572" s="115"/>
      <c r="K572" s="64"/>
      <c r="L572" s="119">
        <v>41600</v>
      </c>
      <c r="M572" s="117">
        <v>1.017576318223923E-3</v>
      </c>
      <c r="N572" s="117">
        <v>-1.0322160047807776E-3</v>
      </c>
      <c r="O572" s="117">
        <v>-2.162432597698586E-2</v>
      </c>
      <c r="P572" s="89">
        <v>1.3251325132513992E-3</v>
      </c>
      <c r="R572" s="71">
        <v>41600</v>
      </c>
      <c r="S572" s="99">
        <f>+I572-[1]Data!W570</f>
        <v>-8.6097328956678961E-4</v>
      </c>
    </row>
    <row r="573" spans="3:19">
      <c r="C573" s="71">
        <v>41607</v>
      </c>
      <c r="D573" s="118">
        <f t="shared" si="48"/>
        <v>15.905860598837698</v>
      </c>
      <c r="E573" s="92">
        <f t="shared" si="49"/>
        <v>158.10171392593966</v>
      </c>
      <c r="F573" s="92">
        <f t="shared" si="50"/>
        <v>0</v>
      </c>
      <c r="G573" s="92">
        <f t="shared" si="52"/>
        <v>174.00757452477737</v>
      </c>
      <c r="H573" s="92">
        <f t="shared" si="51"/>
        <v>173.92930633692629</v>
      </c>
      <c r="I573" s="91">
        <f t="shared" si="53"/>
        <v>1.1363446903454256E-3</v>
      </c>
      <c r="J573" s="115"/>
      <c r="K573" s="64"/>
      <c r="L573" s="119">
        <v>41607</v>
      </c>
      <c r="M573" s="117">
        <v>3.2467732495456252E-3</v>
      </c>
      <c r="N573" s="117">
        <v>9.2451598868836153E-4</v>
      </c>
      <c r="O573" s="117">
        <v>-4.3181818181817662E-3</v>
      </c>
      <c r="P573" s="89">
        <v>3.895228345277041E-3</v>
      </c>
      <c r="R573" s="71">
        <v>41607</v>
      </c>
      <c r="S573" s="99">
        <f>+I573-[1]Data!W571</f>
        <v>1.1228831518838873E-3</v>
      </c>
    </row>
    <row r="574" spans="3:19">
      <c r="C574" s="71">
        <v>41614</v>
      </c>
      <c r="D574" s="118">
        <f t="shared" si="48"/>
        <v>15.751433819464056</v>
      </c>
      <c r="E574" s="92">
        <f t="shared" si="49"/>
        <v>157.30712503497799</v>
      </c>
      <c r="F574" s="92">
        <f t="shared" si="50"/>
        <v>0</v>
      </c>
      <c r="G574" s="92">
        <f t="shared" si="52"/>
        <v>173.05855885444205</v>
      </c>
      <c r="H574" s="92">
        <f t="shared" si="51"/>
        <v>172.98071753155338</v>
      </c>
      <c r="I574" s="91">
        <f t="shared" si="53"/>
        <v>-5.4538756311449492E-3</v>
      </c>
      <c r="J574" s="115"/>
      <c r="K574" s="64"/>
      <c r="L574" s="119">
        <v>41614</v>
      </c>
      <c r="M574" s="117">
        <v>-9.7087974846785056E-3</v>
      </c>
      <c r="N574" s="117">
        <v>-5.0258082042923735E-3</v>
      </c>
      <c r="O574" s="117">
        <v>-1.0785208856425558E-2</v>
      </c>
      <c r="P574" s="89">
        <v>-1.0396716826265407E-2</v>
      </c>
      <c r="R574" s="71">
        <v>41614</v>
      </c>
      <c r="S574" s="99">
        <f>+I574-[1]Data!W572</f>
        <v>-5.4654140926834105E-3</v>
      </c>
    </row>
    <row r="575" spans="3:19">
      <c r="C575" s="71">
        <v>41621</v>
      </c>
      <c r="D575" s="118">
        <f t="shared" si="48"/>
        <v>15.50802361440453</v>
      </c>
      <c r="E575" s="92">
        <f t="shared" si="49"/>
        <v>157.49610833877429</v>
      </c>
      <c r="F575" s="92">
        <f t="shared" si="50"/>
        <v>0</v>
      </c>
      <c r="G575" s="92">
        <f t="shared" si="52"/>
        <v>173.00413195317881</v>
      </c>
      <c r="H575" s="92">
        <f t="shared" si="51"/>
        <v>172.92631511137921</v>
      </c>
      <c r="I575" s="91">
        <f t="shared" si="53"/>
        <v>-3.144999104553205E-4</v>
      </c>
      <c r="J575" s="115"/>
      <c r="K575" s="64"/>
      <c r="L575" s="119">
        <v>41621</v>
      </c>
      <c r="M575" s="117">
        <v>-1.5453209393467638E-2</v>
      </c>
      <c r="N575" s="117">
        <v>1.2013651877133043E-3</v>
      </c>
      <c r="O575" s="117">
        <v>-1.6671473896740618E-2</v>
      </c>
      <c r="P575" s="89">
        <v>-1.5030034936034428E-2</v>
      </c>
      <c r="R575" s="71">
        <v>41621</v>
      </c>
      <c r="S575" s="99">
        <f>+I575-[1]Data!W573</f>
        <v>-3.2796144891685897E-4</v>
      </c>
    </row>
    <row r="576" spans="3:19">
      <c r="C576" s="71">
        <v>41628</v>
      </c>
      <c r="D576" s="118">
        <f t="shared" si="48"/>
        <v>15.888669508913752</v>
      </c>
      <c r="E576" s="92">
        <f t="shared" si="49"/>
        <v>157.47892803842916</v>
      </c>
      <c r="F576" s="92">
        <f t="shared" si="50"/>
        <v>0</v>
      </c>
      <c r="G576" s="92">
        <f t="shared" si="52"/>
        <v>173.36759754734291</v>
      </c>
      <c r="H576" s="92">
        <f t="shared" si="51"/>
        <v>173.28961721959462</v>
      </c>
      <c r="I576" s="91">
        <f t="shared" si="53"/>
        <v>2.1009070133797157E-3</v>
      </c>
      <c r="J576" s="115"/>
      <c r="K576" s="64"/>
      <c r="L576" s="119">
        <v>41628</v>
      </c>
      <c r="M576" s="117">
        <v>2.4545093815543352E-2</v>
      </c>
      <c r="N576" s="117">
        <v>-1.0908396738394956E-4</v>
      </c>
      <c r="O576" s="117">
        <v>1.5780828346826221E-2</v>
      </c>
      <c r="P576" s="89">
        <v>2.1613207787899737E-2</v>
      </c>
      <c r="R576" s="71">
        <v>41628</v>
      </c>
      <c r="S576" s="99">
        <f>+I576-[1]Data!W574</f>
        <v>2.0874454749181771E-3</v>
      </c>
    </row>
    <row r="577" spans="3:19">
      <c r="C577" s="71">
        <v>41635</v>
      </c>
      <c r="D577" s="118">
        <f t="shared" si="48"/>
        <v>16.157280288975429</v>
      </c>
      <c r="E577" s="92">
        <f t="shared" si="49"/>
        <v>156.86043722600496</v>
      </c>
      <c r="F577" s="92">
        <f t="shared" si="50"/>
        <v>0</v>
      </c>
      <c r="G577" s="92">
        <f t="shared" si="52"/>
        <v>173.0177175149804</v>
      </c>
      <c r="H577" s="92">
        <f t="shared" si="51"/>
        <v>172.93989456242781</v>
      </c>
      <c r="I577" s="91">
        <f t="shared" si="53"/>
        <v>-2.0181397061061965E-3</v>
      </c>
      <c r="J577" s="115"/>
      <c r="K577" s="64"/>
      <c r="L577" s="119">
        <v>41635</v>
      </c>
      <c r="M577" s="117">
        <v>1.6905806991012257E-2</v>
      </c>
      <c r="N577" s="117">
        <v>-3.9274512477839845E-3</v>
      </c>
      <c r="O577" s="117">
        <v>4.5047646549234831E-3</v>
      </c>
      <c r="P577" s="89">
        <v>1.6110500549505417E-2</v>
      </c>
      <c r="R577" s="71">
        <v>41635</v>
      </c>
      <c r="S577" s="99">
        <f>+I577-[1]Data!W575</f>
        <v>-2.0316012445677351E-3</v>
      </c>
    </row>
    <row r="578" spans="3:19">
      <c r="C578" s="71">
        <v>41642</v>
      </c>
      <c r="D578" s="118">
        <f t="shared" si="48"/>
        <v>16.078064528019056</v>
      </c>
      <c r="E578" s="92">
        <f t="shared" si="49"/>
        <v>157.04942052980124</v>
      </c>
      <c r="F578" s="92">
        <f t="shared" si="50"/>
        <v>0</v>
      </c>
      <c r="G578" s="92">
        <f t="shared" si="52"/>
        <v>173.12748505782031</v>
      </c>
      <c r="H578" s="92">
        <f t="shared" si="51"/>
        <v>173.04961273209136</v>
      </c>
      <c r="I578" s="91">
        <f t="shared" si="53"/>
        <v>6.3442949321300521E-4</v>
      </c>
      <c r="J578" s="115"/>
      <c r="K578" s="64"/>
      <c r="L578" s="119">
        <v>41642</v>
      </c>
      <c r="M578" s="117">
        <v>-4.9027905402138404E-3</v>
      </c>
      <c r="N578" s="117">
        <v>1.2047862873415234E-3</v>
      </c>
      <c r="O578" s="117">
        <v>5.1170010923934127E-3</v>
      </c>
      <c r="P578" s="89">
        <v>-6.3174454905238148E-3</v>
      </c>
      <c r="R578" s="71">
        <v>41642</v>
      </c>
      <c r="S578" s="99">
        <f>+I578-[1]Data!W576</f>
        <v>6.2096795475146674E-4</v>
      </c>
    </row>
    <row r="579" spans="3:19">
      <c r="C579" s="71">
        <v>41649</v>
      </c>
      <c r="D579" s="118">
        <f t="shared" si="48"/>
        <v>16.166559570468465</v>
      </c>
      <c r="E579" s="92">
        <f t="shared" si="49"/>
        <v>158.15754990206128</v>
      </c>
      <c r="F579" s="92">
        <f t="shared" si="50"/>
        <v>0</v>
      </c>
      <c r="G579" s="92">
        <f t="shared" si="52"/>
        <v>174.32410947252976</v>
      </c>
      <c r="H579" s="92">
        <f t="shared" si="51"/>
        <v>174.24569890802167</v>
      </c>
      <c r="I579" s="91">
        <f t="shared" si="53"/>
        <v>6.9118107636683248E-3</v>
      </c>
      <c r="J579" s="115"/>
      <c r="K579" s="64"/>
      <c r="L579" s="119">
        <v>41649</v>
      </c>
      <c r="M579" s="117">
        <v>5.504085538106343E-3</v>
      </c>
      <c r="N579" s="117">
        <v>7.0559277998086724E-3</v>
      </c>
      <c r="O579" s="117">
        <v>4.3473286809290659E-3</v>
      </c>
      <c r="P579" s="89">
        <v>3.9333069463684317E-3</v>
      </c>
      <c r="R579" s="71">
        <v>41649</v>
      </c>
      <c r="S579" s="99">
        <f>+I579-[1]Data!W577</f>
        <v>6.9021953790529399E-3</v>
      </c>
    </row>
    <row r="580" spans="3:19">
      <c r="C580" s="71">
        <v>41656</v>
      </c>
      <c r="D580" s="118">
        <f t="shared" si="48"/>
        <v>16.188146109520694</v>
      </c>
      <c r="E580" s="92">
        <f t="shared" si="49"/>
        <v>158.28210707956336</v>
      </c>
      <c r="F580" s="92">
        <f t="shared" si="50"/>
        <v>0</v>
      </c>
      <c r="G580" s="92">
        <f t="shared" si="52"/>
        <v>174.47025318908405</v>
      </c>
      <c r="H580" s="92">
        <f t="shared" si="51"/>
        <v>174.39177688948431</v>
      </c>
      <c r="I580" s="91">
        <f t="shared" si="53"/>
        <v>8.3834483363488203E-4</v>
      </c>
      <c r="J580" s="115"/>
      <c r="K580" s="64"/>
      <c r="L580" s="119">
        <v>41656</v>
      </c>
      <c r="M580" s="117">
        <v>1.3352586837128871E-3</v>
      </c>
      <c r="N580" s="117">
        <v>7.8755125872406815E-4</v>
      </c>
      <c r="O580" s="117">
        <v>2.9616129399702802E-3</v>
      </c>
      <c r="P580" s="89">
        <v>1.4291698494444496E-3</v>
      </c>
      <c r="R580" s="71">
        <v>41656</v>
      </c>
      <c r="S580" s="99">
        <f>+I580-[1]Data!W578</f>
        <v>8.306525259425743E-4</v>
      </c>
    </row>
    <row r="581" spans="3:19">
      <c r="C581" s="71">
        <v>41663</v>
      </c>
      <c r="D581" s="118">
        <f t="shared" ref="D581:D644" si="54">+D580*(1+M581)</f>
        <v>15.807597891658768</v>
      </c>
      <c r="E581" s="92">
        <f t="shared" ref="E581:E644" si="55">+E580*(1+N581)</f>
        <v>159.25279404906249</v>
      </c>
      <c r="F581" s="92">
        <f t="shared" ref="F581:F644" si="56">+F580*(1+O581)</f>
        <v>0</v>
      </c>
      <c r="G581" s="92">
        <f t="shared" si="52"/>
        <v>175.06039194072125</v>
      </c>
      <c r="H581" s="92">
        <f t="shared" ref="H581:H644" si="57">+H580*(1+(((D580/G580)*M581)+((E580/G580)*N581)+((F580/G580)*O581)))</f>
        <v>174.98165019813263</v>
      </c>
      <c r="I581" s="91">
        <f t="shared" si="53"/>
        <v>3.3824605676340855E-3</v>
      </c>
      <c r="J581" s="115"/>
      <c r="K581" s="64"/>
      <c r="L581" s="119">
        <v>41663</v>
      </c>
      <c r="M581" s="117">
        <v>-2.3507831921415319E-2</v>
      </c>
      <c r="N581" s="117">
        <v>6.1326386627591203E-3</v>
      </c>
      <c r="O581" s="117">
        <v>-1.5332197614991418E-2</v>
      </c>
      <c r="P581" s="89">
        <v>-2.3449226150931396E-2</v>
      </c>
      <c r="R581" s="71">
        <v>41663</v>
      </c>
      <c r="S581" s="99">
        <f>+I581-[1]Data!W579</f>
        <v>3.374768259941778E-3</v>
      </c>
    </row>
    <row r="582" spans="3:19">
      <c r="C582" s="71">
        <v>41670</v>
      </c>
      <c r="D582" s="118">
        <f t="shared" si="54"/>
        <v>15.61322136354141</v>
      </c>
      <c r="E582" s="92">
        <f t="shared" si="55"/>
        <v>159.5620394552746</v>
      </c>
      <c r="F582" s="92">
        <f t="shared" si="56"/>
        <v>0</v>
      </c>
      <c r="G582" s="92">
        <f t="shared" ref="G582:G645" si="58">+SUM(D582:F582)</f>
        <v>175.17526081881601</v>
      </c>
      <c r="H582" s="92">
        <f t="shared" si="57"/>
        <v>175.09646740848274</v>
      </c>
      <c r="I582" s="91">
        <f t="shared" si="53"/>
        <v>6.5616714792724232E-4</v>
      </c>
      <c r="J582" s="115"/>
      <c r="K582" s="64"/>
      <c r="L582" s="119">
        <v>41670</v>
      </c>
      <c r="M582" s="117">
        <v>-1.2296398823500251E-2</v>
      </c>
      <c r="N582" s="117">
        <v>1.9418523113437277E-3</v>
      </c>
      <c r="O582" s="117">
        <v>-5.0749711649365368E-3</v>
      </c>
      <c r="P582" s="89">
        <v>-1.2497480346704242E-2</v>
      </c>
      <c r="R582" s="71">
        <v>41670</v>
      </c>
      <c r="S582" s="99">
        <f>+I582-[1]Data!W580</f>
        <v>6.4847484023493459E-4</v>
      </c>
    </row>
    <row r="583" spans="3:19">
      <c r="C583" s="71">
        <v>41677</v>
      </c>
      <c r="D583" s="118">
        <f t="shared" si="54"/>
        <v>15.743326657738557</v>
      </c>
      <c r="E583" s="92">
        <f t="shared" si="55"/>
        <v>159.86698978640041</v>
      </c>
      <c r="F583" s="92">
        <f t="shared" si="56"/>
        <v>0</v>
      </c>
      <c r="G583" s="92">
        <f t="shared" si="58"/>
        <v>175.61031644413896</v>
      </c>
      <c r="H583" s="92">
        <f t="shared" si="57"/>
        <v>175.53132734683345</v>
      </c>
      <c r="I583" s="91">
        <f t="shared" ref="I583:I646" si="59">+(H583-H582)/H582</f>
        <v>2.4835448983458182E-3</v>
      </c>
      <c r="J583" s="115"/>
      <c r="K583" s="64"/>
      <c r="L583" s="119">
        <v>41677</v>
      </c>
      <c r="M583" s="117">
        <v>8.3330205322622621E-3</v>
      </c>
      <c r="N583" s="117">
        <v>1.9111709286675088E-3</v>
      </c>
      <c r="O583" s="117">
        <v>5.2747507535358023E-3</v>
      </c>
      <c r="P583" s="89">
        <v>7.5525617472953135E-3</v>
      </c>
      <c r="R583" s="71">
        <v>41677</v>
      </c>
      <c r="S583" s="99">
        <f>+I583-[1]Data!W581</f>
        <v>2.4700833598842796E-3</v>
      </c>
    </row>
    <row r="584" spans="3:19">
      <c r="C584" s="71">
        <v>41684</v>
      </c>
      <c r="D584" s="118">
        <f t="shared" si="54"/>
        <v>16.117818923468182</v>
      </c>
      <c r="E584" s="92">
        <f t="shared" si="55"/>
        <v>159.91423561234947</v>
      </c>
      <c r="F584" s="92">
        <f t="shared" si="56"/>
        <v>0</v>
      </c>
      <c r="G584" s="92">
        <f t="shared" si="58"/>
        <v>176.03205453581765</v>
      </c>
      <c r="H584" s="92">
        <f t="shared" si="57"/>
        <v>175.95287574173446</v>
      </c>
      <c r="I584" s="91">
        <f t="shared" si="59"/>
        <v>2.4015564701340697E-3</v>
      </c>
      <c r="J584" s="115"/>
      <c r="K584" s="64"/>
      <c r="L584" s="119">
        <v>41684</v>
      </c>
      <c r="M584" s="117">
        <v>2.3787365521349017E-2</v>
      </c>
      <c r="N584" s="117">
        <v>2.955320920985832E-4</v>
      </c>
      <c r="O584" s="117">
        <v>1.5856541544138843E-2</v>
      </c>
      <c r="P584" s="89">
        <v>2.3551458670988686E-2</v>
      </c>
      <c r="R584" s="71">
        <v>41684</v>
      </c>
      <c r="S584" s="99">
        <f>+I584-[1]Data!W582</f>
        <v>2.3938641624417622E-3</v>
      </c>
    </row>
    <row r="585" spans="3:19">
      <c r="C585" s="71">
        <v>41691</v>
      </c>
      <c r="D585" s="118">
        <f t="shared" si="54"/>
        <v>16.212858301286367</v>
      </c>
      <c r="E585" s="92">
        <f t="shared" si="55"/>
        <v>159.92712083760833</v>
      </c>
      <c r="F585" s="92">
        <f t="shared" si="56"/>
        <v>0</v>
      </c>
      <c r="G585" s="92">
        <f t="shared" si="58"/>
        <v>176.13997913889469</v>
      </c>
      <c r="H585" s="92">
        <f t="shared" si="57"/>
        <v>176.06075180058502</v>
      </c>
      <c r="I585" s="91">
        <f t="shared" si="59"/>
        <v>6.1309630999669567E-4</v>
      </c>
      <c r="J585" s="115"/>
      <c r="K585" s="64"/>
      <c r="L585" s="119">
        <v>41691</v>
      </c>
      <c r="M585" s="117">
        <v>5.8965408576346079E-3</v>
      </c>
      <c r="N585" s="117">
        <v>8.0575848732352702E-5</v>
      </c>
      <c r="O585" s="117">
        <v>9.6492223861958711E-3</v>
      </c>
      <c r="P585" s="89">
        <v>5.4926023059032368E-3</v>
      </c>
      <c r="R585" s="71">
        <v>41691</v>
      </c>
      <c r="S585" s="99">
        <f>+I585-[1]Data!W583</f>
        <v>6.0348092538131106E-4</v>
      </c>
    </row>
    <row r="586" spans="3:19">
      <c r="C586" s="71">
        <v>41698</v>
      </c>
      <c r="D586" s="118">
        <f t="shared" si="54"/>
        <v>16.364745487830334</v>
      </c>
      <c r="E586" s="92">
        <f t="shared" si="55"/>
        <v>160.88492258184857</v>
      </c>
      <c r="F586" s="92">
        <f t="shared" si="56"/>
        <v>0</v>
      </c>
      <c r="G586" s="92">
        <f t="shared" si="58"/>
        <v>177.2496680696789</v>
      </c>
      <c r="H586" s="92">
        <f t="shared" si="57"/>
        <v>177.16994159596132</v>
      </c>
      <c r="I586" s="91">
        <f t="shared" si="59"/>
        <v>6.3000400943000493E-3</v>
      </c>
      <c r="J586" s="115"/>
      <c r="K586" s="64"/>
      <c r="L586" s="119">
        <v>41698</v>
      </c>
      <c r="M586" s="117">
        <v>9.3683164141339179E-3</v>
      </c>
      <c r="N586" s="117">
        <v>5.988988854572207E-3</v>
      </c>
      <c r="O586" s="117">
        <v>1.2930065212503833E-3</v>
      </c>
      <c r="P586" s="89">
        <v>9.1781496062992574E-3</v>
      </c>
      <c r="R586" s="71">
        <v>41698</v>
      </c>
      <c r="S586" s="99">
        <f>+I586-[1]Data!W584</f>
        <v>6.2904247096846645E-3</v>
      </c>
    </row>
    <row r="587" spans="3:19">
      <c r="C587" s="71">
        <v>41705</v>
      </c>
      <c r="D587" s="118">
        <f t="shared" si="54"/>
        <v>16.421104913319638</v>
      </c>
      <c r="E587" s="92">
        <f t="shared" si="55"/>
        <v>159.96148143829853</v>
      </c>
      <c r="F587" s="92">
        <f t="shared" si="56"/>
        <v>0</v>
      </c>
      <c r="G587" s="92">
        <f t="shared" si="58"/>
        <v>176.38258635161816</v>
      </c>
      <c r="H587" s="92">
        <f t="shared" si="57"/>
        <v>176.30324988916863</v>
      </c>
      <c r="I587" s="91">
        <f t="shared" si="59"/>
        <v>-4.8918665264856068E-3</v>
      </c>
      <c r="J587" s="115"/>
      <c r="K587" s="64"/>
      <c r="L587" s="119">
        <v>41705</v>
      </c>
      <c r="M587" s="117">
        <v>3.4439536827026271E-3</v>
      </c>
      <c r="N587" s="117">
        <v>-5.7397618666238919E-3</v>
      </c>
      <c r="O587" s="117">
        <v>5.0530570995450967E-3</v>
      </c>
      <c r="P587" s="89">
        <v>3.1209616463073403E-3</v>
      </c>
      <c r="R587" s="71">
        <v>41705</v>
      </c>
      <c r="S587" s="99">
        <f>+I587-[1]Data!W585</f>
        <v>-4.9014819111009916E-3</v>
      </c>
    </row>
    <row r="588" spans="3:19">
      <c r="C588" s="71">
        <v>41712</v>
      </c>
      <c r="D588" s="118">
        <f t="shared" si="54"/>
        <v>16.030007617549838</v>
      </c>
      <c r="E588" s="92">
        <f t="shared" si="55"/>
        <v>161.12974186176649</v>
      </c>
      <c r="F588" s="92">
        <f t="shared" si="56"/>
        <v>0</v>
      </c>
      <c r="G588" s="92">
        <f t="shared" si="58"/>
        <v>177.15974947931633</v>
      </c>
      <c r="H588" s="92">
        <f t="shared" si="57"/>
        <v>177.08006345076407</v>
      </c>
      <c r="I588" s="91">
        <f t="shared" si="59"/>
        <v>4.4061216233040679E-3</v>
      </c>
      <c r="J588" s="115"/>
      <c r="K588" s="64"/>
      <c r="L588" s="119">
        <v>41712</v>
      </c>
      <c r="M588" s="117">
        <v>-2.3816746670473517E-2</v>
      </c>
      <c r="N588" s="117">
        <v>7.3033858711703415E-3</v>
      </c>
      <c r="O588" s="117">
        <v>-1.9607843137254853E-2</v>
      </c>
      <c r="P588" s="89">
        <v>-2.4452492647237555E-2</v>
      </c>
      <c r="R588" s="71">
        <v>41712</v>
      </c>
      <c r="S588" s="99">
        <f>+I588-[1]Data!W586</f>
        <v>4.3965062386886831E-3</v>
      </c>
    </row>
    <row r="589" spans="3:19">
      <c r="C589" s="71">
        <v>41719</v>
      </c>
      <c r="D589" s="118">
        <f t="shared" si="54"/>
        <v>16.149661510486403</v>
      </c>
      <c r="E589" s="92">
        <f t="shared" si="55"/>
        <v>160.2793169946832</v>
      </c>
      <c r="F589" s="92">
        <f t="shared" si="56"/>
        <v>0</v>
      </c>
      <c r="G589" s="92">
        <f t="shared" si="58"/>
        <v>176.4289785051696</v>
      </c>
      <c r="H589" s="92">
        <f t="shared" si="57"/>
        <v>176.34962117564118</v>
      </c>
      <c r="I589" s="91">
        <f t="shared" si="59"/>
        <v>-4.1249266624867201E-3</v>
      </c>
      <c r="J589" s="115"/>
      <c r="K589" s="64"/>
      <c r="L589" s="119">
        <v>41719</v>
      </c>
      <c r="M589" s="117">
        <v>7.4643690627799134E-3</v>
      </c>
      <c r="N589" s="117">
        <v>-5.2778888444621128E-3</v>
      </c>
      <c r="O589" s="117">
        <v>-8.6609686609687188E-3</v>
      </c>
      <c r="P589" s="89">
        <v>7.4996885511398794E-3</v>
      </c>
      <c r="R589" s="71">
        <v>41719</v>
      </c>
      <c r="S589" s="99">
        <f>+I589-[1]Data!W587</f>
        <v>-4.1364651240251814E-3</v>
      </c>
    </row>
    <row r="590" spans="3:19">
      <c r="C590" s="71">
        <v>41726</v>
      </c>
      <c r="D590" s="118">
        <f t="shared" si="54"/>
        <v>16.232295954098102</v>
      </c>
      <c r="E590" s="92">
        <f t="shared" si="55"/>
        <v>160.61433285141297</v>
      </c>
      <c r="F590" s="92">
        <f t="shared" si="56"/>
        <v>0</v>
      </c>
      <c r="G590" s="92">
        <f t="shared" si="58"/>
        <v>176.84662880551107</v>
      </c>
      <c r="H590" s="92">
        <f t="shared" si="57"/>
        <v>176.76708361788366</v>
      </c>
      <c r="I590" s="91">
        <f t="shared" si="59"/>
        <v>2.3672432039232786E-3</v>
      </c>
      <c r="J590" s="115"/>
      <c r="K590" s="64"/>
      <c r="L590" s="119">
        <v>41726</v>
      </c>
      <c r="M590" s="117">
        <v>5.1167910583167862E-3</v>
      </c>
      <c r="N590" s="117">
        <v>2.0902001768630185E-3</v>
      </c>
      <c r="O590" s="117">
        <v>1.2760087366363944E-2</v>
      </c>
      <c r="P590" s="89">
        <v>8.8782273221880877E-3</v>
      </c>
      <c r="R590" s="71">
        <v>41726</v>
      </c>
      <c r="S590" s="99">
        <f>+I590-[1]Data!W588</f>
        <v>2.3576278193078938E-3</v>
      </c>
    </row>
    <row r="591" spans="3:19">
      <c r="C591" s="71">
        <v>41733</v>
      </c>
      <c r="D591" s="118">
        <f t="shared" si="54"/>
        <v>16.373048002850421</v>
      </c>
      <c r="E591" s="92">
        <f t="shared" si="55"/>
        <v>160.6315131517581</v>
      </c>
      <c r="F591" s="92">
        <f t="shared" si="56"/>
        <v>0</v>
      </c>
      <c r="G591" s="92">
        <f t="shared" si="58"/>
        <v>177.00456115460852</v>
      </c>
      <c r="H591" s="92">
        <f t="shared" si="57"/>
        <v>176.92494492939093</v>
      </c>
      <c r="I591" s="91">
        <f t="shared" si="59"/>
        <v>8.9304698746132743E-4</v>
      </c>
      <c r="J591" s="115"/>
      <c r="K591" s="64"/>
      <c r="L591" s="119">
        <v>41733</v>
      </c>
      <c r="M591" s="117">
        <v>8.6711115390170432E-3</v>
      </c>
      <c r="N591" s="117">
        <v>1.0696617194817613E-4</v>
      </c>
      <c r="O591" s="117">
        <v>2.3041997729852454E-2</v>
      </c>
      <c r="P591" s="89">
        <v>9.5845079053806237E-3</v>
      </c>
      <c r="R591" s="71">
        <v>41733</v>
      </c>
      <c r="S591" s="99">
        <f>+I591-[1]Data!W589</f>
        <v>8.8727775669209669E-4</v>
      </c>
    </row>
    <row r="592" spans="3:19">
      <c r="C592" s="71">
        <v>41740</v>
      </c>
      <c r="D592" s="118">
        <f t="shared" si="54"/>
        <v>16.003634922780144</v>
      </c>
      <c r="E592" s="92">
        <f t="shared" si="55"/>
        <v>162.11760913161072</v>
      </c>
      <c r="F592" s="92">
        <f t="shared" si="56"/>
        <v>0</v>
      </c>
      <c r="G592" s="92">
        <f t="shared" si="58"/>
        <v>178.12124405439087</v>
      </c>
      <c r="H592" s="92">
        <f t="shared" si="57"/>
        <v>178.04112554789492</v>
      </c>
      <c r="I592" s="91">
        <f t="shared" si="59"/>
        <v>6.3087803641789821E-3</v>
      </c>
      <c r="J592" s="115"/>
      <c r="K592" s="64"/>
      <c r="L592" s="119">
        <v>41740</v>
      </c>
      <c r="M592" s="117">
        <v>-2.2562266964951491E-2</v>
      </c>
      <c r="N592" s="117">
        <v>9.2515842669589551E-3</v>
      </c>
      <c r="O592" s="117">
        <v>-8.931543326306364E-3</v>
      </c>
      <c r="P592" s="89">
        <v>-1.8744233477395296E-2</v>
      </c>
      <c r="R592" s="71">
        <v>41740</v>
      </c>
      <c r="S592" s="99">
        <f>+I592-[1]Data!W590</f>
        <v>6.3010880564866745E-3</v>
      </c>
    </row>
    <row r="593" spans="3:19">
      <c r="C593" s="71">
        <v>41747</v>
      </c>
      <c r="D593" s="118">
        <f t="shared" si="54"/>
        <v>16.317860697128658</v>
      </c>
      <c r="E593" s="92">
        <f t="shared" si="55"/>
        <v>161.48623309392767</v>
      </c>
      <c r="F593" s="92">
        <f t="shared" si="56"/>
        <v>0</v>
      </c>
      <c r="G593" s="92">
        <f t="shared" si="58"/>
        <v>177.80409379105632</v>
      </c>
      <c r="H593" s="92">
        <f t="shared" si="57"/>
        <v>177.72411793798486</v>
      </c>
      <c r="I593" s="91">
        <f t="shared" si="59"/>
        <v>-1.7805302507188749E-3</v>
      </c>
      <c r="J593" s="115"/>
      <c r="K593" s="64"/>
      <c r="L593" s="119">
        <v>41747</v>
      </c>
      <c r="M593" s="117">
        <v>1.9634650244441231E-2</v>
      </c>
      <c r="N593" s="117">
        <v>-3.8945555702741305E-3</v>
      </c>
      <c r="O593" s="117">
        <v>1.6064931430170751E-2</v>
      </c>
      <c r="P593" s="89">
        <v>1.7098035334290159E-2</v>
      </c>
      <c r="R593" s="71">
        <v>41747</v>
      </c>
      <c r="S593" s="99">
        <f>+I593-[1]Data!W591</f>
        <v>-1.7882225584111826E-3</v>
      </c>
    </row>
    <row r="594" spans="3:19">
      <c r="C594" s="71">
        <v>41754</v>
      </c>
      <c r="D594" s="118">
        <f t="shared" si="54"/>
        <v>16.319423523485383</v>
      </c>
      <c r="E594" s="92">
        <f t="shared" si="55"/>
        <v>162.01452732953999</v>
      </c>
      <c r="F594" s="92">
        <f t="shared" si="56"/>
        <v>0</v>
      </c>
      <c r="G594" s="92">
        <f t="shared" si="58"/>
        <v>178.33395085302539</v>
      </c>
      <c r="H594" s="92">
        <f t="shared" si="57"/>
        <v>178.25373667152382</v>
      </c>
      <c r="I594" s="91">
        <f t="shared" si="59"/>
        <v>2.9800048506853352E-3</v>
      </c>
      <c r="J594" s="115"/>
      <c r="K594" s="64"/>
      <c r="L594" s="119">
        <v>41754</v>
      </c>
      <c r="M594" s="117">
        <v>9.5773973422771377E-5</v>
      </c>
      <c r="N594" s="117">
        <v>3.2714506090748478E-3</v>
      </c>
      <c r="O594" s="117">
        <v>-1.9281621859851407E-3</v>
      </c>
      <c r="P594" s="89">
        <v>-1.8732514292666067E-3</v>
      </c>
      <c r="R594" s="71">
        <v>41754</v>
      </c>
      <c r="S594" s="99">
        <f>+I594-[1]Data!W592</f>
        <v>2.9742356199161045E-3</v>
      </c>
    </row>
    <row r="595" spans="3:19">
      <c r="C595" s="71">
        <v>41761</v>
      </c>
      <c r="D595" s="118">
        <f t="shared" si="54"/>
        <v>16.497488051504451</v>
      </c>
      <c r="E595" s="92">
        <f t="shared" si="55"/>
        <v>162.61154276653281</v>
      </c>
      <c r="F595" s="92">
        <f t="shared" si="56"/>
        <v>0</v>
      </c>
      <c r="G595" s="92">
        <f t="shared" si="58"/>
        <v>179.10903081803727</v>
      </c>
      <c r="H595" s="92">
        <f t="shared" si="57"/>
        <v>179.02846800743455</v>
      </c>
      <c r="I595" s="91">
        <f t="shared" si="59"/>
        <v>4.3462277446579519E-3</v>
      </c>
      <c r="J595" s="115"/>
      <c r="K595" s="64"/>
      <c r="L595" s="119">
        <v>41761</v>
      </c>
      <c r="M595" s="117">
        <v>1.0911202087672687E-2</v>
      </c>
      <c r="N595" s="117">
        <v>3.6849500278360683E-3</v>
      </c>
      <c r="O595" s="117">
        <v>1.4958326433736315E-2</v>
      </c>
      <c r="P595" s="89">
        <v>1.0821877742029968E-2</v>
      </c>
      <c r="R595" s="71">
        <v>41761</v>
      </c>
      <c r="S595" s="99">
        <f>+I595-[1]Data!W593</f>
        <v>4.3404585138887208E-3</v>
      </c>
    </row>
    <row r="596" spans="3:19">
      <c r="C596" s="71">
        <v>41768</v>
      </c>
      <c r="D596" s="118">
        <f t="shared" si="54"/>
        <v>16.442496099077278</v>
      </c>
      <c r="E596" s="92">
        <f t="shared" si="55"/>
        <v>162.60295261636023</v>
      </c>
      <c r="F596" s="92">
        <f t="shared" si="56"/>
        <v>0</v>
      </c>
      <c r="G596" s="92">
        <f t="shared" si="58"/>
        <v>179.04544871543752</v>
      </c>
      <c r="H596" s="92">
        <f t="shared" si="57"/>
        <v>178.96491450391139</v>
      </c>
      <c r="I596" s="91">
        <f t="shared" si="59"/>
        <v>-3.5499104824227013E-4</v>
      </c>
      <c r="J596" s="115"/>
      <c r="K596" s="64"/>
      <c r="L596" s="119">
        <v>41768</v>
      </c>
      <c r="M596" s="117">
        <v>-3.3333530689939606E-3</v>
      </c>
      <c r="N596" s="117">
        <v>-5.2826201796192954E-5</v>
      </c>
      <c r="O596" s="117">
        <v>9.7889928214053255E-3</v>
      </c>
      <c r="P596" s="89">
        <v>-2.604166666666765E-3</v>
      </c>
      <c r="R596" s="71">
        <v>41768</v>
      </c>
      <c r="S596" s="99">
        <f>+I596-[1]Data!W594</f>
        <v>-3.6076027901150087E-4</v>
      </c>
    </row>
    <row r="597" spans="3:19">
      <c r="C597" s="71">
        <v>41775</v>
      </c>
      <c r="D597" s="118">
        <f t="shared" si="54"/>
        <v>16.445719428438018</v>
      </c>
      <c r="E597" s="92">
        <f t="shared" si="55"/>
        <v>163.26868925473352</v>
      </c>
      <c r="F597" s="92">
        <f t="shared" si="56"/>
        <v>0</v>
      </c>
      <c r="G597" s="92">
        <f t="shared" si="58"/>
        <v>179.71440868317154</v>
      </c>
      <c r="H597" s="92">
        <f t="shared" si="57"/>
        <v>179.63357357506339</v>
      </c>
      <c r="I597" s="91">
        <f t="shared" si="59"/>
        <v>3.7362578749333178E-3</v>
      </c>
      <c r="J597" s="115"/>
      <c r="K597" s="64"/>
      <c r="L597" s="119">
        <v>41775</v>
      </c>
      <c r="M597" s="117">
        <v>1.9603649843179987E-4</v>
      </c>
      <c r="N597" s="117">
        <v>4.094246922711214E-3</v>
      </c>
      <c r="O597" s="117">
        <v>1.3517880224041313E-2</v>
      </c>
      <c r="P597" s="89">
        <v>2.8043709505851102E-3</v>
      </c>
      <c r="R597" s="71">
        <v>41775</v>
      </c>
      <c r="S597" s="99">
        <f>+I597-[1]Data!W595</f>
        <v>3.7304886441640872E-3</v>
      </c>
    </row>
    <row r="598" spans="3:19">
      <c r="C598" s="71">
        <v>41782</v>
      </c>
      <c r="D598" s="118">
        <f t="shared" si="54"/>
        <v>16.584908650833611</v>
      </c>
      <c r="E598" s="92">
        <f t="shared" si="55"/>
        <v>163.045345350247</v>
      </c>
      <c r="F598" s="92">
        <f t="shared" si="56"/>
        <v>0</v>
      </c>
      <c r="G598" s="92">
        <f t="shared" si="58"/>
        <v>179.63025400108063</v>
      </c>
      <c r="H598" s="92">
        <f t="shared" si="57"/>
        <v>179.54945674554577</v>
      </c>
      <c r="I598" s="91">
        <f t="shared" si="59"/>
        <v>-4.6826897580187673E-4</v>
      </c>
      <c r="J598" s="115"/>
      <c r="K598" s="64"/>
      <c r="L598" s="119">
        <v>41782</v>
      </c>
      <c r="M598" s="117">
        <v>8.4635532669315606E-3</v>
      </c>
      <c r="N598" s="117">
        <v>-1.3679530686869802E-3</v>
      </c>
      <c r="O598" s="117">
        <v>-2.7631648865508807E-3</v>
      </c>
      <c r="P598" s="89">
        <v>8.7029893924783358E-3</v>
      </c>
      <c r="R598" s="71">
        <v>41782</v>
      </c>
      <c r="S598" s="99">
        <f>+I598-[1]Data!W596</f>
        <v>-4.7403820657110747E-4</v>
      </c>
    </row>
    <row r="599" spans="3:19">
      <c r="C599" s="71">
        <v>41789</v>
      </c>
      <c r="D599" s="118">
        <f t="shared" si="54"/>
        <v>16.75330319077046</v>
      </c>
      <c r="E599" s="92">
        <f t="shared" si="55"/>
        <v>163.68101646301633</v>
      </c>
      <c r="F599" s="92">
        <f t="shared" si="56"/>
        <v>0</v>
      </c>
      <c r="G599" s="92">
        <f t="shared" si="58"/>
        <v>180.43431965378679</v>
      </c>
      <c r="H599" s="92">
        <f t="shared" si="57"/>
        <v>180.35316073145825</v>
      </c>
      <c r="I599" s="91">
        <f t="shared" si="59"/>
        <v>4.4762262191161747E-3</v>
      </c>
      <c r="J599" s="115"/>
      <c r="K599" s="64"/>
      <c r="L599" s="119">
        <v>41789</v>
      </c>
      <c r="M599" s="117">
        <v>1.0153480099414591E-2</v>
      </c>
      <c r="N599" s="117">
        <v>3.8987381786569409E-3</v>
      </c>
      <c r="O599" s="117">
        <v>8.845313582352134E-3</v>
      </c>
      <c r="P599" s="89">
        <v>7.4568007456799488E-3</v>
      </c>
      <c r="R599" s="71">
        <v>41789</v>
      </c>
      <c r="S599" s="99">
        <f>+I599-[1]Data!W597</f>
        <v>4.4685339114238672E-3</v>
      </c>
    </row>
    <row r="600" spans="3:19">
      <c r="C600" s="71">
        <v>41796</v>
      </c>
      <c r="D600" s="118">
        <f t="shared" si="54"/>
        <v>16.941721443402812</v>
      </c>
      <c r="E600" s="92">
        <f t="shared" si="55"/>
        <v>162.93367339800378</v>
      </c>
      <c r="F600" s="92">
        <f t="shared" si="56"/>
        <v>0</v>
      </c>
      <c r="G600" s="92">
        <f t="shared" si="58"/>
        <v>179.8753948414066</v>
      </c>
      <c r="H600" s="92">
        <f t="shared" si="57"/>
        <v>179.79448732211222</v>
      </c>
      <c r="I600" s="91">
        <f t="shared" si="59"/>
        <v>-3.0976635345907797E-3</v>
      </c>
      <c r="J600" s="115"/>
      <c r="K600" s="64"/>
      <c r="L600" s="119">
        <v>41796</v>
      </c>
      <c r="M600" s="117">
        <v>1.1246633006448282E-2</v>
      </c>
      <c r="N600" s="117">
        <v>-4.5658505864755103E-3</v>
      </c>
      <c r="O600" s="117">
        <v>1.1038926741667855E-2</v>
      </c>
      <c r="P600" s="89">
        <v>1.1861551965459162E-2</v>
      </c>
      <c r="R600" s="71">
        <v>41796</v>
      </c>
      <c r="S600" s="99">
        <f>+I600-[1]Data!W598</f>
        <v>-3.1053558422830872E-3</v>
      </c>
    </row>
    <row r="601" spans="3:19">
      <c r="C601" s="71">
        <v>41803</v>
      </c>
      <c r="D601" s="118">
        <f t="shared" si="54"/>
        <v>16.87080819746653</v>
      </c>
      <c r="E601" s="92">
        <f t="shared" si="55"/>
        <v>162.9121980225724</v>
      </c>
      <c r="F601" s="92">
        <f t="shared" si="56"/>
        <v>0</v>
      </c>
      <c r="G601" s="92">
        <f t="shared" si="58"/>
        <v>179.78300622003894</v>
      </c>
      <c r="H601" s="92">
        <f t="shared" si="57"/>
        <v>179.70214025692388</v>
      </c>
      <c r="I601" s="91">
        <f t="shared" si="59"/>
        <v>-5.1362567653639904E-4</v>
      </c>
      <c r="J601" s="115"/>
      <c r="K601" s="64"/>
      <c r="L601" s="119">
        <v>41803</v>
      </c>
      <c r="M601" s="117">
        <v>-4.185716674257837E-3</v>
      </c>
      <c r="N601" s="117">
        <v>-1.3180440226706567E-4</v>
      </c>
      <c r="O601" s="117">
        <v>-1.4732002925504093E-2</v>
      </c>
      <c r="P601" s="89">
        <v>-3.3057463718846698E-3</v>
      </c>
      <c r="R601" s="71">
        <v>41803</v>
      </c>
      <c r="S601" s="99">
        <f>+I601-[1]Data!W599</f>
        <v>-5.2131798422870676E-4</v>
      </c>
    </row>
    <row r="602" spans="3:19">
      <c r="C602" s="71">
        <v>41810</v>
      </c>
      <c r="D602" s="118">
        <f t="shared" si="54"/>
        <v>17.068310378297337</v>
      </c>
      <c r="E602" s="92">
        <f t="shared" si="55"/>
        <v>163.05823057550589</v>
      </c>
      <c r="F602" s="92">
        <f t="shared" si="56"/>
        <v>0</v>
      </c>
      <c r="G602" s="92">
        <f t="shared" si="58"/>
        <v>180.12654095380321</v>
      </c>
      <c r="H602" s="92">
        <f t="shared" si="57"/>
        <v>180.04552046959247</v>
      </c>
      <c r="I602" s="91">
        <f t="shared" si="59"/>
        <v>1.9108298441946993E-3</v>
      </c>
      <c r="J602" s="115"/>
      <c r="K602" s="64"/>
      <c r="L602" s="119">
        <v>41810</v>
      </c>
      <c r="M602" s="117">
        <v>1.17067409290127E-2</v>
      </c>
      <c r="N602" s="117">
        <v>8.9638808331129712E-4</v>
      </c>
      <c r="O602" s="117">
        <v>1.0392364793213192E-2</v>
      </c>
      <c r="P602" s="89">
        <v>9.8795634173880053E-3</v>
      </c>
      <c r="R602" s="71">
        <v>41810</v>
      </c>
      <c r="S602" s="99">
        <f>+I602-[1]Data!W600</f>
        <v>1.9050606134254685E-3</v>
      </c>
    </row>
    <row r="603" spans="3:19">
      <c r="C603" s="71">
        <v>41817</v>
      </c>
      <c r="D603" s="118">
        <f t="shared" si="54"/>
        <v>17.004136821024417</v>
      </c>
      <c r="E603" s="92">
        <f t="shared" si="55"/>
        <v>164.01603231974616</v>
      </c>
      <c r="F603" s="92">
        <f t="shared" si="56"/>
        <v>0</v>
      </c>
      <c r="G603" s="92">
        <f t="shared" si="58"/>
        <v>181.02016914077058</v>
      </c>
      <c r="H603" s="92">
        <f t="shared" si="57"/>
        <v>180.93874670475401</v>
      </c>
      <c r="I603" s="91">
        <f t="shared" si="59"/>
        <v>4.9611133497341866E-3</v>
      </c>
      <c r="J603" s="115"/>
      <c r="K603" s="64"/>
      <c r="L603" s="119">
        <v>41817</v>
      </c>
      <c r="M603" s="117">
        <v>-3.7598072598044921E-3</v>
      </c>
      <c r="N603" s="117">
        <v>5.873985881361338E-3</v>
      </c>
      <c r="O603" s="117">
        <v>2.3089840470192995E-3</v>
      </c>
      <c r="P603" s="89">
        <v>-3.1212149445634376E-3</v>
      </c>
      <c r="R603" s="71">
        <v>41817</v>
      </c>
      <c r="S603" s="99">
        <f>+I603-[1]Data!W601</f>
        <v>4.9553441189649555E-3</v>
      </c>
    </row>
    <row r="604" spans="3:19">
      <c r="C604" s="71">
        <v>41824</v>
      </c>
      <c r="D604" s="118">
        <f t="shared" si="54"/>
        <v>17.224690690616878</v>
      </c>
      <c r="E604" s="92">
        <f t="shared" si="55"/>
        <v>163.13554192705891</v>
      </c>
      <c r="F604" s="92">
        <f t="shared" si="56"/>
        <v>0</v>
      </c>
      <c r="G604" s="92">
        <f t="shared" si="58"/>
        <v>180.36023261767579</v>
      </c>
      <c r="H604" s="92">
        <f t="shared" si="57"/>
        <v>180.27910701951757</v>
      </c>
      <c r="I604" s="91">
        <f t="shared" si="59"/>
        <v>-3.6456518973949025E-3</v>
      </c>
      <c r="J604" s="115"/>
      <c r="K604" s="64"/>
      <c r="L604" s="119">
        <v>41824</v>
      </c>
      <c r="M604" s="117">
        <v>1.297060073756658E-2</v>
      </c>
      <c r="N604" s="117">
        <v>-5.3683190614607365E-3</v>
      </c>
      <c r="O604" s="117">
        <v>-1.1518324607329784E-3</v>
      </c>
      <c r="P604" s="89">
        <v>1.3248282630029345E-2</v>
      </c>
      <c r="R604" s="71">
        <v>41824</v>
      </c>
      <c r="S604" s="99">
        <f>+I604-[1]Data!W602</f>
        <v>-3.6494980512410563E-3</v>
      </c>
    </row>
    <row r="605" spans="3:19">
      <c r="C605" s="71">
        <v>41831</v>
      </c>
      <c r="D605" s="118">
        <f t="shared" si="54"/>
        <v>16.956861323733563</v>
      </c>
      <c r="E605" s="92">
        <f t="shared" si="55"/>
        <v>164.09334367129921</v>
      </c>
      <c r="F605" s="92">
        <f t="shared" si="56"/>
        <v>0</v>
      </c>
      <c r="G605" s="92">
        <f t="shared" si="58"/>
        <v>181.05020499503277</v>
      </c>
      <c r="H605" s="92">
        <f t="shared" si="57"/>
        <v>180.96876904896129</v>
      </c>
      <c r="I605" s="91">
        <f t="shared" si="59"/>
        <v>3.8255238826374882E-3</v>
      </c>
      <c r="J605" s="115"/>
      <c r="K605" s="64"/>
      <c r="L605" s="119">
        <v>41831</v>
      </c>
      <c r="M605" s="117">
        <v>-1.5549153926416591E-2</v>
      </c>
      <c r="N605" s="117">
        <v>5.8712021483861253E-3</v>
      </c>
      <c r="O605" s="117">
        <v>3.1974001467658308E-3</v>
      </c>
      <c r="P605" s="89">
        <v>-1.4228064106998638E-2</v>
      </c>
      <c r="R605" s="71">
        <v>41831</v>
      </c>
      <c r="S605" s="99">
        <f>+I605-[1]Data!W603</f>
        <v>3.8197546518682576E-3</v>
      </c>
    </row>
    <row r="606" spans="3:19">
      <c r="C606" s="71">
        <v>41838</v>
      </c>
      <c r="D606" s="118">
        <f t="shared" si="54"/>
        <v>17.037835264341247</v>
      </c>
      <c r="E606" s="92">
        <f t="shared" si="55"/>
        <v>164.16206487267968</v>
      </c>
      <c r="F606" s="92">
        <f t="shared" si="56"/>
        <v>0</v>
      </c>
      <c r="G606" s="92">
        <f t="shared" si="58"/>
        <v>181.19990013702093</v>
      </c>
      <c r="H606" s="92">
        <f t="shared" si="57"/>
        <v>181.11839685843518</v>
      </c>
      <c r="I606" s="91">
        <f t="shared" si="59"/>
        <v>8.2681564482213021E-4</v>
      </c>
      <c r="J606" s="115"/>
      <c r="K606" s="64"/>
      <c r="L606" s="119">
        <v>41838</v>
      </c>
      <c r="M606" s="117">
        <v>4.7752906072510478E-3</v>
      </c>
      <c r="N606" s="117">
        <v>4.1879335165545913E-4</v>
      </c>
      <c r="O606" s="117">
        <v>1.0867861434766772E-2</v>
      </c>
      <c r="P606" s="89">
        <v>4.7253672686441046E-3</v>
      </c>
      <c r="R606" s="71">
        <v>41838</v>
      </c>
      <c r="S606" s="99">
        <f>+I606-[1]Data!W604</f>
        <v>8.2296949097597635E-4</v>
      </c>
    </row>
    <row r="607" spans="3:19">
      <c r="C607" s="71">
        <v>41845</v>
      </c>
      <c r="D607" s="118">
        <f t="shared" si="54"/>
        <v>17.076319863375542</v>
      </c>
      <c r="E607" s="92">
        <f t="shared" si="55"/>
        <v>164.13199934707572</v>
      </c>
      <c r="F607" s="92">
        <f t="shared" si="56"/>
        <v>0</v>
      </c>
      <c r="G607" s="92">
        <f t="shared" si="58"/>
        <v>181.20831921045126</v>
      </c>
      <c r="H607" s="92">
        <f t="shared" si="57"/>
        <v>181.12681214498656</v>
      </c>
      <c r="I607" s="91">
        <f t="shared" si="59"/>
        <v>4.6462903257477586E-5</v>
      </c>
      <c r="J607" s="115"/>
      <c r="K607" s="64"/>
      <c r="L607" s="119">
        <v>41845</v>
      </c>
      <c r="M607" s="117">
        <v>2.2587728098790094E-3</v>
      </c>
      <c r="N607" s="117">
        <v>-1.8314539127702883E-4</v>
      </c>
      <c r="O607" s="117">
        <v>-1.6023156044864954E-3</v>
      </c>
      <c r="P607" s="89">
        <v>3.6088474970896655E-3</v>
      </c>
      <c r="R607" s="71">
        <v>41845</v>
      </c>
      <c r="S607" s="99">
        <f>+I607-[1]Data!W605</f>
        <v>4.0693672488246816E-5</v>
      </c>
    </row>
    <row r="608" spans="3:19">
      <c r="C608" s="71">
        <v>41852</v>
      </c>
      <c r="D608" s="118">
        <f t="shared" si="54"/>
        <v>16.661291789018428</v>
      </c>
      <c r="E608" s="92">
        <f t="shared" si="55"/>
        <v>163.82704901594991</v>
      </c>
      <c r="F608" s="92">
        <f t="shared" si="56"/>
        <v>0</v>
      </c>
      <c r="G608" s="92">
        <f t="shared" si="58"/>
        <v>180.48834080496835</v>
      </c>
      <c r="H608" s="92">
        <f t="shared" si="57"/>
        <v>180.40715758405605</v>
      </c>
      <c r="I608" s="91">
        <f t="shared" si="59"/>
        <v>-3.9732083417580704E-3</v>
      </c>
      <c r="J608" s="115"/>
      <c r="K608" s="64"/>
      <c r="L608" s="119">
        <v>41852</v>
      </c>
      <c r="M608" s="117">
        <v>-2.430430430430431E-2</v>
      </c>
      <c r="N608" s="117">
        <v>-1.8579578165069859E-3</v>
      </c>
      <c r="O608" s="117">
        <v>-7.7655829364257608E-3</v>
      </c>
      <c r="P608" s="89">
        <v>-2.3523953137687011E-2</v>
      </c>
      <c r="R608" s="71">
        <v>41852</v>
      </c>
      <c r="S608" s="99">
        <f>+I608-[1]Data!W606</f>
        <v>-3.9789775725273015E-3</v>
      </c>
    </row>
    <row r="609" spans="3:19">
      <c r="C609" s="71">
        <v>41859</v>
      </c>
      <c r="D609" s="118">
        <f t="shared" si="54"/>
        <v>16.513116315071677</v>
      </c>
      <c r="E609" s="92">
        <f t="shared" si="55"/>
        <v>164.39829400242508</v>
      </c>
      <c r="F609" s="92">
        <f t="shared" si="56"/>
        <v>0</v>
      </c>
      <c r="G609" s="92">
        <f t="shared" si="58"/>
        <v>180.91141031749675</v>
      </c>
      <c r="H609" s="92">
        <f t="shared" si="57"/>
        <v>180.83003680093682</v>
      </c>
      <c r="I609" s="91">
        <f t="shared" si="59"/>
        <v>2.3440268254531047E-3</v>
      </c>
      <c r="J609" s="115"/>
      <c r="K609" s="64"/>
      <c r="L609" s="119">
        <v>41859</v>
      </c>
      <c r="M609" s="117">
        <v>-8.8933964918863576E-3</v>
      </c>
      <c r="N609" s="117">
        <v>3.4868783262983617E-3</v>
      </c>
      <c r="O609" s="117">
        <v>-1.0748199937389138E-2</v>
      </c>
      <c r="P609" s="89">
        <v>-9.431945071392998E-3</v>
      </c>
      <c r="R609" s="71">
        <v>41859</v>
      </c>
      <c r="S609" s="99">
        <f>+I609-[1]Data!W607</f>
        <v>2.338257594683874E-3</v>
      </c>
    </row>
    <row r="610" spans="3:19">
      <c r="C610" s="71">
        <v>41866</v>
      </c>
      <c r="D610" s="118">
        <f t="shared" si="54"/>
        <v>16.744316939219313</v>
      </c>
      <c r="E610" s="92">
        <f t="shared" si="55"/>
        <v>164.9996045145042</v>
      </c>
      <c r="F610" s="92">
        <f t="shared" si="56"/>
        <v>0</v>
      </c>
      <c r="G610" s="92">
        <f t="shared" si="58"/>
        <v>181.74392145372352</v>
      </c>
      <c r="H610" s="92">
        <f t="shared" si="57"/>
        <v>181.66217347565993</v>
      </c>
      <c r="I610" s="91">
        <f t="shared" si="59"/>
        <v>4.601761352507735E-3</v>
      </c>
      <c r="J610" s="115"/>
      <c r="K610" s="64"/>
      <c r="L610" s="119">
        <v>41866</v>
      </c>
      <c r="M610" s="117">
        <v>1.4001029226483106E-2</v>
      </c>
      <c r="N610" s="117">
        <v>3.6576444769569291E-3</v>
      </c>
      <c r="O610" s="117">
        <v>2.2943037974683514E-2</v>
      </c>
      <c r="P610" s="89">
        <v>1.5517820309876786E-2</v>
      </c>
      <c r="R610" s="71">
        <v>41866</v>
      </c>
      <c r="S610" s="99">
        <f>+I610-[1]Data!W608</f>
        <v>4.5940690448154275E-3</v>
      </c>
    </row>
    <row r="611" spans="3:19">
      <c r="C611" s="71">
        <v>41873</v>
      </c>
      <c r="D611" s="118">
        <f t="shared" si="54"/>
        <v>16.9562752638498</v>
      </c>
      <c r="E611" s="92">
        <f t="shared" si="55"/>
        <v>164.17924517302484</v>
      </c>
      <c r="F611" s="92">
        <f t="shared" si="56"/>
        <v>0</v>
      </c>
      <c r="G611" s="92">
        <f t="shared" si="58"/>
        <v>181.13552043687463</v>
      </c>
      <c r="H611" s="92">
        <f t="shared" si="57"/>
        <v>181.05404611612286</v>
      </c>
      <c r="I611" s="91">
        <f t="shared" si="59"/>
        <v>-3.3475728485575168E-3</v>
      </c>
      <c r="J611" s="115"/>
      <c r="K611" s="64"/>
      <c r="L611" s="119">
        <v>41873</v>
      </c>
      <c r="M611" s="117">
        <v>1.2658523211181529E-2</v>
      </c>
      <c r="N611" s="117">
        <v>-4.9718867138692857E-3</v>
      </c>
      <c r="O611" s="117">
        <v>9.3323021397267465E-3</v>
      </c>
      <c r="P611" s="89">
        <v>1.2139533785219966E-2</v>
      </c>
      <c r="R611" s="71">
        <v>41873</v>
      </c>
      <c r="S611" s="99">
        <f>+I611-[1]Data!W609</f>
        <v>-3.3533420793267475E-3</v>
      </c>
    </row>
    <row r="612" spans="3:19">
      <c r="C612" s="71">
        <v>41880</v>
      </c>
      <c r="D612" s="118">
        <f t="shared" si="54"/>
        <v>17.080617635856534</v>
      </c>
      <c r="E612" s="92">
        <f t="shared" si="55"/>
        <v>164.84068673631185</v>
      </c>
      <c r="F612" s="92">
        <f t="shared" si="56"/>
        <v>0</v>
      </c>
      <c r="G612" s="92">
        <f t="shared" si="58"/>
        <v>181.92130437216838</v>
      </c>
      <c r="H612" s="92">
        <f t="shared" si="57"/>
        <v>181.83947660769542</v>
      </c>
      <c r="I612" s="91">
        <f t="shared" si="59"/>
        <v>4.3380996361097749E-3</v>
      </c>
      <c r="J612" s="115"/>
      <c r="K612" s="64"/>
      <c r="L612" s="119">
        <v>41880</v>
      </c>
      <c r="M612" s="117">
        <v>7.3331182746146327E-3</v>
      </c>
      <c r="N612" s="117">
        <v>4.0287769784173198E-3</v>
      </c>
      <c r="O612" s="117">
        <v>-5.1082958724966445E-4</v>
      </c>
      <c r="P612" s="89">
        <v>7.0003500175008747E-3</v>
      </c>
      <c r="R612" s="71">
        <v>41880</v>
      </c>
      <c r="S612" s="99">
        <f>+I612-[1]Data!W610</f>
        <v>4.3323304053405438E-3</v>
      </c>
    </row>
    <row r="613" spans="3:19">
      <c r="C613" s="71">
        <v>41887</v>
      </c>
      <c r="D613" s="118">
        <f t="shared" si="54"/>
        <v>17.099566905431796</v>
      </c>
      <c r="E613" s="92">
        <f t="shared" si="55"/>
        <v>163.61659033672225</v>
      </c>
      <c r="F613" s="92">
        <f t="shared" si="56"/>
        <v>0</v>
      </c>
      <c r="G613" s="92">
        <f t="shared" si="58"/>
        <v>180.71615724215405</v>
      </c>
      <c r="H613" s="92">
        <f t="shared" si="57"/>
        <v>180.63487154995707</v>
      </c>
      <c r="I613" s="91">
        <f t="shared" si="59"/>
        <v>-6.6245519411452678E-3</v>
      </c>
      <c r="J613" s="115"/>
      <c r="K613" s="64"/>
      <c r="L613" s="119">
        <v>41887</v>
      </c>
      <c r="M613" s="117">
        <v>1.1094018951329592E-3</v>
      </c>
      <c r="N613" s="117">
        <v>-7.425936058782205E-3</v>
      </c>
      <c r="O613" s="117">
        <v>6.2353061433098175E-3</v>
      </c>
      <c r="P613" s="89">
        <v>1.9001274475726872E-3</v>
      </c>
      <c r="R613" s="71">
        <v>41887</v>
      </c>
      <c r="S613" s="99">
        <f>+I613-[1]Data!W611</f>
        <v>-6.6303211719144989E-3</v>
      </c>
    </row>
    <row r="614" spans="3:19">
      <c r="C614" s="71">
        <v>41894</v>
      </c>
      <c r="D614" s="118">
        <f t="shared" si="54"/>
        <v>16.893176149697133</v>
      </c>
      <c r="E614" s="92">
        <f t="shared" si="55"/>
        <v>162.05747808040289</v>
      </c>
      <c r="F614" s="92">
        <f t="shared" si="56"/>
        <v>0</v>
      </c>
      <c r="G614" s="92">
        <f t="shared" si="58"/>
        <v>178.95065423010001</v>
      </c>
      <c r="H614" s="92">
        <f t="shared" si="57"/>
        <v>178.87016265690491</v>
      </c>
      <c r="I614" s="91">
        <f t="shared" si="59"/>
        <v>-9.7694807093994824E-3</v>
      </c>
      <c r="J614" s="115"/>
      <c r="K614" s="64"/>
      <c r="L614" s="119">
        <v>41894</v>
      </c>
      <c r="M614" s="117">
        <v>-1.2069940535692927E-2</v>
      </c>
      <c r="N614" s="117">
        <v>-9.529059694440057E-3</v>
      </c>
      <c r="O614" s="117">
        <v>-3.890694839496138E-2</v>
      </c>
      <c r="P614" s="89">
        <v>-1.4339570275458492E-2</v>
      </c>
      <c r="R614" s="71">
        <v>41894</v>
      </c>
      <c r="S614" s="99">
        <f>+I614-[1]Data!W612</f>
        <v>-9.773326863245637E-3</v>
      </c>
    </row>
    <row r="615" spans="3:19">
      <c r="C615" s="71">
        <v>41901</v>
      </c>
      <c r="D615" s="118">
        <f t="shared" si="54"/>
        <v>16.99886228207049</v>
      </c>
      <c r="E615" s="92">
        <f t="shared" si="55"/>
        <v>162.04029778005776</v>
      </c>
      <c r="F615" s="92">
        <f t="shared" si="56"/>
        <v>0</v>
      </c>
      <c r="G615" s="92">
        <f t="shared" si="58"/>
        <v>179.03916006212825</v>
      </c>
      <c r="H615" s="92">
        <f t="shared" si="57"/>
        <v>178.9586286792231</v>
      </c>
      <c r="I615" s="91">
        <f t="shared" si="59"/>
        <v>4.9458233281687988E-4</v>
      </c>
      <c r="J615" s="115"/>
      <c r="K615" s="64"/>
      <c r="L615" s="119">
        <v>41901</v>
      </c>
      <c r="M615" s="117">
        <v>6.256143394044485E-3</v>
      </c>
      <c r="N615" s="117">
        <v>-1.0601362275057767E-4</v>
      </c>
      <c r="O615" s="117">
        <v>-1.1098192580065502E-2</v>
      </c>
      <c r="P615" s="89">
        <v>4.7633573456601188E-3</v>
      </c>
      <c r="R615" s="71">
        <v>41901</v>
      </c>
      <c r="S615" s="99">
        <f>+I615-[1]Data!W613</f>
        <v>4.9073617897072601E-4</v>
      </c>
    </row>
    <row r="616" spans="3:19">
      <c r="C616" s="71">
        <v>41908</v>
      </c>
      <c r="D616" s="118">
        <f t="shared" si="54"/>
        <v>16.681901561597712</v>
      </c>
      <c r="E616" s="92">
        <f t="shared" si="55"/>
        <v>162.1992155582501</v>
      </c>
      <c r="F616" s="92">
        <f t="shared" si="56"/>
        <v>0</v>
      </c>
      <c r="G616" s="92">
        <f t="shared" si="58"/>
        <v>178.88111711984783</v>
      </c>
      <c r="H616" s="92">
        <f t="shared" si="57"/>
        <v>178.80065682427738</v>
      </c>
      <c r="I616" s="91">
        <f t="shared" si="59"/>
        <v>-8.8272834962807491E-4</v>
      </c>
      <c r="J616" s="115"/>
      <c r="K616" s="64"/>
      <c r="L616" s="119">
        <v>41908</v>
      </c>
      <c r="M616" s="117">
        <v>-1.8645996138641197E-2</v>
      </c>
      <c r="N616" s="117">
        <v>9.8072998118059885E-4</v>
      </c>
      <c r="O616" s="117">
        <v>-1.2077811030354803E-2</v>
      </c>
      <c r="P616" s="89">
        <v>-1.973376926669778E-2</v>
      </c>
      <c r="R616" s="71">
        <v>41908</v>
      </c>
      <c r="S616" s="99">
        <f>+I616-[1]Data!W614</f>
        <v>-8.8465142655115179E-4</v>
      </c>
    </row>
    <row r="617" spans="3:19">
      <c r="C617" s="71">
        <v>41915</v>
      </c>
      <c r="D617" s="118">
        <f t="shared" si="54"/>
        <v>16.363671044710099</v>
      </c>
      <c r="E617" s="92">
        <f t="shared" si="55"/>
        <v>162.39678901221899</v>
      </c>
      <c r="F617" s="92">
        <f t="shared" si="56"/>
        <v>0</v>
      </c>
      <c r="G617" s="92">
        <f t="shared" si="58"/>
        <v>178.76046005692908</v>
      </c>
      <c r="H617" s="92">
        <f t="shared" si="57"/>
        <v>178.68005403261489</v>
      </c>
      <c r="I617" s="91">
        <f t="shared" si="59"/>
        <v>-6.745097797991789E-4</v>
      </c>
      <c r="J617" s="115"/>
      <c r="K617" s="64"/>
      <c r="L617" s="119">
        <v>41915</v>
      </c>
      <c r="M617" s="117">
        <v>-1.9076393402308097E-2</v>
      </c>
      <c r="N617" s="117">
        <v>1.2180913038873965E-3</v>
      </c>
      <c r="O617" s="117">
        <v>-1.7797251974467274E-2</v>
      </c>
      <c r="P617" s="89">
        <v>-1.9821322215604509E-2</v>
      </c>
      <c r="R617" s="71">
        <v>41915</v>
      </c>
      <c r="S617" s="99">
        <f>+I617-[1]Data!W615</f>
        <v>-6.7835593364533276E-4</v>
      </c>
    </row>
    <row r="618" spans="3:19">
      <c r="C618" s="71">
        <v>41922</v>
      </c>
      <c r="D618" s="118">
        <f t="shared" si="54"/>
        <v>15.888864862208349</v>
      </c>
      <c r="E618" s="92">
        <f t="shared" si="55"/>
        <v>163.72826228896554</v>
      </c>
      <c r="F618" s="92">
        <f t="shared" si="56"/>
        <v>0</v>
      </c>
      <c r="G618" s="92">
        <f t="shared" si="58"/>
        <v>179.61712715117389</v>
      </c>
      <c r="H618" s="92">
        <f t="shared" si="57"/>
        <v>179.53633580006436</v>
      </c>
      <c r="I618" s="91">
        <f t="shared" si="59"/>
        <v>4.7922627519083622E-3</v>
      </c>
      <c r="J618" s="115"/>
      <c r="K618" s="64"/>
      <c r="L618" s="119">
        <v>41922</v>
      </c>
      <c r="M618" s="117">
        <v>-2.9015871878898519E-2</v>
      </c>
      <c r="N618" s="117">
        <v>8.198889182755794E-3</v>
      </c>
      <c r="O618" s="117">
        <v>8.316351820234727E-3</v>
      </c>
      <c r="P618" s="89">
        <v>-2.6687407335391239E-2</v>
      </c>
      <c r="R618" s="71">
        <v>41922</v>
      </c>
      <c r="S618" s="99">
        <f>+I618-[1]Data!W616</f>
        <v>4.7903396749852849E-3</v>
      </c>
    </row>
    <row r="619" spans="3:19">
      <c r="C619" s="71">
        <v>41929</v>
      </c>
      <c r="D619" s="118">
        <f t="shared" si="54"/>
        <v>15.760713100957105</v>
      </c>
      <c r="E619" s="92">
        <f t="shared" si="55"/>
        <v>164.67317880794698</v>
      </c>
      <c r="F619" s="92">
        <f t="shared" si="56"/>
        <v>0</v>
      </c>
      <c r="G619" s="92">
        <f t="shared" si="58"/>
        <v>180.43389190890409</v>
      </c>
      <c r="H619" s="92">
        <f t="shared" si="57"/>
        <v>180.35273317897406</v>
      </c>
      <c r="I619" s="91">
        <f t="shared" si="59"/>
        <v>4.5472543219265468E-3</v>
      </c>
      <c r="J619" s="115"/>
      <c r="K619" s="64"/>
      <c r="L619" s="119">
        <v>41929</v>
      </c>
      <c r="M619" s="117">
        <v>-8.0655076597733535E-3</v>
      </c>
      <c r="N619" s="117">
        <v>5.7712486883525413E-3</v>
      </c>
      <c r="O619" s="117">
        <v>4.9705046974000246E-3</v>
      </c>
      <c r="P619" s="89">
        <v>-8.6402796853539254E-3</v>
      </c>
      <c r="R619" s="71">
        <v>41929</v>
      </c>
      <c r="S619" s="99">
        <f>+I619-[1]Data!W617</f>
        <v>4.543408168080393E-3</v>
      </c>
    </row>
    <row r="620" spans="3:19">
      <c r="C620" s="71">
        <v>41936</v>
      </c>
      <c r="D620" s="118">
        <f t="shared" si="54"/>
        <v>16.291292649064388</v>
      </c>
      <c r="E620" s="92">
        <f t="shared" si="55"/>
        <v>163.9430160432795</v>
      </c>
      <c r="F620" s="92">
        <f t="shared" si="56"/>
        <v>0</v>
      </c>
      <c r="G620" s="92">
        <f t="shared" si="58"/>
        <v>180.23430869234389</v>
      </c>
      <c r="H620" s="92">
        <f t="shared" si="57"/>
        <v>180.15323973446391</v>
      </c>
      <c r="I620" s="91">
        <f t="shared" si="59"/>
        <v>-1.1061293111215844E-3</v>
      </c>
      <c r="J620" s="115"/>
      <c r="K620" s="64"/>
      <c r="L620" s="119">
        <v>41936</v>
      </c>
      <c r="M620" s="117">
        <v>3.366469173752458E-2</v>
      </c>
      <c r="N620" s="117">
        <v>-4.4340114762649683E-3</v>
      </c>
      <c r="O620" s="117">
        <v>2.9023316484591572E-2</v>
      </c>
      <c r="P620" s="89">
        <v>3.0832010881886217E-2</v>
      </c>
      <c r="R620" s="71">
        <v>41936</v>
      </c>
      <c r="S620" s="99">
        <f>+I620-[1]Data!W618</f>
        <v>-1.1099754649677382E-3</v>
      </c>
    </row>
    <row r="621" spans="3:19">
      <c r="C621" s="71">
        <v>41943</v>
      </c>
      <c r="D621" s="118">
        <f t="shared" si="54"/>
        <v>16.684050447838207</v>
      </c>
      <c r="E621" s="92">
        <f t="shared" si="55"/>
        <v>162.95514877343524</v>
      </c>
      <c r="F621" s="92">
        <f t="shared" si="56"/>
        <v>0</v>
      </c>
      <c r="G621" s="92">
        <f t="shared" si="58"/>
        <v>179.63919922127346</v>
      </c>
      <c r="H621" s="92">
        <f t="shared" si="57"/>
        <v>179.5583979422</v>
      </c>
      <c r="I621" s="91">
        <f t="shared" si="59"/>
        <v>-3.3018656402775278E-3</v>
      </c>
      <c r="J621" s="115"/>
      <c r="K621" s="64"/>
      <c r="L621" s="119">
        <v>41943</v>
      </c>
      <c r="M621" s="117">
        <v>2.4108449049092144E-2</v>
      </c>
      <c r="N621" s="117">
        <v>-6.0256746135708972E-3</v>
      </c>
      <c r="O621" s="117">
        <v>2.8257539745418021E-2</v>
      </c>
      <c r="P621" s="89">
        <v>2.4973731153629913E-2</v>
      </c>
      <c r="R621" s="71">
        <v>41943</v>
      </c>
      <c r="S621" s="99">
        <f>+I621-[1]Data!W619</f>
        <v>-3.3057117941236815E-3</v>
      </c>
    </row>
    <row r="622" spans="3:19">
      <c r="C622" s="71">
        <v>41950</v>
      </c>
      <c r="D622" s="118">
        <f t="shared" si="54"/>
        <v>16.673501369930332</v>
      </c>
      <c r="E622" s="92">
        <f t="shared" si="55"/>
        <v>162.42685453782292</v>
      </c>
      <c r="F622" s="92">
        <f t="shared" si="56"/>
        <v>0</v>
      </c>
      <c r="G622" s="92">
        <f t="shared" si="58"/>
        <v>179.10035590775325</v>
      </c>
      <c r="H622" s="92">
        <f t="shared" si="57"/>
        <v>179.01979699910419</v>
      </c>
      <c r="I622" s="91">
        <f t="shared" si="59"/>
        <v>-2.9995864814364821E-3</v>
      </c>
      <c r="J622" s="115"/>
      <c r="K622" s="64"/>
      <c r="L622" s="119">
        <v>41950</v>
      </c>
      <c r="M622" s="117">
        <v>-6.3228518403592746E-4</v>
      </c>
      <c r="N622" s="117">
        <v>-3.2419609910383802E-3</v>
      </c>
      <c r="O622" s="117">
        <v>-1.1814259297308461E-2</v>
      </c>
      <c r="P622" s="89">
        <v>-3.5761115746811302E-3</v>
      </c>
      <c r="R622" s="71">
        <v>41950</v>
      </c>
      <c r="S622" s="99">
        <f>+I622-[1]Data!W620</f>
        <v>-3.0053557122057127E-3</v>
      </c>
    </row>
    <row r="623" spans="3:19">
      <c r="C623" s="71">
        <v>41957</v>
      </c>
      <c r="D623" s="118">
        <f t="shared" si="54"/>
        <v>16.773033873524096</v>
      </c>
      <c r="E623" s="92">
        <f t="shared" si="55"/>
        <v>162.32806781083849</v>
      </c>
      <c r="F623" s="92">
        <f t="shared" si="56"/>
        <v>0</v>
      </c>
      <c r="G623" s="92">
        <f t="shared" si="58"/>
        <v>179.10110168436259</v>
      </c>
      <c r="H623" s="92">
        <f t="shared" si="57"/>
        <v>179.02054244026499</v>
      </c>
      <c r="I623" s="91">
        <f t="shared" si="59"/>
        <v>4.1640152279139237E-6</v>
      </c>
      <c r="J623" s="115"/>
      <c r="K623" s="64"/>
      <c r="L623" s="119">
        <v>41957</v>
      </c>
      <c r="M623" s="117">
        <v>5.9695022290437985E-3</v>
      </c>
      <c r="N623" s="117">
        <v>-6.0819208292571644E-4</v>
      </c>
      <c r="O623" s="117">
        <v>1.0811934712548148E-2</v>
      </c>
      <c r="P623" s="89">
        <v>5.6705347529608912E-3</v>
      </c>
      <c r="R623" s="71">
        <v>41957</v>
      </c>
      <c r="S623" s="99">
        <f>+I623-[1]Data!W621</f>
        <v>3.1786138176007776E-7</v>
      </c>
    </row>
    <row r="624" spans="3:19">
      <c r="C624" s="71">
        <v>41964</v>
      </c>
      <c r="D624" s="118">
        <f t="shared" si="54"/>
        <v>16.968777874703587</v>
      </c>
      <c r="E624" s="92">
        <f t="shared" si="55"/>
        <v>162.31947766066594</v>
      </c>
      <c r="F624" s="92">
        <f t="shared" si="56"/>
        <v>0</v>
      </c>
      <c r="G624" s="92">
        <f t="shared" si="58"/>
        <v>179.28825553536953</v>
      </c>
      <c r="H624" s="92">
        <f t="shared" si="57"/>
        <v>179.20761210992057</v>
      </c>
      <c r="I624" s="91">
        <f t="shared" si="59"/>
        <v>1.0449620312037999E-3</v>
      </c>
      <c r="J624" s="115"/>
      <c r="K624" s="64"/>
      <c r="L624" s="119">
        <v>41964</v>
      </c>
      <c r="M624" s="117">
        <v>1.1670160726764479E-2</v>
      </c>
      <c r="N624" s="117">
        <v>-5.2918452664395961E-5</v>
      </c>
      <c r="O624" s="117">
        <v>6.6851794713563434E-4</v>
      </c>
      <c r="P624" s="89">
        <v>1.1871907118386014E-2</v>
      </c>
      <c r="R624" s="71">
        <v>41964</v>
      </c>
      <c r="S624" s="99">
        <f>+I624-[1]Data!W622</f>
        <v>1.0411158773576462E-3</v>
      </c>
    </row>
    <row r="625" spans="3:19">
      <c r="C625" s="71">
        <v>41971</v>
      </c>
      <c r="D625" s="118">
        <f t="shared" si="54"/>
        <v>16.990852796992293</v>
      </c>
      <c r="E625" s="92">
        <f t="shared" si="55"/>
        <v>163.16560745266293</v>
      </c>
      <c r="F625" s="92">
        <f t="shared" si="56"/>
        <v>0</v>
      </c>
      <c r="G625" s="92">
        <f t="shared" si="58"/>
        <v>180.15646024965523</v>
      </c>
      <c r="H625" s="92">
        <f t="shared" si="57"/>
        <v>180.07542630781722</v>
      </c>
      <c r="I625" s="91">
        <f t="shared" si="59"/>
        <v>4.842507456459819E-3</v>
      </c>
      <c r="J625" s="115"/>
      <c r="K625" s="64"/>
      <c r="L625" s="119">
        <v>41971</v>
      </c>
      <c r="M625" s="117">
        <v>1.3009140936197595E-3</v>
      </c>
      <c r="N625" s="117">
        <v>5.2127434377645275E-3</v>
      </c>
      <c r="O625" s="117">
        <v>9.8155095328639527E-3</v>
      </c>
      <c r="P625" s="89">
        <v>1.1991253438668051E-3</v>
      </c>
      <c r="R625" s="71">
        <v>41971</v>
      </c>
      <c r="S625" s="99">
        <f>+I625-[1]Data!W623</f>
        <v>4.8386613026136652E-3</v>
      </c>
    </row>
    <row r="626" spans="3:19">
      <c r="C626" s="71">
        <v>41978</v>
      </c>
      <c r="D626" s="118">
        <f t="shared" si="54"/>
        <v>16.981280485557367</v>
      </c>
      <c r="E626" s="92">
        <f t="shared" si="55"/>
        <v>161.8470194011752</v>
      </c>
      <c r="F626" s="92">
        <f t="shared" si="56"/>
        <v>0</v>
      </c>
      <c r="G626" s="92">
        <f t="shared" si="58"/>
        <v>178.82829988673257</v>
      </c>
      <c r="H626" s="92">
        <f t="shared" si="57"/>
        <v>178.74786334822636</v>
      </c>
      <c r="I626" s="91">
        <f t="shared" si="59"/>
        <v>-7.3722605399892558E-3</v>
      </c>
      <c r="J626" s="115"/>
      <c r="K626" s="64"/>
      <c r="L626" s="119">
        <v>41978</v>
      </c>
      <c r="M626" s="117">
        <v>-5.6338028169015128E-4</v>
      </c>
      <c r="N626" s="117">
        <v>-8.0812866882518444E-3</v>
      </c>
      <c r="O626" s="117">
        <v>-9.6692111959287824E-3</v>
      </c>
      <c r="P626" s="89">
        <v>-2.5127988351885612E-3</v>
      </c>
      <c r="R626" s="71">
        <v>41978</v>
      </c>
      <c r="S626" s="99">
        <f>+I626-[1]Data!W624</f>
        <v>-7.3761066938354096E-3</v>
      </c>
    </row>
    <row r="627" spans="3:19">
      <c r="C627" s="71">
        <v>41985</v>
      </c>
      <c r="D627" s="118">
        <f t="shared" si="54"/>
        <v>16.361229128527722</v>
      </c>
      <c r="E627" s="92">
        <f t="shared" si="55"/>
        <v>163.6080001865497</v>
      </c>
      <c r="F627" s="92">
        <f t="shared" si="56"/>
        <v>0</v>
      </c>
      <c r="G627" s="92">
        <f t="shared" si="58"/>
        <v>179.96922931507743</v>
      </c>
      <c r="H627" s="92">
        <f t="shared" si="57"/>
        <v>179.88827958926274</v>
      </c>
      <c r="I627" s="91">
        <f t="shared" si="59"/>
        <v>6.3800272611633018E-3</v>
      </c>
      <c r="J627" s="115"/>
      <c r="K627" s="64"/>
      <c r="L627" s="119">
        <v>41985</v>
      </c>
      <c r="M627" s="117">
        <v>-3.6513816349538701E-2</v>
      </c>
      <c r="N627" s="117">
        <v>1.088052651133173E-2</v>
      </c>
      <c r="O627" s="117">
        <v>-8.8386433710174669E-3</v>
      </c>
      <c r="P627" s="89">
        <v>-3.7692760447321935E-2</v>
      </c>
      <c r="R627" s="71">
        <v>41985</v>
      </c>
      <c r="S627" s="99">
        <f>+I627-[1]Data!W625</f>
        <v>6.3742580303940708E-3</v>
      </c>
    </row>
    <row r="628" spans="3:19">
      <c r="C628" s="71">
        <v>41992</v>
      </c>
      <c r="D628" s="118">
        <f t="shared" si="54"/>
        <v>16.771080340578195</v>
      </c>
      <c r="E628" s="92">
        <f t="shared" si="55"/>
        <v>162.93367339800386</v>
      </c>
      <c r="F628" s="92">
        <f t="shared" si="56"/>
        <v>0</v>
      </c>
      <c r="G628" s="92">
        <f t="shared" si="58"/>
        <v>179.70475373858204</v>
      </c>
      <c r="H628" s="92">
        <f t="shared" si="57"/>
        <v>179.62392297324459</v>
      </c>
      <c r="I628" s="91">
        <f t="shared" si="59"/>
        <v>-1.4695599770132379E-3</v>
      </c>
      <c r="J628" s="115"/>
      <c r="K628" s="64"/>
      <c r="L628" s="119">
        <v>41992</v>
      </c>
      <c r="M628" s="117">
        <v>2.5050148056165844E-2</v>
      </c>
      <c r="N628" s="117">
        <v>-4.121600336028544E-3</v>
      </c>
      <c r="O628" s="117">
        <v>7.4139361260887951E-3</v>
      </c>
      <c r="P628" s="89">
        <v>2.3144297108186083E-2</v>
      </c>
      <c r="R628" s="71">
        <v>41992</v>
      </c>
      <c r="S628" s="99">
        <f>+I628-[1]Data!W626</f>
        <v>-1.4772522847055457E-3</v>
      </c>
    </row>
    <row r="629" spans="3:19">
      <c r="C629" s="71">
        <v>41999</v>
      </c>
      <c r="D629" s="118">
        <f t="shared" si="54"/>
        <v>16.892394736518778</v>
      </c>
      <c r="E629" s="92">
        <f t="shared" si="55"/>
        <v>162.4483299132543</v>
      </c>
      <c r="F629" s="92">
        <f t="shared" si="56"/>
        <v>0</v>
      </c>
      <c r="G629" s="92">
        <f t="shared" si="58"/>
        <v>179.34072464977308</v>
      </c>
      <c r="H629" s="92">
        <f t="shared" si="57"/>
        <v>179.26005762384284</v>
      </c>
      <c r="I629" s="91">
        <f t="shared" si="59"/>
        <v>-2.0257065060089326E-3</v>
      </c>
      <c r="J629" s="115"/>
      <c r="K629" s="64"/>
      <c r="L629" s="119">
        <v>41999</v>
      </c>
      <c r="M629" s="117">
        <v>7.2335468841002171E-3</v>
      </c>
      <c r="N629" s="117">
        <v>-2.9787794912349949E-3</v>
      </c>
      <c r="O629" s="117">
        <v>1.1630899078791574E-2</v>
      </c>
      <c r="P629" s="89">
        <v>7.3409851745576118E-3</v>
      </c>
      <c r="R629" s="71">
        <v>41999</v>
      </c>
      <c r="S629" s="99">
        <f>+I629-[1]Data!W627</f>
        <v>-2.0314757367781633E-3</v>
      </c>
    </row>
    <row r="630" spans="3:19">
      <c r="C630" s="71">
        <v>42006</v>
      </c>
      <c r="D630" s="118">
        <f t="shared" si="54"/>
        <v>16.651035741052446</v>
      </c>
      <c r="E630" s="92">
        <f t="shared" si="55"/>
        <v>163.23003357895712</v>
      </c>
      <c r="F630" s="92">
        <f t="shared" si="56"/>
        <v>0</v>
      </c>
      <c r="G630" s="92">
        <f t="shared" si="58"/>
        <v>179.88106932000957</v>
      </c>
      <c r="H630" s="92">
        <f t="shared" si="57"/>
        <v>179.80015924834831</v>
      </c>
      <c r="I630" s="91">
        <f t="shared" si="59"/>
        <v>3.0129501890421707E-3</v>
      </c>
      <c r="J630" s="115"/>
      <c r="K630" s="64"/>
      <c r="L630" s="119">
        <v>42006</v>
      </c>
      <c r="M630" s="117">
        <v>-1.4288027199870497E-2</v>
      </c>
      <c r="N630" s="117">
        <v>4.8120141716461139E-3</v>
      </c>
      <c r="O630" s="117">
        <v>-3.4593274660426662E-3</v>
      </c>
      <c r="P630" s="89">
        <v>-1.2699693783084403E-2</v>
      </c>
      <c r="R630" s="71">
        <v>42006</v>
      </c>
      <c r="S630" s="99">
        <f>+I630-[1]Data!W628</f>
        <v>3.0071809582729401E-3</v>
      </c>
    </row>
    <row r="631" spans="3:19">
      <c r="C631" s="71">
        <v>42013</v>
      </c>
      <c r="D631" s="118">
        <f t="shared" si="54"/>
        <v>16.446793871558274</v>
      </c>
      <c r="E631" s="92">
        <f t="shared" si="55"/>
        <v>163.96878649379715</v>
      </c>
      <c r="F631" s="92">
        <f t="shared" si="56"/>
        <v>0</v>
      </c>
      <c r="G631" s="92">
        <f t="shared" si="58"/>
        <v>180.41558036535542</v>
      </c>
      <c r="H631" s="92">
        <f t="shared" si="57"/>
        <v>180.33442987191356</v>
      </c>
      <c r="I631" s="91">
        <f t="shared" si="59"/>
        <v>2.9714691343920847E-3</v>
      </c>
      <c r="J631" s="115"/>
      <c r="K631" s="64"/>
      <c r="L631" s="119">
        <v>42013</v>
      </c>
      <c r="M631" s="117">
        <v>-1.2266015920596512E-2</v>
      </c>
      <c r="N631" s="117">
        <v>4.5258393853277821E-3</v>
      </c>
      <c r="O631" s="117">
        <v>1.8020317525141667E-2</v>
      </c>
      <c r="P631" s="89">
        <v>-1.0170225043277597E-2</v>
      </c>
      <c r="R631" s="71">
        <v>42013</v>
      </c>
      <c r="S631" s="99">
        <f>+I631-[1]Data!W629</f>
        <v>2.9656999036228541E-3</v>
      </c>
    </row>
    <row r="632" spans="3:19">
      <c r="C632" s="71">
        <v>42020</v>
      </c>
      <c r="D632" s="118">
        <f t="shared" si="54"/>
        <v>16.362303571647967</v>
      </c>
      <c r="E632" s="92">
        <f t="shared" si="55"/>
        <v>164.45412997854669</v>
      </c>
      <c r="F632" s="92">
        <f t="shared" si="56"/>
        <v>0</v>
      </c>
      <c r="G632" s="92">
        <f t="shared" si="58"/>
        <v>180.81643355019466</v>
      </c>
      <c r="H632" s="92">
        <f t="shared" si="57"/>
        <v>180.73510275395589</v>
      </c>
      <c r="I632" s="91">
        <f t="shared" si="59"/>
        <v>2.2218324161776301E-3</v>
      </c>
      <c r="J632" s="115"/>
      <c r="K632" s="64"/>
      <c r="L632" s="119">
        <v>42020</v>
      </c>
      <c r="M632" s="117">
        <v>-5.1371896899868536E-3</v>
      </c>
      <c r="N632" s="117">
        <v>2.959974853310969E-3</v>
      </c>
      <c r="O632" s="117">
        <v>1.9005114833015851E-2</v>
      </c>
      <c r="P632" s="89">
        <v>-5.0280550899948822E-3</v>
      </c>
      <c r="R632" s="71">
        <v>42020</v>
      </c>
      <c r="S632" s="99">
        <f>+I632-[1]Data!W630</f>
        <v>2.2160631854083995E-3</v>
      </c>
    </row>
    <row r="633" spans="3:19">
      <c r="C633" s="71">
        <v>42027</v>
      </c>
      <c r="D633" s="118">
        <f t="shared" si="54"/>
        <v>16.680631765182877</v>
      </c>
      <c r="E633" s="92">
        <f t="shared" si="55"/>
        <v>164.27803190000924</v>
      </c>
      <c r="F633" s="92">
        <f t="shared" si="56"/>
        <v>0</v>
      </c>
      <c r="G633" s="92">
        <f t="shared" si="58"/>
        <v>180.95866366519212</v>
      </c>
      <c r="H633" s="92">
        <f t="shared" si="57"/>
        <v>180.87726889419025</v>
      </c>
      <c r="I633" s="91">
        <f t="shared" si="59"/>
        <v>7.8659949322575204E-4</v>
      </c>
      <c r="J633" s="115"/>
      <c r="K633" s="64"/>
      <c r="L633" s="119">
        <v>42027</v>
      </c>
      <c r="M633" s="117">
        <v>1.9454974181416538E-2</v>
      </c>
      <c r="N633" s="117">
        <v>-1.0708036250619451E-3</v>
      </c>
      <c r="O633" s="117">
        <v>1.4074110526056715E-2</v>
      </c>
      <c r="P633" s="89">
        <v>2.1068307211561926E-2</v>
      </c>
      <c r="R633" s="71">
        <v>42027</v>
      </c>
      <c r="S633" s="99">
        <f>+I633-[1]Data!W631</f>
        <v>7.808302624565213E-4</v>
      </c>
    </row>
    <row r="634" spans="3:19">
      <c r="C634" s="71">
        <v>42034</v>
      </c>
      <c r="D634" s="118">
        <f t="shared" si="54"/>
        <v>16.385648290351508</v>
      </c>
      <c r="E634" s="92">
        <f t="shared" si="55"/>
        <v>165.197177968473</v>
      </c>
      <c r="F634" s="92">
        <f t="shared" si="56"/>
        <v>0</v>
      </c>
      <c r="G634" s="92">
        <f t="shared" si="58"/>
        <v>181.5828262588245</v>
      </c>
      <c r="H634" s="92">
        <f t="shared" si="57"/>
        <v>181.50115074099159</v>
      </c>
      <c r="I634" s="91">
        <f t="shared" si="59"/>
        <v>3.4491998392915703E-3</v>
      </c>
      <c r="J634" s="115"/>
      <c r="K634" s="64"/>
      <c r="L634" s="119">
        <v>42034</v>
      </c>
      <c r="M634" s="117">
        <v>-1.7684190801878531E-2</v>
      </c>
      <c r="N634" s="117">
        <v>5.5950637941852809E-3</v>
      </c>
      <c r="O634" s="117">
        <v>-1.3878779055660626E-2</v>
      </c>
      <c r="P634" s="89">
        <v>-1.8936043036461486E-2</v>
      </c>
      <c r="R634" s="71">
        <v>42034</v>
      </c>
      <c r="S634" s="99">
        <f>+I634-[1]Data!W632</f>
        <v>3.4453536854454165E-3</v>
      </c>
    </row>
    <row r="635" spans="3:19">
      <c r="C635" s="71">
        <v>42041</v>
      </c>
      <c r="D635" s="118">
        <f t="shared" si="54"/>
        <v>16.805755550367973</v>
      </c>
      <c r="E635" s="92">
        <f t="shared" si="55"/>
        <v>163.7024918384478</v>
      </c>
      <c r="F635" s="92">
        <f t="shared" si="56"/>
        <v>0</v>
      </c>
      <c r="G635" s="92">
        <f t="shared" si="58"/>
        <v>180.50824738881576</v>
      </c>
      <c r="H635" s="92">
        <f t="shared" si="57"/>
        <v>180.42705521397002</v>
      </c>
      <c r="I635" s="91">
        <f t="shared" si="59"/>
        <v>-5.9178441714363601E-3</v>
      </c>
      <c r="J635" s="115"/>
      <c r="K635" s="64"/>
      <c r="L635" s="119">
        <v>42041</v>
      </c>
      <c r="M635" s="117">
        <v>2.5638732906517872E-2</v>
      </c>
      <c r="N635" s="117">
        <v>-9.0478914253029428E-3</v>
      </c>
      <c r="O635" s="117">
        <v>2.7557698932139277E-3</v>
      </c>
      <c r="P635" s="89">
        <v>2.4784929203324195E-2</v>
      </c>
      <c r="R635" s="71">
        <v>42041</v>
      </c>
      <c r="S635" s="99">
        <f>+I635-[1]Data!W633</f>
        <v>-5.9216903252825139E-3</v>
      </c>
    </row>
    <row r="636" spans="3:19">
      <c r="C636" s="71">
        <v>42048</v>
      </c>
      <c r="D636" s="118">
        <f t="shared" si="54"/>
        <v>17.11470678576255</v>
      </c>
      <c r="E636" s="92">
        <f t="shared" si="55"/>
        <v>163.44049225818478</v>
      </c>
      <c r="F636" s="92">
        <f t="shared" si="56"/>
        <v>0</v>
      </c>
      <c r="G636" s="92">
        <f t="shared" si="58"/>
        <v>180.55519904394731</v>
      </c>
      <c r="H636" s="92">
        <f t="shared" si="57"/>
        <v>180.47398575036019</v>
      </c>
      <c r="I636" s="91">
        <f t="shared" si="59"/>
        <v>2.6010808819391663E-4</v>
      </c>
      <c r="J636" s="115"/>
      <c r="K636" s="64"/>
      <c r="L636" s="119">
        <v>42048</v>
      </c>
      <c r="M636" s="117">
        <v>1.8383656388945461E-2</v>
      </c>
      <c r="N636" s="117">
        <v>-1.6004617725770417E-3</v>
      </c>
      <c r="O636" s="117">
        <v>4.2204446189330379E-3</v>
      </c>
      <c r="P636" s="89">
        <v>1.7336504161712295E-2</v>
      </c>
      <c r="R636" s="71">
        <v>42048</v>
      </c>
      <c r="S636" s="99">
        <f>+I636-[1]Data!W634</f>
        <v>2.581850112708397E-4</v>
      </c>
    </row>
    <row r="637" spans="3:19">
      <c r="C637" s="71">
        <v>42055</v>
      </c>
      <c r="D637" s="118">
        <f t="shared" si="54"/>
        <v>17.270110331609143</v>
      </c>
      <c r="E637" s="92">
        <f t="shared" si="55"/>
        <v>162.91219802257243</v>
      </c>
      <c r="F637" s="92">
        <f t="shared" si="56"/>
        <v>0</v>
      </c>
      <c r="G637" s="92">
        <f t="shared" si="58"/>
        <v>180.18230835418157</v>
      </c>
      <c r="H637" s="92">
        <f t="shared" si="57"/>
        <v>180.10126278592844</v>
      </c>
      <c r="I637" s="91">
        <f t="shared" si="59"/>
        <v>-2.0652448211971779E-3</v>
      </c>
      <c r="J637" s="115"/>
      <c r="K637" s="64"/>
      <c r="L637" s="119">
        <v>42055</v>
      </c>
      <c r="M637" s="117">
        <v>9.0801173395426583E-3</v>
      </c>
      <c r="N637" s="117">
        <v>-3.2323338501562596E-3</v>
      </c>
      <c r="O637" s="117">
        <v>-1.8081415237257712E-3</v>
      </c>
      <c r="P637" s="89">
        <v>7.9010729563570806E-3</v>
      </c>
      <c r="R637" s="71">
        <v>42055</v>
      </c>
      <c r="S637" s="99">
        <f>+I637-[1]Data!W635</f>
        <v>-2.0690909750433317E-3</v>
      </c>
    </row>
    <row r="638" spans="3:19">
      <c r="C638" s="71">
        <v>42062</v>
      </c>
      <c r="D638" s="118">
        <f t="shared" si="54"/>
        <v>17.316702092368931</v>
      </c>
      <c r="E638" s="92">
        <f t="shared" si="55"/>
        <v>163.64236078723991</v>
      </c>
      <c r="F638" s="92">
        <f t="shared" si="56"/>
        <v>0</v>
      </c>
      <c r="G638" s="92">
        <f t="shared" si="58"/>
        <v>180.95906287960884</v>
      </c>
      <c r="H638" s="92">
        <f t="shared" si="57"/>
        <v>180.87766792904131</v>
      </c>
      <c r="I638" s="91">
        <f t="shared" si="59"/>
        <v>4.310936698071444E-3</v>
      </c>
      <c r="J638" s="115"/>
      <c r="K638" s="64"/>
      <c r="L638" s="119">
        <v>42062</v>
      </c>
      <c r="M638" s="117">
        <v>2.6978264681096448E-3</v>
      </c>
      <c r="N638" s="117">
        <v>4.481940416556785E-3</v>
      </c>
      <c r="O638" s="117">
        <v>-7.0008812298050452E-3</v>
      </c>
      <c r="P638" s="89">
        <v>3.0150520676299635E-3</v>
      </c>
      <c r="R638" s="71">
        <v>42062</v>
      </c>
      <c r="S638" s="99">
        <f>+I638-[1]Data!W636</f>
        <v>4.3070905442252902E-3</v>
      </c>
    </row>
    <row r="639" spans="3:19">
      <c r="C639" s="71">
        <v>42069</v>
      </c>
      <c r="D639" s="118">
        <f t="shared" si="54"/>
        <v>17.015174282168786</v>
      </c>
      <c r="E639" s="92">
        <f t="shared" si="55"/>
        <v>161.34879069116681</v>
      </c>
      <c r="F639" s="92">
        <f t="shared" si="56"/>
        <v>0</v>
      </c>
      <c r="G639" s="92">
        <f t="shared" si="58"/>
        <v>178.36396497333561</v>
      </c>
      <c r="H639" s="92">
        <f t="shared" si="57"/>
        <v>178.28373729155493</v>
      </c>
      <c r="I639" s="91">
        <f t="shared" si="59"/>
        <v>-1.4340800979941785E-2</v>
      </c>
      <c r="J639" s="115"/>
      <c r="K639" s="64"/>
      <c r="L639" s="119">
        <v>42069</v>
      </c>
      <c r="M639" s="117">
        <v>-1.7412542445539914E-2</v>
      </c>
      <c r="N639" s="117">
        <v>-1.4015748031495997E-2</v>
      </c>
      <c r="O639" s="117">
        <v>-2.61795592367993E-2</v>
      </c>
      <c r="P639" s="89">
        <v>-1.7596596295696841E-2</v>
      </c>
      <c r="R639" s="71">
        <v>42069</v>
      </c>
      <c r="S639" s="99">
        <f>+I639-[1]Data!W637</f>
        <v>-1.4344647133787939E-2</v>
      </c>
    </row>
    <row r="640" spans="3:19">
      <c r="C640" s="71">
        <v>42076</v>
      </c>
      <c r="D640" s="118">
        <f t="shared" si="54"/>
        <v>16.798625155115424</v>
      </c>
      <c r="E640" s="92">
        <f t="shared" si="55"/>
        <v>161.66662624755145</v>
      </c>
      <c r="F640" s="92">
        <f t="shared" si="56"/>
        <v>0</v>
      </c>
      <c r="G640" s="92">
        <f t="shared" si="58"/>
        <v>178.46525140266687</v>
      </c>
      <c r="H640" s="92">
        <f t="shared" si="57"/>
        <v>178.38497816249429</v>
      </c>
      <c r="I640" s="91">
        <f t="shared" si="59"/>
        <v>5.6786374616884139E-4</v>
      </c>
      <c r="J640" s="115"/>
      <c r="K640" s="64"/>
      <c r="L640" s="119">
        <v>42076</v>
      </c>
      <c r="M640" s="117">
        <v>-1.272682391976996E-2</v>
      </c>
      <c r="N640" s="117">
        <v>1.9698663685246026E-3</v>
      </c>
      <c r="O640" s="117">
        <v>5.5690562980956464E-4</v>
      </c>
      <c r="P640" s="89">
        <v>-1.4781339735442333E-2</v>
      </c>
      <c r="R640" s="71">
        <v>42076</v>
      </c>
      <c r="S640" s="99">
        <f>+I640-[1]Data!W638</f>
        <v>5.6209451539961065E-4</v>
      </c>
    </row>
    <row r="641" spans="3:19">
      <c r="C641" s="71">
        <v>42083</v>
      </c>
      <c r="D641" s="118">
        <f t="shared" si="54"/>
        <v>17.3334047990564</v>
      </c>
      <c r="E641" s="92">
        <f t="shared" si="55"/>
        <v>163.52639375991041</v>
      </c>
      <c r="F641" s="92">
        <f t="shared" si="56"/>
        <v>0</v>
      </c>
      <c r="G641" s="92">
        <f t="shared" si="58"/>
        <v>180.85979855896682</v>
      </c>
      <c r="H641" s="92">
        <f t="shared" si="57"/>
        <v>180.77844825725154</v>
      </c>
      <c r="I641" s="91">
        <f t="shared" si="59"/>
        <v>1.3417441980888045E-2</v>
      </c>
      <c r="J641" s="115"/>
      <c r="K641" s="64"/>
      <c r="L641" s="119">
        <v>42083</v>
      </c>
      <c r="M641" s="117">
        <v>3.1834726890023375E-2</v>
      </c>
      <c r="N641" s="117">
        <v>1.1503719447396496E-2</v>
      </c>
      <c r="O641" s="117">
        <v>3.81015028082781E-2</v>
      </c>
      <c r="P641" s="89">
        <v>3.1845764250561522E-2</v>
      </c>
      <c r="R641" s="71">
        <v>42083</v>
      </c>
      <c r="S641" s="99">
        <f>+I641-[1]Data!W639</f>
        <v>1.3411672750118814E-2</v>
      </c>
    </row>
    <row r="642" spans="3:19">
      <c r="C642" s="71">
        <v>42090</v>
      </c>
      <c r="D642" s="118">
        <f t="shared" si="54"/>
        <v>17.042816773353312</v>
      </c>
      <c r="E642" s="92">
        <f t="shared" si="55"/>
        <v>163.66383616267134</v>
      </c>
      <c r="F642" s="92">
        <f t="shared" si="56"/>
        <v>0</v>
      </c>
      <c r="G642" s="92">
        <f t="shared" si="58"/>
        <v>180.70665293602465</v>
      </c>
      <c r="H642" s="92">
        <f t="shared" si="57"/>
        <v>180.62537151884166</v>
      </c>
      <c r="I642" s="91">
        <f t="shared" si="59"/>
        <v>-8.4676431225943496E-4</v>
      </c>
      <c r="J642" s="115"/>
      <c r="K642" s="64"/>
      <c r="L642" s="119">
        <v>42090</v>
      </c>
      <c r="M642" s="117">
        <v>-1.6764624669638278E-2</v>
      </c>
      <c r="N642" s="117">
        <v>8.4049063640898578E-4</v>
      </c>
      <c r="O642" s="117">
        <v>-1.2283096120101434E-2</v>
      </c>
      <c r="P642" s="89">
        <v>-1.6253386122108863E-2</v>
      </c>
      <c r="R642" s="71">
        <v>42090</v>
      </c>
      <c r="S642" s="99">
        <f>+I642-[1]Data!W640</f>
        <v>-8.525335430286657E-4</v>
      </c>
    </row>
    <row r="643" spans="3:19">
      <c r="C643" s="71">
        <v>42097</v>
      </c>
      <c r="D643" s="118">
        <f t="shared" si="54"/>
        <v>17.095952869481881</v>
      </c>
      <c r="E643" s="92">
        <f t="shared" si="55"/>
        <v>164.28662205018185</v>
      </c>
      <c r="F643" s="92">
        <f t="shared" si="56"/>
        <v>0</v>
      </c>
      <c r="G643" s="92">
        <f t="shared" si="58"/>
        <v>181.38257491966374</v>
      </c>
      <c r="H643" s="92">
        <f t="shared" si="57"/>
        <v>181.30098947440072</v>
      </c>
      <c r="I643" s="91">
        <f t="shared" si="59"/>
        <v>3.7404377351749059E-3</v>
      </c>
      <c r="J643" s="115"/>
      <c r="K643" s="64"/>
      <c r="L643" s="119">
        <v>42097</v>
      </c>
      <c r="M643" s="117">
        <v>3.117800116917536E-3</v>
      </c>
      <c r="N643" s="117">
        <v>3.8052748983072788E-3</v>
      </c>
      <c r="O643" s="117">
        <v>4.3426766679827474E-3</v>
      </c>
      <c r="P643" s="89">
        <v>6.6605474358070113E-3</v>
      </c>
      <c r="R643" s="71">
        <v>42097</v>
      </c>
      <c r="S643" s="99">
        <f>+I643-[1]Data!W641</f>
        <v>3.7346685044056752E-3</v>
      </c>
    </row>
    <row r="644" spans="3:19">
      <c r="C644" s="71">
        <v>42104</v>
      </c>
      <c r="D644" s="118">
        <f t="shared" si="54"/>
        <v>17.381266356231031</v>
      </c>
      <c r="E644" s="92">
        <f t="shared" si="55"/>
        <v>163.30304985542389</v>
      </c>
      <c r="F644" s="92">
        <f t="shared" si="56"/>
        <v>0</v>
      </c>
      <c r="G644" s="92">
        <f t="shared" si="58"/>
        <v>180.68431621165493</v>
      </c>
      <c r="H644" s="92">
        <f t="shared" si="57"/>
        <v>180.60304484147673</v>
      </c>
      <c r="I644" s="91">
        <f t="shared" si="59"/>
        <v>-3.8496460220507518E-3</v>
      </c>
      <c r="J644" s="115"/>
      <c r="K644" s="64"/>
      <c r="L644" s="119">
        <v>42104</v>
      </c>
      <c r="M644" s="117">
        <v>1.6688949070423842E-2</v>
      </c>
      <c r="N644" s="117">
        <v>-5.9869281045752173E-3</v>
      </c>
      <c r="O644" s="117">
        <v>2.5058962264150495E-3</v>
      </c>
      <c r="P644" s="89">
        <v>1.9194800336668798E-2</v>
      </c>
      <c r="R644" s="71">
        <v>42104</v>
      </c>
      <c r="S644" s="99">
        <f>+I644-[1]Data!W642</f>
        <v>-3.8554152528199825E-3</v>
      </c>
    </row>
    <row r="645" spans="3:19">
      <c r="C645" s="71">
        <v>42111</v>
      </c>
      <c r="D645" s="118">
        <f t="shared" ref="D645:D708" si="60">+D644*(1+M645)</f>
        <v>17.279096583160296</v>
      </c>
      <c r="E645" s="92">
        <f t="shared" ref="E645:E708" si="61">+E644*(1+N645)</f>
        <v>164.44553982837419</v>
      </c>
      <c r="F645" s="92">
        <f t="shared" ref="F645:F708" si="62">+F644*(1+O645)</f>
        <v>0</v>
      </c>
      <c r="G645" s="92">
        <f t="shared" si="58"/>
        <v>181.7246364115345</v>
      </c>
      <c r="H645" s="92">
        <f t="shared" ref="H645:H708" si="63">+H644*(1+(((D644/G644)*M645)+((E644/G644)*N645)+((F644/G644)*O645)))</f>
        <v>181.64289710783643</v>
      </c>
      <c r="I645" s="91">
        <f t="shared" si="59"/>
        <v>5.7576674151447798E-3</v>
      </c>
      <c r="J645" s="115"/>
      <c r="K645" s="64"/>
      <c r="L645" s="119">
        <v>42111</v>
      </c>
      <c r="M645" s="117">
        <v>-5.8781547314650075E-3</v>
      </c>
      <c r="N645" s="117">
        <v>6.9961337155782996E-3</v>
      </c>
      <c r="O645" s="117">
        <v>-6.27358721756605E-3</v>
      </c>
      <c r="P645" s="89">
        <v>-4.4043768494942213E-3</v>
      </c>
      <c r="R645" s="71">
        <v>42111</v>
      </c>
      <c r="S645" s="99">
        <f>+I645-[1]Data!W643</f>
        <v>5.7538212612986261E-3</v>
      </c>
    </row>
    <row r="646" spans="3:19">
      <c r="C646" s="71">
        <v>42118</v>
      </c>
      <c r="D646" s="118">
        <f t="shared" si="60"/>
        <v>17.580429040065848</v>
      </c>
      <c r="E646" s="92">
        <f t="shared" si="61"/>
        <v>164.29091712526812</v>
      </c>
      <c r="F646" s="92">
        <f t="shared" si="62"/>
        <v>0</v>
      </c>
      <c r="G646" s="92">
        <f t="shared" ref="G646:G709" si="64">+SUM(D646:F646)</f>
        <v>181.87134616533396</v>
      </c>
      <c r="H646" s="92">
        <f t="shared" si="63"/>
        <v>181.78954087194208</v>
      </c>
      <c r="I646" s="91">
        <f t="shared" si="59"/>
        <v>8.0731901131586158E-4</v>
      </c>
      <c r="J646" s="115"/>
      <c r="K646" s="64"/>
      <c r="L646" s="119">
        <v>42118</v>
      </c>
      <c r="M646" s="117">
        <v>1.7439132622201068E-2</v>
      </c>
      <c r="N646" s="117">
        <v>-9.4026693133443106E-4</v>
      </c>
      <c r="O646" s="117">
        <v>4.3403205918618763E-3</v>
      </c>
      <c r="P646" s="89">
        <v>1.7418953480334561E-2</v>
      </c>
      <c r="R646" s="71">
        <v>42118</v>
      </c>
      <c r="S646" s="99">
        <f>+I646-[1]Data!W644</f>
        <v>8.0154978054663084E-4</v>
      </c>
    </row>
    <row r="647" spans="3:19">
      <c r="C647" s="71">
        <v>42125</v>
      </c>
      <c r="D647" s="118">
        <f t="shared" si="60"/>
        <v>17.458723937536085</v>
      </c>
      <c r="E647" s="92">
        <f t="shared" si="61"/>
        <v>163.13124685197272</v>
      </c>
      <c r="F647" s="92">
        <f t="shared" si="62"/>
        <v>0</v>
      </c>
      <c r="G647" s="92">
        <f t="shared" si="64"/>
        <v>180.58997078950881</v>
      </c>
      <c r="H647" s="92">
        <f t="shared" si="63"/>
        <v>180.50874185567423</v>
      </c>
      <c r="I647" s="91">
        <f t="shared" ref="I647:I710" si="65">+(H647-H646)/H646</f>
        <v>-7.0455044339986644E-3</v>
      </c>
      <c r="J647" s="115"/>
      <c r="K647" s="64"/>
      <c r="L647" s="119">
        <v>42125</v>
      </c>
      <c r="M647" s="117">
        <v>-6.9227606591622734E-3</v>
      </c>
      <c r="N647" s="117">
        <v>-7.0586389898303018E-3</v>
      </c>
      <c r="O647" s="117">
        <v>-1.7924667288709943E-2</v>
      </c>
      <c r="P647" s="89">
        <v>-7.6771519804334229E-3</v>
      </c>
      <c r="R647" s="71">
        <v>42125</v>
      </c>
      <c r="S647" s="99">
        <f>+I647-[1]Data!W645</f>
        <v>-7.0474275109217418E-3</v>
      </c>
    </row>
    <row r="648" spans="3:19">
      <c r="C648" s="71">
        <v>42132</v>
      </c>
      <c r="D648" s="118">
        <f t="shared" si="60"/>
        <v>17.530027890061547</v>
      </c>
      <c r="E648" s="92">
        <f t="shared" si="61"/>
        <v>162.85206697136459</v>
      </c>
      <c r="F648" s="92">
        <f t="shared" si="62"/>
        <v>0</v>
      </c>
      <c r="G648" s="92">
        <f t="shared" si="64"/>
        <v>180.38209486142614</v>
      </c>
      <c r="H648" s="92">
        <f t="shared" si="63"/>
        <v>180.30095942968325</v>
      </c>
      <c r="I648" s="91">
        <f t="shared" si="65"/>
        <v>-1.1510934254758535E-3</v>
      </c>
      <c r="J648" s="115"/>
      <c r="K648" s="64"/>
      <c r="L648" s="119">
        <v>42132</v>
      </c>
      <c r="M648" s="117">
        <v>4.084144567528228E-3</v>
      </c>
      <c r="N648" s="117">
        <v>-1.7113820067928102E-3</v>
      </c>
      <c r="O648" s="117">
        <v>1.3001300130013969E-3</v>
      </c>
      <c r="P648" s="89">
        <v>2.510383860513866E-3</v>
      </c>
      <c r="R648" s="71">
        <v>42132</v>
      </c>
      <c r="S648" s="99">
        <f>+I648-[1]Data!W646</f>
        <v>-1.1530165023989304E-3</v>
      </c>
    </row>
    <row r="649" spans="3:19">
      <c r="C649" s="71">
        <v>42139</v>
      </c>
      <c r="D649" s="118">
        <f t="shared" si="60"/>
        <v>17.650756226118357</v>
      </c>
      <c r="E649" s="92">
        <f t="shared" si="61"/>
        <v>163.3245252308553</v>
      </c>
      <c r="F649" s="92">
        <f t="shared" si="62"/>
        <v>0</v>
      </c>
      <c r="G649" s="92">
        <f t="shared" si="64"/>
        <v>180.97528145697365</v>
      </c>
      <c r="H649" s="92">
        <f t="shared" si="63"/>
        <v>180.89387921132902</v>
      </c>
      <c r="I649" s="91">
        <f t="shared" si="65"/>
        <v>3.2885004246303666E-3</v>
      </c>
      <c r="J649" s="115"/>
      <c r="K649" s="64"/>
      <c r="L649" s="119">
        <v>42139</v>
      </c>
      <c r="M649" s="117">
        <v>6.8869448932968738E-3</v>
      </c>
      <c r="N649" s="117">
        <v>2.9011499103280035E-3</v>
      </c>
      <c r="O649" s="117">
        <v>1.0986815821014725E-2</v>
      </c>
      <c r="P649" s="89">
        <v>7.0114733199782399E-3</v>
      </c>
      <c r="R649" s="71">
        <v>42139</v>
      </c>
      <c r="S649" s="99">
        <f>+I649-[1]Data!W647</f>
        <v>3.2846542707842129E-3</v>
      </c>
    </row>
    <row r="650" spans="3:19">
      <c r="C650" s="71">
        <v>42146</v>
      </c>
      <c r="D650" s="118">
        <f t="shared" si="60"/>
        <v>17.615983339681282</v>
      </c>
      <c r="E650" s="92">
        <f t="shared" si="61"/>
        <v>161.59790504617104</v>
      </c>
      <c r="F650" s="92">
        <f t="shared" si="62"/>
        <v>0</v>
      </c>
      <c r="G650" s="92">
        <f t="shared" si="64"/>
        <v>179.21388838585233</v>
      </c>
      <c r="H650" s="92">
        <f t="shared" si="63"/>
        <v>179.13327841056804</v>
      </c>
      <c r="I650" s="91">
        <f t="shared" si="65"/>
        <v>-9.7327826040159351E-3</v>
      </c>
      <c r="J650" s="115"/>
      <c r="K650" s="64"/>
      <c r="L650" s="119">
        <v>42146</v>
      </c>
      <c r="M650" s="117">
        <v>-1.9700508007481463E-3</v>
      </c>
      <c r="N650" s="117">
        <v>-1.057171409035918E-2</v>
      </c>
      <c r="O650" s="117">
        <v>-9.3854969373641847E-3</v>
      </c>
      <c r="P650" s="89">
        <v>-2.3510263134099386E-3</v>
      </c>
      <c r="R650" s="71">
        <v>42146</v>
      </c>
      <c r="S650" s="99">
        <f>+I650-[1]Data!W648</f>
        <v>-9.7366287578620897E-3</v>
      </c>
    </row>
    <row r="651" spans="3:19">
      <c r="C651" s="71">
        <v>42153</v>
      </c>
      <c r="D651" s="118">
        <f t="shared" si="60"/>
        <v>17.379703529874302</v>
      </c>
      <c r="E651" s="92">
        <f t="shared" si="61"/>
        <v>161.97587165376359</v>
      </c>
      <c r="F651" s="92">
        <f t="shared" si="62"/>
        <v>0</v>
      </c>
      <c r="G651" s="92">
        <f t="shared" si="64"/>
        <v>179.35557518363788</v>
      </c>
      <c r="H651" s="92">
        <f t="shared" si="63"/>
        <v>179.27490147797332</v>
      </c>
      <c r="I651" s="91">
        <f t="shared" si="65"/>
        <v>7.9060166074045274E-4</v>
      </c>
      <c r="J651" s="115"/>
      <c r="K651" s="64"/>
      <c r="L651" s="119">
        <v>42153</v>
      </c>
      <c r="M651" s="117">
        <v>-1.3412808428056587E-2</v>
      </c>
      <c r="N651" s="117">
        <v>2.3389325962151698E-3</v>
      </c>
      <c r="O651" s="117">
        <v>-1.7901665503141536E-2</v>
      </c>
      <c r="P651" s="89">
        <v>-1.5430979787909006E-2</v>
      </c>
      <c r="R651" s="71">
        <v>42153</v>
      </c>
      <c r="S651" s="99">
        <f>+I651-[1]Data!W649</f>
        <v>7.8867858381737586E-4</v>
      </c>
    </row>
    <row r="652" spans="3:19">
      <c r="C652" s="71">
        <v>42160</v>
      </c>
      <c r="D652" s="118">
        <f t="shared" si="60"/>
        <v>17.195290019781048</v>
      </c>
      <c r="E652" s="92">
        <f t="shared" si="61"/>
        <v>159.69518678294929</v>
      </c>
      <c r="F652" s="92">
        <f t="shared" si="62"/>
        <v>0</v>
      </c>
      <c r="G652" s="92">
        <f t="shared" si="64"/>
        <v>176.89047680273035</v>
      </c>
      <c r="H652" s="92">
        <f t="shared" si="63"/>
        <v>176.81091189237929</v>
      </c>
      <c r="I652" s="91">
        <f t="shared" si="65"/>
        <v>-1.3744197125645946E-2</v>
      </c>
      <c r="J652" s="115"/>
      <c r="K652" s="64"/>
      <c r="L652" s="119">
        <v>42160</v>
      </c>
      <c r="M652" s="117">
        <v>-1.0610854769545432E-2</v>
      </c>
      <c r="N652" s="117">
        <v>-1.408039881204922E-2</v>
      </c>
      <c r="O652" s="117">
        <v>-2.9093678598629043E-2</v>
      </c>
      <c r="P652" s="89">
        <v>-1.1806402614439243E-2</v>
      </c>
      <c r="R652" s="71">
        <v>42160</v>
      </c>
      <c r="S652" s="99">
        <f>+I652-[1]Data!W650</f>
        <v>-1.3748043279492101E-2</v>
      </c>
    </row>
    <row r="653" spans="3:19">
      <c r="C653" s="71">
        <v>42167</v>
      </c>
      <c r="D653" s="118">
        <f t="shared" si="60"/>
        <v>17.29042707424653</v>
      </c>
      <c r="E653" s="92">
        <f t="shared" si="61"/>
        <v>160.42534954761678</v>
      </c>
      <c r="F653" s="92">
        <f t="shared" si="62"/>
        <v>0</v>
      </c>
      <c r="G653" s="92">
        <f t="shared" si="64"/>
        <v>177.71577662186331</v>
      </c>
      <c r="H653" s="92">
        <f t="shared" si="63"/>
        <v>177.63584049364169</v>
      </c>
      <c r="I653" s="91">
        <f t="shared" si="65"/>
        <v>4.6655977984238588E-3</v>
      </c>
      <c r="J653" s="115"/>
      <c r="K653" s="64"/>
      <c r="L653" s="119">
        <v>42167</v>
      </c>
      <c r="M653" s="117">
        <v>5.5327391603187904E-3</v>
      </c>
      <c r="N653" s="117">
        <v>4.5722277507328707E-3</v>
      </c>
      <c r="O653" s="117">
        <v>6.7984520447652514E-3</v>
      </c>
      <c r="P653" s="89">
        <v>4.6578788019935721E-3</v>
      </c>
      <c r="R653" s="71">
        <v>42167</v>
      </c>
      <c r="S653" s="99">
        <f>+I653-[1]Data!W651</f>
        <v>4.661751644577705E-3</v>
      </c>
    </row>
    <row r="654" spans="3:19">
      <c r="C654" s="71">
        <v>42174</v>
      </c>
      <c r="D654" s="118">
        <f t="shared" si="60"/>
        <v>17.336432775122546</v>
      </c>
      <c r="E654" s="92">
        <f t="shared" si="61"/>
        <v>161.40033159220218</v>
      </c>
      <c r="F654" s="92">
        <f t="shared" si="62"/>
        <v>0</v>
      </c>
      <c r="G654" s="92">
        <f t="shared" si="64"/>
        <v>178.73676436732472</v>
      </c>
      <c r="H654" s="92">
        <f t="shared" si="63"/>
        <v>178.65636900127467</v>
      </c>
      <c r="I654" s="91">
        <f t="shared" si="65"/>
        <v>5.7450596951435784E-3</v>
      </c>
      <c r="J654" s="115"/>
      <c r="K654" s="64"/>
      <c r="L654" s="119">
        <v>42174</v>
      </c>
      <c r="M654" s="117">
        <v>2.660761395798164E-3</v>
      </c>
      <c r="N654" s="117">
        <v>6.0774811919359099E-3</v>
      </c>
      <c r="O654" s="117">
        <v>3.7918138375233209E-3</v>
      </c>
      <c r="P654" s="89">
        <v>1.8545134220409184E-3</v>
      </c>
      <c r="R654" s="71">
        <v>42174</v>
      </c>
      <c r="S654" s="99">
        <f>+I654-[1]Data!W652</f>
        <v>5.7431366182205011E-3</v>
      </c>
    </row>
    <row r="655" spans="3:19">
      <c r="C655" s="71">
        <v>42181</v>
      </c>
      <c r="D655" s="118">
        <f t="shared" si="60"/>
        <v>17.349521445860095</v>
      </c>
      <c r="E655" s="92">
        <f t="shared" si="61"/>
        <v>159.51908870441187</v>
      </c>
      <c r="F655" s="92">
        <f t="shared" si="62"/>
        <v>0</v>
      </c>
      <c r="G655" s="92">
        <f t="shared" si="64"/>
        <v>176.86861015027196</v>
      </c>
      <c r="H655" s="92">
        <f t="shared" si="63"/>
        <v>176.78905507548851</v>
      </c>
      <c r="I655" s="91">
        <f t="shared" si="65"/>
        <v>-1.045198632561955E-2</v>
      </c>
      <c r="J655" s="115"/>
      <c r="K655" s="64"/>
      <c r="L655" s="119">
        <v>42181</v>
      </c>
      <c r="M655" s="117">
        <v>7.5498061840795889E-4</v>
      </c>
      <c r="N655" s="117">
        <v>-1.1655756027462867E-2</v>
      </c>
      <c r="O655" s="117">
        <v>-1.3816300129366041E-2</v>
      </c>
      <c r="P655" s="89">
        <v>1.31889490490072E-3</v>
      </c>
      <c r="R655" s="71">
        <v>42181</v>
      </c>
      <c r="S655" s="99">
        <f>+I655-[1]Data!W653</f>
        <v>-1.0453909402542627E-2</v>
      </c>
    </row>
    <row r="656" spans="3:19">
      <c r="C656" s="71">
        <v>42188</v>
      </c>
      <c r="D656" s="118">
        <f t="shared" si="60"/>
        <v>17.039593443992565</v>
      </c>
      <c r="E656" s="92">
        <f t="shared" si="61"/>
        <v>160.19771056804402</v>
      </c>
      <c r="F656" s="92">
        <f t="shared" si="62"/>
        <v>0</v>
      </c>
      <c r="G656" s="92">
        <f t="shared" si="64"/>
        <v>177.23730401203659</v>
      </c>
      <c r="H656" s="92">
        <f t="shared" si="63"/>
        <v>177.15758309964224</v>
      </c>
      <c r="I656" s="91">
        <f t="shared" si="65"/>
        <v>2.0845635720852297E-3</v>
      </c>
      <c r="J656" s="115"/>
      <c r="K656" s="64"/>
      <c r="L656" s="119">
        <v>42188</v>
      </c>
      <c r="M656" s="117">
        <v>-1.7863778135591323E-2</v>
      </c>
      <c r="N656" s="117">
        <v>4.2541733979537992E-3</v>
      </c>
      <c r="O656" s="117">
        <v>-6.2440969671530384E-3</v>
      </c>
      <c r="P656" s="89">
        <v>-1.7723859041016789E-2</v>
      </c>
      <c r="R656" s="71">
        <v>42188</v>
      </c>
      <c r="S656" s="99">
        <f>+I656-[1]Data!W654</f>
        <v>2.0826404951621528E-3</v>
      </c>
    </row>
    <row r="657" spans="3:19">
      <c r="C657" s="71">
        <v>42195</v>
      </c>
      <c r="D657" s="118">
        <f t="shared" si="60"/>
        <v>17.028165276259031</v>
      </c>
      <c r="E657" s="92">
        <f t="shared" si="61"/>
        <v>160.15046474209495</v>
      </c>
      <c r="F657" s="92">
        <f t="shared" si="62"/>
        <v>0</v>
      </c>
      <c r="G657" s="92">
        <f t="shared" si="64"/>
        <v>177.178630018354</v>
      </c>
      <c r="H657" s="92">
        <f t="shared" si="63"/>
        <v>177.09893549738064</v>
      </c>
      <c r="I657" s="91">
        <f t="shared" si="65"/>
        <v>-3.31047653933136E-4</v>
      </c>
      <c r="J657" s="115"/>
      <c r="K657" s="64"/>
      <c r="L657" s="119">
        <v>42195</v>
      </c>
      <c r="M657" s="117">
        <v>-6.7068312228793102E-4</v>
      </c>
      <c r="N657" s="117">
        <v>-2.9492197973085321E-4</v>
      </c>
      <c r="O657" s="117">
        <v>2.4288505200908599E-3</v>
      </c>
      <c r="P657" s="89">
        <v>-4.0227721840594231E-3</v>
      </c>
      <c r="R657" s="71">
        <v>42195</v>
      </c>
      <c r="S657" s="99">
        <f>+I657-[1]Data!W655</f>
        <v>-3.3489380777928986E-4</v>
      </c>
    </row>
    <row r="658" spans="3:19">
      <c r="C658" s="71">
        <v>42202</v>
      </c>
      <c r="D658" s="118">
        <f t="shared" si="60"/>
        <v>17.394550380263158</v>
      </c>
      <c r="E658" s="92">
        <f t="shared" si="61"/>
        <v>160.26643176942449</v>
      </c>
      <c r="F658" s="92">
        <f t="shared" si="62"/>
        <v>0</v>
      </c>
      <c r="G658" s="92">
        <f t="shared" si="64"/>
        <v>177.66098214968764</v>
      </c>
      <c r="H658" s="92">
        <f t="shared" si="63"/>
        <v>177.58107066788756</v>
      </c>
      <c r="I658" s="91">
        <f t="shared" si="65"/>
        <v>2.7224058075383116E-3</v>
      </c>
      <c r="J658" s="115"/>
      <c r="K658" s="64"/>
      <c r="L658" s="119">
        <v>42202</v>
      </c>
      <c r="M658" s="117">
        <v>2.1516416951563679E-2</v>
      </c>
      <c r="N658" s="117">
        <v>7.2411296162196419E-4</v>
      </c>
      <c r="O658" s="117">
        <v>2.1648670002633732E-2</v>
      </c>
      <c r="P658" s="89">
        <v>2.0289581217374814E-2</v>
      </c>
      <c r="R658" s="71">
        <v>42202</v>
      </c>
      <c r="S658" s="99">
        <f>+I658-[1]Data!W656</f>
        <v>2.7185596536921579E-3</v>
      </c>
    </row>
    <row r="659" spans="3:19">
      <c r="C659" s="71">
        <v>42209</v>
      </c>
      <c r="D659" s="118">
        <f t="shared" si="60"/>
        <v>17.049458785369374</v>
      </c>
      <c r="E659" s="92">
        <f t="shared" si="61"/>
        <v>160.97941423374687</v>
      </c>
      <c r="F659" s="92">
        <f t="shared" si="62"/>
        <v>0</v>
      </c>
      <c r="G659" s="92">
        <f t="shared" si="64"/>
        <v>178.02887301911625</v>
      </c>
      <c r="H659" s="92">
        <f t="shared" si="63"/>
        <v>177.94879606088929</v>
      </c>
      <c r="I659" s="91">
        <f t="shared" si="65"/>
        <v>2.070746570108562E-3</v>
      </c>
      <c r="J659" s="115"/>
      <c r="K659" s="64"/>
      <c r="L659" s="119">
        <v>42209</v>
      </c>
      <c r="M659" s="117">
        <v>-1.9839063807325759E-2</v>
      </c>
      <c r="N659" s="117">
        <v>4.4487323792679022E-3</v>
      </c>
      <c r="O659" s="117">
        <v>-9.4349350381522611E-3</v>
      </c>
      <c r="P659" s="89">
        <v>-2.1205667191406537E-2</v>
      </c>
      <c r="R659" s="71">
        <v>42209</v>
      </c>
      <c r="S659" s="99">
        <f>+I659-[1]Data!W657</f>
        <v>2.0630542624162545E-3</v>
      </c>
    </row>
    <row r="660" spans="3:19">
      <c r="C660" s="71">
        <v>42216</v>
      </c>
      <c r="D660" s="118">
        <f t="shared" si="60"/>
        <v>17.245788846432635</v>
      </c>
      <c r="E660" s="92">
        <f t="shared" si="61"/>
        <v>161.62367549668875</v>
      </c>
      <c r="F660" s="92">
        <f t="shared" si="62"/>
        <v>0</v>
      </c>
      <c r="G660" s="92">
        <f t="shared" si="64"/>
        <v>178.86946434312139</v>
      </c>
      <c r="H660" s="92">
        <f t="shared" si="63"/>
        <v>178.78900928894183</v>
      </c>
      <c r="I660" s="91">
        <f t="shared" si="65"/>
        <v>4.7216572781140663E-3</v>
      </c>
      <c r="J660" s="115"/>
      <c r="K660" s="64"/>
      <c r="L660" s="119">
        <v>42216</v>
      </c>
      <c r="M660" s="117">
        <v>1.151532512174157E-2</v>
      </c>
      <c r="N660" s="117">
        <v>4.0021344717182496E-3</v>
      </c>
      <c r="O660" s="117">
        <v>8.4838390672981601E-3</v>
      </c>
      <c r="P660" s="89">
        <v>9.4134342478712427E-3</v>
      </c>
      <c r="R660" s="71">
        <v>42216</v>
      </c>
      <c r="S660" s="99">
        <f>+I660-[1]Data!W658</f>
        <v>4.710118816575605E-3</v>
      </c>
    </row>
    <row r="661" spans="3:19">
      <c r="C661" s="71">
        <v>42223</v>
      </c>
      <c r="D661" s="118">
        <f t="shared" si="60"/>
        <v>17.067431288471681</v>
      </c>
      <c r="E661" s="92">
        <f t="shared" si="61"/>
        <v>161.39174144202966</v>
      </c>
      <c r="F661" s="92">
        <f t="shared" si="62"/>
        <v>0</v>
      </c>
      <c r="G661" s="92">
        <f t="shared" si="64"/>
        <v>178.45917273050134</v>
      </c>
      <c r="H661" s="92">
        <f t="shared" si="63"/>
        <v>178.37890222450079</v>
      </c>
      <c r="I661" s="91">
        <f t="shared" si="65"/>
        <v>-2.293804669940642E-3</v>
      </c>
      <c r="J661" s="115"/>
      <c r="K661" s="64"/>
      <c r="L661" s="119">
        <v>42223</v>
      </c>
      <c r="M661" s="117">
        <v>-1.0342093339374712E-2</v>
      </c>
      <c r="N661" s="117">
        <v>-1.4350252458145639E-3</v>
      </c>
      <c r="O661" s="117">
        <v>1.9611890999174002E-3</v>
      </c>
      <c r="P661" s="89">
        <v>-1.1129856131964948E-2</v>
      </c>
      <c r="R661" s="71">
        <v>42223</v>
      </c>
      <c r="S661" s="99">
        <f>+I661-[1]Data!W659</f>
        <v>-2.3072662084021806E-3</v>
      </c>
    </row>
    <row r="662" spans="3:19">
      <c r="C662" s="71">
        <v>42230</v>
      </c>
      <c r="D662" s="118">
        <f t="shared" si="60"/>
        <v>17.033732845154855</v>
      </c>
      <c r="E662" s="92">
        <f t="shared" si="61"/>
        <v>161.54636414513573</v>
      </c>
      <c r="F662" s="92">
        <f t="shared" si="62"/>
        <v>0</v>
      </c>
      <c r="G662" s="92">
        <f t="shared" si="64"/>
        <v>178.58009699029057</v>
      </c>
      <c r="H662" s="92">
        <f t="shared" si="63"/>
        <v>178.49977209284924</v>
      </c>
      <c r="I662" s="91">
        <f t="shared" si="65"/>
        <v>6.7760181748583576E-4</v>
      </c>
      <c r="J662" s="115"/>
      <c r="K662" s="64"/>
      <c r="L662" s="119">
        <v>42230</v>
      </c>
      <c r="M662" s="117">
        <v>-1.9744297045794284E-3</v>
      </c>
      <c r="N662" s="117">
        <v>9.5805833510755176E-4</v>
      </c>
      <c r="O662" s="117">
        <v>5.5114865560936524E-3</v>
      </c>
      <c r="P662" s="89">
        <v>-4.1229296495508671E-3</v>
      </c>
      <c r="R662" s="71">
        <v>42230</v>
      </c>
      <c r="S662" s="99">
        <f>+I662-[1]Data!W660</f>
        <v>6.5837104825506654E-4</v>
      </c>
    </row>
    <row r="663" spans="3:19">
      <c r="C663" s="71">
        <v>42237</v>
      </c>
      <c r="D663" s="118">
        <f t="shared" si="60"/>
        <v>16.126023761840976</v>
      </c>
      <c r="E663" s="92">
        <f t="shared" si="61"/>
        <v>162.98950937412556</v>
      </c>
      <c r="F663" s="92">
        <f t="shared" si="62"/>
        <v>0</v>
      </c>
      <c r="G663" s="92">
        <f t="shared" si="64"/>
        <v>179.11553313596653</v>
      </c>
      <c r="H663" s="92">
        <f t="shared" si="63"/>
        <v>179.0349674006367</v>
      </c>
      <c r="I663" s="91">
        <f t="shared" si="65"/>
        <v>2.9982968690238526E-3</v>
      </c>
      <c r="J663" s="115"/>
      <c r="K663" s="64"/>
      <c r="L663" s="119">
        <v>42237</v>
      </c>
      <c r="M663" s="117">
        <v>-5.3288911571257397E-2</v>
      </c>
      <c r="N663" s="117">
        <v>8.9333191534616968E-3</v>
      </c>
      <c r="O663" s="117">
        <v>-3.0684903437323954E-2</v>
      </c>
      <c r="P663" s="89">
        <v>-5.3891360727117067E-2</v>
      </c>
      <c r="R663" s="71">
        <v>42237</v>
      </c>
      <c r="S663" s="99">
        <f>+I663-[1]Data!W661</f>
        <v>2.9886814844084677E-3</v>
      </c>
    </row>
    <row r="664" spans="3:19">
      <c r="C664" s="71">
        <v>42244</v>
      </c>
      <c r="D664" s="118">
        <f t="shared" si="60"/>
        <v>16.19547185806783</v>
      </c>
      <c r="E664" s="92">
        <f t="shared" si="61"/>
        <v>161.94151105307344</v>
      </c>
      <c r="F664" s="92">
        <f t="shared" si="62"/>
        <v>0</v>
      </c>
      <c r="G664" s="92">
        <f t="shared" si="64"/>
        <v>178.13698291114127</v>
      </c>
      <c r="H664" s="92">
        <f t="shared" si="63"/>
        <v>178.05685732534531</v>
      </c>
      <c r="I664" s="91">
        <f t="shared" si="65"/>
        <v>-5.4632348612806162E-3</v>
      </c>
      <c r="J664" s="115"/>
      <c r="K664" s="64"/>
      <c r="L664" s="119">
        <v>42244</v>
      </c>
      <c r="M664" s="117">
        <v>4.3065852594853299E-3</v>
      </c>
      <c r="N664" s="117">
        <v>-6.4298513755665582E-3</v>
      </c>
      <c r="O664" s="117">
        <v>-2.6794207800443892E-2</v>
      </c>
      <c r="P664" s="89">
        <v>4.8284880796700931E-3</v>
      </c>
      <c r="R664" s="71">
        <v>42244</v>
      </c>
      <c r="S664" s="99">
        <f>+I664-[1]Data!W662</f>
        <v>-5.4747733228190775E-3</v>
      </c>
    </row>
    <row r="665" spans="3:19">
      <c r="C665" s="71">
        <v>42251</v>
      </c>
      <c r="D665" s="118">
        <f t="shared" si="60"/>
        <v>15.586360285535241</v>
      </c>
      <c r="E665" s="92">
        <f t="shared" si="61"/>
        <v>162.50416588937603</v>
      </c>
      <c r="F665" s="92">
        <f t="shared" si="62"/>
        <v>0</v>
      </c>
      <c r="G665" s="92">
        <f t="shared" si="64"/>
        <v>178.09052617491128</v>
      </c>
      <c r="H665" s="92">
        <f t="shared" si="63"/>
        <v>178.01042148524334</v>
      </c>
      <c r="I665" s="91">
        <f t="shared" si="65"/>
        <v>-2.607922031169867E-4</v>
      </c>
      <c r="J665" s="115"/>
      <c r="K665" s="64"/>
      <c r="L665" s="119">
        <v>42251</v>
      </c>
      <c r="M665" s="117">
        <v>-3.7609992340492199E-2</v>
      </c>
      <c r="N665" s="117">
        <v>3.4744324209632989E-3</v>
      </c>
      <c r="O665" s="117">
        <v>-4.4203095302742405E-2</v>
      </c>
      <c r="P665" s="89">
        <v>-3.7716488136950631E-2</v>
      </c>
      <c r="R665" s="71">
        <v>42251</v>
      </c>
      <c r="S665" s="99">
        <f>+I665-[1]Data!W663</f>
        <v>-2.6848451080929437E-4</v>
      </c>
    </row>
    <row r="666" spans="3:19">
      <c r="C666" s="71">
        <v>42258</v>
      </c>
      <c r="D666" s="118">
        <f t="shared" si="60"/>
        <v>15.891892838274487</v>
      </c>
      <c r="E666" s="92">
        <f t="shared" si="61"/>
        <v>162.5084609644623</v>
      </c>
      <c r="F666" s="92">
        <f t="shared" si="62"/>
        <v>0</v>
      </c>
      <c r="G666" s="92">
        <f t="shared" si="64"/>
        <v>178.40035380273679</v>
      </c>
      <c r="H666" s="92">
        <f t="shared" si="63"/>
        <v>178.32010975334822</v>
      </c>
      <c r="I666" s="91">
        <f t="shared" si="65"/>
        <v>1.7397198743813475E-3</v>
      </c>
      <c r="J666" s="115"/>
      <c r="K666" s="64"/>
      <c r="L666" s="119">
        <v>42258</v>
      </c>
      <c r="M666" s="117">
        <v>1.9602559362290124E-2</v>
      </c>
      <c r="N666" s="117">
        <v>2.6430553720076395E-5</v>
      </c>
      <c r="O666" s="117">
        <v>2.2271461848758684E-2</v>
      </c>
      <c r="P666" s="89">
        <v>1.9428333636765507E-2</v>
      </c>
      <c r="R666" s="71">
        <v>42258</v>
      </c>
      <c r="S666" s="99">
        <f>+I666-[1]Data!W664</f>
        <v>1.7320275666890398E-3</v>
      </c>
    </row>
    <row r="667" spans="3:19">
      <c r="C667" s="71">
        <v>42265</v>
      </c>
      <c r="D667" s="118">
        <f t="shared" si="60"/>
        <v>15.928033197773694</v>
      </c>
      <c r="E667" s="92">
        <f t="shared" si="61"/>
        <v>163.34170553120049</v>
      </c>
      <c r="F667" s="92">
        <f t="shared" si="62"/>
        <v>0</v>
      </c>
      <c r="G667" s="92">
        <f t="shared" si="64"/>
        <v>179.26973872897418</v>
      </c>
      <c r="H667" s="92">
        <f t="shared" si="63"/>
        <v>179.18910363234005</v>
      </c>
      <c r="I667" s="91">
        <f t="shared" si="65"/>
        <v>4.8732242268907282E-3</v>
      </c>
      <c r="J667" s="115"/>
      <c r="K667" s="64"/>
      <c r="L667" s="119">
        <v>42265</v>
      </c>
      <c r="M667" s="117">
        <v>2.2741381323794527E-3</v>
      </c>
      <c r="N667" s="117">
        <v>5.1273919018923718E-3</v>
      </c>
      <c r="O667" s="117">
        <v>2.0452398154838031E-2</v>
      </c>
      <c r="P667" s="89">
        <v>5.3066639453006456E-3</v>
      </c>
      <c r="R667" s="71">
        <v>42265</v>
      </c>
      <c r="S667" s="99">
        <f>+I667-[1]Data!W665</f>
        <v>4.8655319191984207E-3</v>
      </c>
    </row>
    <row r="668" spans="3:19">
      <c r="C668" s="71">
        <v>42272</v>
      </c>
      <c r="D668" s="118">
        <f t="shared" si="60"/>
        <v>15.576494944158428</v>
      </c>
      <c r="E668" s="92">
        <f t="shared" si="61"/>
        <v>162.45692006342696</v>
      </c>
      <c r="F668" s="92">
        <f t="shared" si="62"/>
        <v>0</v>
      </c>
      <c r="G668" s="92">
        <f t="shared" si="64"/>
        <v>178.0334150075854</v>
      </c>
      <c r="H668" s="92">
        <f t="shared" si="63"/>
        <v>177.95333600638293</v>
      </c>
      <c r="I668" s="91">
        <f t="shared" si="65"/>
        <v>-6.8964440409985516E-3</v>
      </c>
      <c r="J668" s="115"/>
      <c r="K668" s="64"/>
      <c r="L668" s="119">
        <v>42272</v>
      </c>
      <c r="M668" s="117">
        <v>-2.207041191152212E-2</v>
      </c>
      <c r="N668" s="117">
        <v>-5.4167762292926698E-3</v>
      </c>
      <c r="O668" s="117">
        <v>-4.4115244267741525E-3</v>
      </c>
      <c r="P668" s="89">
        <v>-2.4718302710384756E-2</v>
      </c>
      <c r="R668" s="71">
        <v>42272</v>
      </c>
      <c r="S668" s="99">
        <f>+I668-[1]Data!W666</f>
        <v>-6.8964440409985516E-3</v>
      </c>
    </row>
    <row r="669" spans="3:19">
      <c r="C669" s="71">
        <v>42279</v>
      </c>
      <c r="D669" s="118">
        <f t="shared" si="60"/>
        <v>15.697907016746306</v>
      </c>
      <c r="E669" s="92">
        <f t="shared" si="61"/>
        <v>163.9000652924168</v>
      </c>
      <c r="F669" s="92">
        <f t="shared" si="62"/>
        <v>0</v>
      </c>
      <c r="G669" s="92">
        <f t="shared" si="64"/>
        <v>179.59797230916311</v>
      </c>
      <c r="H669" s="92">
        <f t="shared" si="63"/>
        <v>179.51718957385526</v>
      </c>
      <c r="I669" s="91">
        <f t="shared" si="65"/>
        <v>8.7879980368350194E-3</v>
      </c>
      <c r="J669" s="115"/>
      <c r="K669" s="64"/>
      <c r="L669" s="119">
        <v>42279</v>
      </c>
      <c r="M669" s="117">
        <v>7.7945695115069066E-3</v>
      </c>
      <c r="N669" s="117">
        <v>8.8832487309645023E-3</v>
      </c>
      <c r="O669" s="117">
        <v>1.0667396061269084E-2</v>
      </c>
      <c r="P669" s="89">
        <v>8.8732760863907568E-3</v>
      </c>
      <c r="R669" s="71">
        <v>42279</v>
      </c>
      <c r="S669" s="99">
        <f>+I669-[1]Data!W667</f>
        <v>8.7879980368350194E-3</v>
      </c>
    </row>
    <row r="670" spans="3:19">
      <c r="C670" s="71">
        <v>42286</v>
      </c>
      <c r="D670" s="118">
        <f t="shared" si="60"/>
        <v>16.348824194321221</v>
      </c>
      <c r="E670" s="92">
        <f t="shared" si="61"/>
        <v>163.47055778378888</v>
      </c>
      <c r="F670" s="92">
        <f t="shared" si="62"/>
        <v>0</v>
      </c>
      <c r="G670" s="92">
        <f t="shared" si="64"/>
        <v>179.8193819781101</v>
      </c>
      <c r="H670" s="92">
        <f t="shared" si="63"/>
        <v>179.73849965326653</v>
      </c>
      <c r="I670" s="91">
        <f t="shared" si="65"/>
        <v>1.2328071753831594E-3</v>
      </c>
      <c r="J670" s="115"/>
      <c r="K670" s="64"/>
      <c r="L670" s="119">
        <v>42286</v>
      </c>
      <c r="M670" s="117">
        <v>4.1465220610653691E-2</v>
      </c>
      <c r="N670" s="117">
        <v>-2.6205450733752618E-3</v>
      </c>
      <c r="O670" s="117">
        <v>3.0635994587280089E-2</v>
      </c>
      <c r="P670" s="89">
        <v>4.4105130123030162E-2</v>
      </c>
      <c r="R670" s="71">
        <v>42286</v>
      </c>
      <c r="S670" s="99">
        <f>+I670-[1]Data!W668</f>
        <v>1.2328071753831594E-3</v>
      </c>
    </row>
    <row r="671" spans="3:19">
      <c r="C671" s="71">
        <v>42293</v>
      </c>
      <c r="D671" s="118">
        <f t="shared" si="60"/>
        <v>16.444351955375883</v>
      </c>
      <c r="E671" s="92">
        <f t="shared" si="61"/>
        <v>164.26514667475053</v>
      </c>
      <c r="F671" s="92">
        <f t="shared" si="62"/>
        <v>0</v>
      </c>
      <c r="G671" s="92">
        <f t="shared" si="64"/>
        <v>180.7094986301264</v>
      </c>
      <c r="H671" s="92">
        <f t="shared" si="63"/>
        <v>180.62821593295698</v>
      </c>
      <c r="I671" s="91">
        <f t="shared" si="65"/>
        <v>4.9500595665747634E-3</v>
      </c>
      <c r="J671" s="115"/>
      <c r="K671" s="64"/>
      <c r="L671" s="119">
        <v>42293</v>
      </c>
      <c r="M671" s="117">
        <v>5.8430967217717924E-3</v>
      </c>
      <c r="N671" s="117">
        <v>4.8607461902258689E-3</v>
      </c>
      <c r="O671" s="117">
        <v>1.2761934772333422E-2</v>
      </c>
      <c r="P671" s="89">
        <v>5.9287072947802107E-3</v>
      </c>
      <c r="R671" s="71">
        <v>42293</v>
      </c>
      <c r="S671" s="99">
        <f>+I671-[1]Data!W669</f>
        <v>4.9481364896516861E-3</v>
      </c>
    </row>
    <row r="672" spans="3:19">
      <c r="C672" s="71">
        <v>42300</v>
      </c>
      <c r="D672" s="118">
        <f t="shared" si="60"/>
        <v>16.669594304038508</v>
      </c>
      <c r="E672" s="92">
        <f t="shared" si="61"/>
        <v>163.42760703292609</v>
      </c>
      <c r="F672" s="92">
        <f t="shared" si="62"/>
        <v>0</v>
      </c>
      <c r="G672" s="92">
        <f t="shared" si="64"/>
        <v>180.09720133696459</v>
      </c>
      <c r="H672" s="92">
        <f t="shared" si="63"/>
        <v>180.01619404964265</v>
      </c>
      <c r="I672" s="91">
        <f t="shared" si="65"/>
        <v>-3.3882961205877631E-3</v>
      </c>
      <c r="J672" s="115"/>
      <c r="K672" s="64"/>
      <c r="L672" s="119">
        <v>42300</v>
      </c>
      <c r="M672" s="117">
        <v>1.3697246889014253E-2</v>
      </c>
      <c r="N672" s="117">
        <v>-5.0987057131650897E-3</v>
      </c>
      <c r="O672" s="117">
        <v>1.0475005185646185E-2</v>
      </c>
      <c r="P672" s="89">
        <v>1.2720709216374861E-2</v>
      </c>
      <c r="R672" s="71">
        <v>42300</v>
      </c>
      <c r="S672" s="99">
        <f>+I672-[1]Data!W670</f>
        <v>-3.39021919751084E-3</v>
      </c>
    </row>
    <row r="673" spans="3:19">
      <c r="C673" s="71">
        <v>42307</v>
      </c>
      <c r="D673" s="118">
        <f t="shared" si="60"/>
        <v>16.6616824956076</v>
      </c>
      <c r="E673" s="92">
        <f t="shared" si="61"/>
        <v>163.13554192705911</v>
      </c>
      <c r="F673" s="92">
        <f t="shared" si="62"/>
        <v>0</v>
      </c>
      <c r="G673" s="92">
        <f t="shared" si="64"/>
        <v>179.79722442266672</v>
      </c>
      <c r="H673" s="92">
        <f t="shared" si="63"/>
        <v>179.71635206423818</v>
      </c>
      <c r="I673" s="91">
        <f t="shared" si="65"/>
        <v>-1.6656389553585556E-3</v>
      </c>
      <c r="J673" s="115"/>
      <c r="K673" s="64"/>
      <c r="L673" s="119">
        <v>42307</v>
      </c>
      <c r="M673" s="117">
        <v>-4.7462513403762166E-4</v>
      </c>
      <c r="N673" s="117">
        <v>-1.7871222076215685E-3</v>
      </c>
      <c r="O673" s="117">
        <v>-6.2095863697013646E-3</v>
      </c>
      <c r="P673" s="89">
        <v>-2.7643735299109737E-3</v>
      </c>
      <c r="R673" s="71">
        <v>42307</v>
      </c>
      <c r="S673" s="99">
        <f>+I673-[1]Data!W671</f>
        <v>-1.6752543399739402E-3</v>
      </c>
    </row>
    <row r="674" spans="3:19">
      <c r="C674" s="71">
        <v>42314</v>
      </c>
      <c r="D674" s="118">
        <f t="shared" si="60"/>
        <v>16.647910088338985</v>
      </c>
      <c r="E674" s="92">
        <f t="shared" si="61"/>
        <v>160.90639795728018</v>
      </c>
      <c r="F674" s="92">
        <f t="shared" si="62"/>
        <v>0</v>
      </c>
      <c r="G674" s="92">
        <f t="shared" si="64"/>
        <v>177.55430804561917</v>
      </c>
      <c r="H674" s="92">
        <f t="shared" si="63"/>
        <v>177.47444454557402</v>
      </c>
      <c r="I674" s="91">
        <f t="shared" si="65"/>
        <v>-1.2474699674867713E-2</v>
      </c>
      <c r="J674" s="115"/>
      <c r="K674" s="64"/>
      <c r="L674" s="119">
        <v>42314</v>
      </c>
      <c r="M674" s="117">
        <v>-8.2659162856129351E-4</v>
      </c>
      <c r="N674" s="117">
        <v>-1.3664367331894049E-2</v>
      </c>
      <c r="O674" s="117">
        <v>-2.788536018590243E-2</v>
      </c>
      <c r="P674" s="89">
        <v>-2.188449848023708E-4</v>
      </c>
      <c r="R674" s="71">
        <v>42314</v>
      </c>
      <c r="S674" s="99">
        <f>+I674-[1]Data!W672</f>
        <v>-1.2486238136406175E-2</v>
      </c>
    </row>
    <row r="675" spans="3:19">
      <c r="C675" s="71">
        <v>42321</v>
      </c>
      <c r="D675" s="118">
        <f t="shared" si="60"/>
        <v>16.158647762037553</v>
      </c>
      <c r="E675" s="92">
        <f t="shared" si="61"/>
        <v>161.39174144202971</v>
      </c>
      <c r="F675" s="92">
        <f t="shared" si="62"/>
        <v>0</v>
      </c>
      <c r="G675" s="92">
        <f t="shared" si="64"/>
        <v>177.55038920406727</v>
      </c>
      <c r="H675" s="92">
        <f t="shared" si="63"/>
        <v>177.47052746670761</v>
      </c>
      <c r="I675" s="91">
        <f t="shared" si="65"/>
        <v>-2.2071227643155939E-5</v>
      </c>
      <c r="J675" s="115"/>
      <c r="K675" s="64"/>
      <c r="L675" s="119">
        <v>42321</v>
      </c>
      <c r="M675" s="117">
        <v>-2.9388813593133112E-2</v>
      </c>
      <c r="N675" s="117">
        <v>3.0163094252996167E-3</v>
      </c>
      <c r="O675" s="117">
        <v>-1.9389110225763641E-2</v>
      </c>
      <c r="P675" s="89">
        <v>-3.0109932872847679E-2</v>
      </c>
      <c r="R675" s="71">
        <v>42321</v>
      </c>
      <c r="S675" s="99">
        <f>+I675-[1]Data!W673</f>
        <v>-4.8994304566232869E-5</v>
      </c>
    </row>
    <row r="676" spans="3:19">
      <c r="C676" s="71">
        <v>42328</v>
      </c>
      <c r="D676" s="118">
        <f t="shared" si="60"/>
        <v>16.632672531360942</v>
      </c>
      <c r="E676" s="92">
        <f t="shared" si="61"/>
        <v>161.65803609737901</v>
      </c>
      <c r="F676" s="92">
        <f t="shared" si="62"/>
        <v>0</v>
      </c>
      <c r="G676" s="92">
        <f t="shared" si="64"/>
        <v>178.29070862873996</v>
      </c>
      <c r="H676" s="92">
        <f t="shared" si="63"/>
        <v>178.21051389748646</v>
      </c>
      <c r="I676" s="91">
        <f t="shared" si="65"/>
        <v>4.1696299737299936E-3</v>
      </c>
      <c r="J676" s="115"/>
      <c r="K676" s="64"/>
      <c r="L676" s="119">
        <v>42328</v>
      </c>
      <c r="M676" s="117">
        <v>2.9335670676419012E-2</v>
      </c>
      <c r="N676" s="117">
        <v>1.6499893549073998E-3</v>
      </c>
      <c r="O676" s="117">
        <v>3.6186348862405238E-2</v>
      </c>
      <c r="P676" s="89">
        <v>2.9138873564371347E-2</v>
      </c>
      <c r="R676" s="71">
        <v>42328</v>
      </c>
      <c r="S676" s="99">
        <f>+I676-[1]Data!W674</f>
        <v>4.1446299737299937E-3</v>
      </c>
    </row>
    <row r="677" spans="3:19">
      <c r="C677" s="71">
        <v>42335</v>
      </c>
      <c r="D677" s="118">
        <f t="shared" si="60"/>
        <v>16.607862662947973</v>
      </c>
      <c r="E677" s="92">
        <f t="shared" si="61"/>
        <v>161.77400312470854</v>
      </c>
      <c r="F677" s="92">
        <f t="shared" si="62"/>
        <v>0</v>
      </c>
      <c r="G677" s="92">
        <f t="shared" si="64"/>
        <v>178.38186578765652</v>
      </c>
      <c r="H677" s="92">
        <f t="shared" si="63"/>
        <v>178.30163005413254</v>
      </c>
      <c r="I677" s="91">
        <f t="shared" si="65"/>
        <v>5.1128384433307922E-4</v>
      </c>
      <c r="J677" s="115"/>
      <c r="K677" s="64"/>
      <c r="L677" s="119">
        <v>42335</v>
      </c>
      <c r="M677" s="117">
        <v>-1.4916345143085122E-3</v>
      </c>
      <c r="N677" s="117">
        <v>7.1736011477757005E-4</v>
      </c>
      <c r="O677" s="117">
        <v>-4.3391886240067568E-3</v>
      </c>
      <c r="P677" s="89">
        <v>-3.2894736842104433E-3</v>
      </c>
      <c r="R677" s="71">
        <v>42335</v>
      </c>
      <c r="S677" s="99">
        <f>+I677-[1]Data!W675</f>
        <v>4.7859153664077153E-4</v>
      </c>
    </row>
    <row r="678" spans="3:19">
      <c r="C678" s="71">
        <v>42342</v>
      </c>
      <c r="D678" s="118">
        <f t="shared" si="60"/>
        <v>16.554042830288342</v>
      </c>
      <c r="E678" s="92">
        <f t="shared" si="61"/>
        <v>161.79547850013992</v>
      </c>
      <c r="F678" s="92">
        <f t="shared" si="62"/>
        <v>0</v>
      </c>
      <c r="G678" s="92">
        <f t="shared" si="64"/>
        <v>178.34952133042827</v>
      </c>
      <c r="H678" s="92">
        <f t="shared" si="63"/>
        <v>178.26930014536325</v>
      </c>
      <c r="I678" s="91">
        <f t="shared" si="65"/>
        <v>-1.8132144254364563E-4</v>
      </c>
      <c r="J678" s="115"/>
      <c r="K678" s="64"/>
      <c r="L678" s="119">
        <v>42342</v>
      </c>
      <c r="M678" s="117">
        <v>-3.2406236583171055E-3</v>
      </c>
      <c r="N678" s="117">
        <v>1.3274923669191922E-4</v>
      </c>
      <c r="O678" s="117">
        <v>-6.1958519296402125E-3</v>
      </c>
      <c r="P678" s="89">
        <v>-4.5715682679379156E-3</v>
      </c>
      <c r="R678" s="71">
        <v>42342</v>
      </c>
      <c r="S678" s="99">
        <f>+I678-[1]Data!W676</f>
        <v>-2.2170605792826102E-4</v>
      </c>
    </row>
    <row r="679" spans="3:19">
      <c r="C679" s="71">
        <v>42349</v>
      </c>
      <c r="D679" s="118">
        <f t="shared" si="60"/>
        <v>15.997774323942432</v>
      </c>
      <c r="E679" s="92">
        <f t="shared" si="61"/>
        <v>163.09688625128254</v>
      </c>
      <c r="F679" s="92">
        <f t="shared" si="62"/>
        <v>0</v>
      </c>
      <c r="G679" s="92">
        <f t="shared" si="64"/>
        <v>179.09466057522496</v>
      </c>
      <c r="H679" s="92">
        <f t="shared" si="63"/>
        <v>179.01410422832265</v>
      </c>
      <c r="I679" s="91">
        <f t="shared" si="65"/>
        <v>4.17797165497414E-3</v>
      </c>
      <c r="J679" s="115"/>
      <c r="K679" s="64"/>
      <c r="L679" s="119">
        <v>42349</v>
      </c>
      <c r="M679" s="117">
        <v>-3.3603181533886431E-2</v>
      </c>
      <c r="N679" s="117">
        <v>8.0435359702681966E-3</v>
      </c>
      <c r="O679" s="117">
        <v>-2.0869657103608691E-2</v>
      </c>
      <c r="P679" s="89">
        <v>-3.494768898275951E-2</v>
      </c>
      <c r="R679" s="71">
        <v>42349</v>
      </c>
      <c r="S679" s="99">
        <f>+I679-[1]Data!W677</f>
        <v>4.1279716549741403E-3</v>
      </c>
    </row>
    <row r="680" spans="3:19">
      <c r="C680" s="71">
        <v>42356</v>
      </c>
      <c r="D680" s="118">
        <f t="shared" si="60"/>
        <v>15.957922251846009</v>
      </c>
      <c r="E680" s="92">
        <f t="shared" si="61"/>
        <v>162.23357615894039</v>
      </c>
      <c r="F680" s="92">
        <f t="shared" si="62"/>
        <v>0</v>
      </c>
      <c r="G680" s="92">
        <f t="shared" si="64"/>
        <v>178.19149841078641</v>
      </c>
      <c r="H680" s="92">
        <f t="shared" si="63"/>
        <v>178.11134830405001</v>
      </c>
      <c r="I680" s="91">
        <f t="shared" si="65"/>
        <v>-5.0429318302273223E-3</v>
      </c>
      <c r="J680" s="115"/>
      <c r="K680" s="64"/>
      <c r="L680" s="119">
        <v>42356</v>
      </c>
      <c r="M680" s="117">
        <v>-2.4911010300213863E-3</v>
      </c>
      <c r="N680" s="117">
        <v>-5.2932346667368679E-3</v>
      </c>
      <c r="O680" s="117">
        <v>1.0954025469458241E-2</v>
      </c>
      <c r="P680" s="89">
        <v>-2.5448530347363759E-4</v>
      </c>
      <c r="R680" s="71">
        <v>42356</v>
      </c>
      <c r="S680" s="99">
        <f>+I680-[1]Data!W678</f>
        <v>-5.0890856763811682E-3</v>
      </c>
    </row>
    <row r="681" spans="3:19">
      <c r="C681" s="71">
        <v>42363</v>
      </c>
      <c r="D681" s="118">
        <f t="shared" si="60"/>
        <v>16.344233391898346</v>
      </c>
      <c r="E681" s="92">
        <f t="shared" si="61"/>
        <v>162.17774018281875</v>
      </c>
      <c r="F681" s="92">
        <f t="shared" si="62"/>
        <v>0</v>
      </c>
      <c r="G681" s="92">
        <f t="shared" si="64"/>
        <v>178.52197357471709</v>
      </c>
      <c r="H681" s="92">
        <f t="shared" si="63"/>
        <v>178.44167482104805</v>
      </c>
      <c r="I681" s="91">
        <f t="shared" si="65"/>
        <v>1.8546067959361514E-3</v>
      </c>
      <c r="J681" s="115"/>
      <c r="K681" s="64"/>
      <c r="L681" s="119">
        <v>42363</v>
      </c>
      <c r="M681" s="117">
        <v>2.4208110175975489E-2</v>
      </c>
      <c r="N681" s="117">
        <v>-3.4417028486723574E-4</v>
      </c>
      <c r="O681" s="117">
        <v>1.6386442487323155E-2</v>
      </c>
      <c r="P681" s="89">
        <v>2.3622247677230424E-2</v>
      </c>
      <c r="R681" s="71">
        <v>42363</v>
      </c>
      <c r="S681" s="99">
        <f>+I681-[1]Data!W679</f>
        <v>1.8142221805515361E-3</v>
      </c>
    </row>
    <row r="682" spans="3:19">
      <c r="C682" s="71">
        <v>42370</v>
      </c>
      <c r="D682" s="118">
        <f t="shared" si="60"/>
        <v>16.241575235591139</v>
      </c>
      <c r="E682" s="92">
        <f t="shared" si="61"/>
        <v>161.9672815035911</v>
      </c>
      <c r="F682" s="92">
        <f t="shared" si="62"/>
        <v>0</v>
      </c>
      <c r="G682" s="92">
        <f t="shared" si="64"/>
        <v>178.20885673918224</v>
      </c>
      <c r="H682" s="92">
        <f t="shared" si="63"/>
        <v>178.12869882471153</v>
      </c>
      <c r="I682" s="91">
        <f t="shared" si="65"/>
        <v>-1.7539400291461612E-3</v>
      </c>
      <c r="J682" s="115"/>
      <c r="K682" s="64"/>
      <c r="L682" s="119">
        <v>42370</v>
      </c>
      <c r="M682" s="117">
        <v>-6.2810016135779545E-3</v>
      </c>
      <c r="N682" s="117">
        <v>-1.2977038586825718E-3</v>
      </c>
      <c r="O682" s="117">
        <v>-3.0984140321393501E-3</v>
      </c>
      <c r="P682" s="89">
        <v>-6.8634521174744259E-3</v>
      </c>
      <c r="R682" s="71">
        <v>42370</v>
      </c>
      <c r="S682" s="99">
        <f>+I682-[1]Data!W680</f>
        <v>-1.7943246445307765E-3</v>
      </c>
    </row>
    <row r="683" spans="3:19">
      <c r="C683" s="71">
        <v>42377</v>
      </c>
      <c r="D683" s="118">
        <f t="shared" si="60"/>
        <v>15.251915445196625</v>
      </c>
      <c r="E683" s="92">
        <f t="shared" si="61"/>
        <v>163.30304985542392</v>
      </c>
      <c r="F683" s="92">
        <f t="shared" si="62"/>
        <v>0</v>
      </c>
      <c r="G683" s="92">
        <f t="shared" si="64"/>
        <v>178.55496530062055</v>
      </c>
      <c r="H683" s="92">
        <f t="shared" si="63"/>
        <v>178.47465170735268</v>
      </c>
      <c r="I683" s="91">
        <f t="shared" si="65"/>
        <v>1.9421512924291868E-3</v>
      </c>
      <c r="J683" s="115"/>
      <c r="K683" s="64"/>
      <c r="L683" s="119">
        <v>42377</v>
      </c>
      <c r="M683" s="117">
        <v>-6.0933731860307039E-2</v>
      </c>
      <c r="N683" s="117">
        <v>8.2471492972685141E-3</v>
      </c>
      <c r="O683" s="117">
        <v>-3.9087604698941236E-2</v>
      </c>
      <c r="P683" s="89">
        <v>-6.1647094173322994E-2</v>
      </c>
      <c r="R683" s="71">
        <v>42377</v>
      </c>
      <c r="S683" s="99">
        <f>+I683-[1]Data!W681</f>
        <v>1.9017666770445715E-3</v>
      </c>
    </row>
    <row r="684" spans="3:19">
      <c r="C684" s="71">
        <v>42384</v>
      </c>
      <c r="D684" s="118">
        <f t="shared" si="60"/>
        <v>14.856618053593131</v>
      </c>
      <c r="E684" s="92">
        <f t="shared" si="61"/>
        <v>163.81416379069114</v>
      </c>
      <c r="F684" s="92">
        <f t="shared" si="62"/>
        <v>0</v>
      </c>
      <c r="G684" s="92">
        <f t="shared" si="64"/>
        <v>178.67078184428428</v>
      </c>
      <c r="H684" s="92">
        <f t="shared" si="63"/>
        <v>178.59041615701406</v>
      </c>
      <c r="I684" s="91">
        <f t="shared" si="65"/>
        <v>6.48632444741815E-4</v>
      </c>
      <c r="J684" s="115"/>
      <c r="K684" s="64"/>
      <c r="L684" s="119">
        <v>42384</v>
      </c>
      <c r="M684" s="117">
        <v>-2.5917885069838054E-2</v>
      </c>
      <c r="N684" s="117">
        <v>3.1298492938113091E-3</v>
      </c>
      <c r="O684" s="117">
        <v>-2.6259525245326418E-2</v>
      </c>
      <c r="P684" s="89">
        <v>-2.7431621080720406E-2</v>
      </c>
      <c r="R684" s="71">
        <v>42384</v>
      </c>
      <c r="S684" s="99">
        <f>+I684-[1]Data!W682</f>
        <v>6.063247524341227E-4</v>
      </c>
    </row>
    <row r="685" spans="3:19">
      <c r="C685" s="71">
        <v>42391</v>
      </c>
      <c r="D685" s="118">
        <f t="shared" si="60"/>
        <v>15.010849479672181</v>
      </c>
      <c r="E685" s="92">
        <f t="shared" si="61"/>
        <v>163.24721387930228</v>
      </c>
      <c r="F685" s="92">
        <f t="shared" si="62"/>
        <v>0</v>
      </c>
      <c r="G685" s="92">
        <f t="shared" si="64"/>
        <v>178.25806335897445</v>
      </c>
      <c r="H685" s="92">
        <f t="shared" si="63"/>
        <v>178.17788331148472</v>
      </c>
      <c r="I685" s="91">
        <f t="shared" si="65"/>
        <v>-2.3099383181158419E-3</v>
      </c>
      <c r="J685" s="115"/>
      <c r="K685" s="64"/>
      <c r="L685" s="119">
        <v>42391</v>
      </c>
      <c r="M685" s="117">
        <v>1.0381328073635742E-2</v>
      </c>
      <c r="N685" s="117">
        <v>-3.4609334032511623E-3</v>
      </c>
      <c r="O685" s="117">
        <v>-6.7559959464026881E-4</v>
      </c>
      <c r="P685" s="89">
        <v>9.6029851565286577E-3</v>
      </c>
      <c r="R685" s="71">
        <v>42391</v>
      </c>
      <c r="S685" s="99">
        <f>+I685-[1]Data!W683</f>
        <v>-2.3637844719619958E-3</v>
      </c>
    </row>
    <row r="686" spans="3:19">
      <c r="C686" s="71">
        <v>42398</v>
      </c>
      <c r="D686" s="118">
        <f t="shared" si="60"/>
        <v>15.258850487154582</v>
      </c>
      <c r="E686" s="92">
        <f t="shared" si="61"/>
        <v>163.84422931629513</v>
      </c>
      <c r="F686" s="92">
        <f t="shared" si="62"/>
        <v>0</v>
      </c>
      <c r="G686" s="92">
        <f t="shared" si="64"/>
        <v>179.1030798034497</v>
      </c>
      <c r="H686" s="92">
        <f t="shared" si="63"/>
        <v>179.02251966959878</v>
      </c>
      <c r="I686" s="91">
        <f t="shared" si="65"/>
        <v>4.7404107761090265E-3</v>
      </c>
      <c r="J686" s="115"/>
      <c r="K686" s="64"/>
      <c r="L686" s="119">
        <v>42398</v>
      </c>
      <c r="M686" s="117">
        <v>1.6521450556029191E-2</v>
      </c>
      <c r="N686" s="117">
        <v>3.6571248158283605E-3</v>
      </c>
      <c r="O686" s="117">
        <v>1.9211267605633783E-2</v>
      </c>
      <c r="P686" s="89">
        <v>1.9159170584558398E-2</v>
      </c>
      <c r="R686" s="71">
        <v>42398</v>
      </c>
      <c r="S686" s="99">
        <f>+I686-[1]Data!W684</f>
        <v>4.6788723145705646E-3</v>
      </c>
    </row>
    <row r="687" spans="3:19">
      <c r="C687" s="71">
        <v>42405</v>
      </c>
      <c r="D687" s="118">
        <f t="shared" si="60"/>
        <v>14.88465125136684</v>
      </c>
      <c r="E687" s="92">
        <f t="shared" si="61"/>
        <v>165.39475142244191</v>
      </c>
      <c r="F687" s="92">
        <f t="shared" si="62"/>
        <v>0</v>
      </c>
      <c r="G687" s="92">
        <f t="shared" si="64"/>
        <v>180.27940267380876</v>
      </c>
      <c r="H687" s="92">
        <f t="shared" si="63"/>
        <v>180.19831343276439</v>
      </c>
      <c r="I687" s="91">
        <f t="shared" si="65"/>
        <v>6.5678539511992221E-3</v>
      </c>
      <c r="J687" s="115"/>
      <c r="K687" s="64"/>
      <c r="L687" s="119">
        <v>42405</v>
      </c>
      <c r="M687" s="117">
        <v>-2.4523422396906996E-2</v>
      </c>
      <c r="N687" s="117">
        <v>9.4633916166407747E-3</v>
      </c>
      <c r="O687" s="117">
        <v>-1.8296390470399659E-2</v>
      </c>
      <c r="P687" s="89">
        <v>-2.2532131619646924E-2</v>
      </c>
      <c r="R687" s="71">
        <v>42405</v>
      </c>
      <c r="S687" s="99">
        <f>+I687-[1]Data!W685</f>
        <v>6.5063154896607602E-3</v>
      </c>
    </row>
    <row r="688" spans="3:19">
      <c r="C688" s="71">
        <v>42412</v>
      </c>
      <c r="D688" s="118">
        <f t="shared" si="60"/>
        <v>14.51914523718837</v>
      </c>
      <c r="E688" s="92">
        <f t="shared" si="61"/>
        <v>166.31389749090567</v>
      </c>
      <c r="F688" s="92">
        <f t="shared" si="62"/>
        <v>0</v>
      </c>
      <c r="G688" s="92">
        <f t="shared" si="64"/>
        <v>180.83304272809406</v>
      </c>
      <c r="H688" s="92">
        <f t="shared" si="63"/>
        <v>180.75170446108694</v>
      </c>
      <c r="I688" s="91">
        <f t="shared" si="65"/>
        <v>3.0710111420051232E-3</v>
      </c>
      <c r="J688" s="115"/>
      <c r="K688" s="64"/>
      <c r="L688" s="119">
        <v>42412</v>
      </c>
      <c r="M688" s="117">
        <v>-2.455590043770128E-2</v>
      </c>
      <c r="N688" s="117">
        <v>5.5572867975486736E-3</v>
      </c>
      <c r="O688" s="117">
        <v>-4.2117117117117062E-2</v>
      </c>
      <c r="P688" s="89">
        <v>-2.5915923288867066E-2</v>
      </c>
      <c r="R688" s="71">
        <v>42412</v>
      </c>
      <c r="S688" s="99">
        <f>+I688-[1]Data!W686</f>
        <v>3.0133188343128155E-3</v>
      </c>
    </row>
    <row r="689" spans="3:19">
      <c r="C689" s="71">
        <v>42419</v>
      </c>
      <c r="D689" s="118">
        <f t="shared" si="60"/>
        <v>15.024328856998913</v>
      </c>
      <c r="E689" s="92">
        <f t="shared" si="61"/>
        <v>166.47281526909799</v>
      </c>
      <c r="F689" s="92">
        <f t="shared" si="62"/>
        <v>0</v>
      </c>
      <c r="G689" s="92">
        <f t="shared" si="64"/>
        <v>181.49714412609691</v>
      </c>
      <c r="H689" s="92">
        <f t="shared" si="63"/>
        <v>181.41550714788076</v>
      </c>
      <c r="I689" s="91">
        <f t="shared" si="65"/>
        <v>3.6724560289649807E-3</v>
      </c>
      <c r="J689" s="115"/>
      <c r="K689" s="64"/>
      <c r="L689" s="119">
        <v>42419</v>
      </c>
      <c r="M689" s="117">
        <v>3.4794308587574437E-2</v>
      </c>
      <c r="N689" s="117">
        <v>9.5552915655169586E-4</v>
      </c>
      <c r="O689" s="117">
        <v>4.9905948742064478E-2</v>
      </c>
      <c r="P689" s="89">
        <v>3.5483238580670505E-2</v>
      </c>
      <c r="R689" s="71">
        <v>42419</v>
      </c>
      <c r="S689" s="99">
        <f>+I689-[1]Data!W687</f>
        <v>3.6147637212726731E-3</v>
      </c>
    </row>
    <row r="690" spans="3:19">
      <c r="C690" s="71">
        <v>42426</v>
      </c>
      <c r="D690" s="118">
        <f t="shared" si="60"/>
        <v>15.183541792090015</v>
      </c>
      <c r="E690" s="92">
        <f t="shared" si="61"/>
        <v>166.20652061374869</v>
      </c>
      <c r="F690" s="92">
        <f t="shared" si="62"/>
        <v>0</v>
      </c>
      <c r="G690" s="92">
        <f t="shared" si="64"/>
        <v>181.39006240583871</v>
      </c>
      <c r="H690" s="92">
        <f t="shared" si="63"/>
        <v>181.30847359272238</v>
      </c>
      <c r="I690" s="91">
        <f t="shared" si="65"/>
        <v>-5.8999121321603792E-4</v>
      </c>
      <c r="J690" s="115"/>
      <c r="K690" s="64"/>
      <c r="L690" s="119">
        <v>42426</v>
      </c>
      <c r="M690" s="117">
        <v>1.0597008133041182E-2</v>
      </c>
      <c r="N690" s="117">
        <v>-1.5996284733866915E-3</v>
      </c>
      <c r="O690" s="117">
        <v>1.2989194334023811E-2</v>
      </c>
      <c r="P690" s="89">
        <v>9.4390652891221099E-3</v>
      </c>
      <c r="R690" s="71">
        <v>42426</v>
      </c>
      <c r="S690" s="99">
        <f>+I690-[1]Data!W688</f>
        <v>-6.5152967475449943E-4</v>
      </c>
    </row>
    <row r="691" spans="3:19">
      <c r="C691" s="71">
        <v>42433</v>
      </c>
      <c r="D691" s="118">
        <f t="shared" si="60"/>
        <v>15.706795591650163</v>
      </c>
      <c r="E691" s="92">
        <f t="shared" si="61"/>
        <v>166.30101226564685</v>
      </c>
      <c r="F691" s="92">
        <f t="shared" si="62"/>
        <v>0</v>
      </c>
      <c r="G691" s="92">
        <f t="shared" si="64"/>
        <v>182.007807857297</v>
      </c>
      <c r="H691" s="92">
        <f t="shared" si="63"/>
        <v>181.92594118376468</v>
      </c>
      <c r="I691" s="91">
        <f t="shared" si="65"/>
        <v>3.4056190469582328E-3</v>
      </c>
      <c r="J691" s="115"/>
      <c r="K691" s="64"/>
      <c r="L691" s="119">
        <v>42433</v>
      </c>
      <c r="M691" s="117">
        <v>3.4461906630555712E-2</v>
      </c>
      <c r="N691" s="117">
        <v>5.685195234771957E-4</v>
      </c>
      <c r="O691" s="117">
        <v>4.0457635549660052E-2</v>
      </c>
      <c r="P691" s="89">
        <v>3.7778313640382512E-2</v>
      </c>
      <c r="R691" s="71">
        <v>42433</v>
      </c>
      <c r="S691" s="99">
        <f>+I691-[1]Data!W689</f>
        <v>3.3460036623428483E-3</v>
      </c>
    </row>
    <row r="692" spans="3:19">
      <c r="C692" s="71">
        <v>42440</v>
      </c>
      <c r="D692" s="118">
        <f t="shared" si="60"/>
        <v>15.883883353196282</v>
      </c>
      <c r="E692" s="92">
        <f t="shared" si="61"/>
        <v>166.56730692099615</v>
      </c>
      <c r="F692" s="92">
        <f t="shared" si="62"/>
        <v>0</v>
      </c>
      <c r="G692" s="92">
        <f t="shared" si="64"/>
        <v>182.45119027419241</v>
      </c>
      <c r="H692" s="92">
        <f t="shared" si="63"/>
        <v>182.36912416831706</v>
      </c>
      <c r="I692" s="91">
        <f t="shared" si="65"/>
        <v>2.4360626179458218E-3</v>
      </c>
      <c r="J692" s="115"/>
      <c r="K692" s="64"/>
      <c r="L692" s="119">
        <v>42440</v>
      </c>
      <c r="M692" s="117">
        <v>1.1274595159324463E-2</v>
      </c>
      <c r="N692" s="117">
        <v>1.6012810248198677E-3</v>
      </c>
      <c r="O692" s="117">
        <v>1.4873837981407763E-2</v>
      </c>
      <c r="P692" s="89">
        <v>1.1411457929930592E-2</v>
      </c>
      <c r="R692" s="71">
        <v>42440</v>
      </c>
      <c r="S692" s="99">
        <f>+I692-[1]Data!W690</f>
        <v>2.3764472333304373E-3</v>
      </c>
    </row>
    <row r="693" spans="3:19">
      <c r="C693" s="71">
        <v>42447</v>
      </c>
      <c r="D693" s="118">
        <f t="shared" si="60"/>
        <v>16.07337604894888</v>
      </c>
      <c r="E693" s="92">
        <f t="shared" si="61"/>
        <v>168.62464788732393</v>
      </c>
      <c r="F693" s="92">
        <f t="shared" si="62"/>
        <v>0</v>
      </c>
      <c r="G693" s="92">
        <f t="shared" si="64"/>
        <v>184.69802393627282</v>
      </c>
      <c r="H693" s="92">
        <f t="shared" si="63"/>
        <v>184.61494721002867</v>
      </c>
      <c r="I693" s="91">
        <f t="shared" si="65"/>
        <v>1.2314710902701058E-2</v>
      </c>
      <c r="J693" s="115"/>
      <c r="K693" s="64"/>
      <c r="L693" s="119">
        <v>42447</v>
      </c>
      <c r="M693" s="117">
        <v>1.1929872030599422E-2</v>
      </c>
      <c r="N693" s="117">
        <v>1.2351409195224518E-2</v>
      </c>
      <c r="O693" s="117">
        <v>2.4548547500654265E-2</v>
      </c>
      <c r="P693" s="89">
        <v>1.3937460114869125E-2</v>
      </c>
      <c r="R693" s="71">
        <v>42447</v>
      </c>
      <c r="S693" s="99">
        <f>+I693-[1]Data!W691</f>
        <v>1.2255095518085672E-2</v>
      </c>
    </row>
    <row r="694" spans="3:19">
      <c r="C694" s="71">
        <v>42454</v>
      </c>
      <c r="D694" s="118">
        <f t="shared" si="60"/>
        <v>15.859854897961672</v>
      </c>
      <c r="E694" s="92">
        <f t="shared" si="61"/>
        <v>168.01904230015853</v>
      </c>
      <c r="F694" s="92">
        <f t="shared" si="62"/>
        <v>0</v>
      </c>
      <c r="G694" s="92">
        <f t="shared" si="64"/>
        <v>183.8788971981202</v>
      </c>
      <c r="H694" s="92">
        <f t="shared" si="63"/>
        <v>183.79618891310969</v>
      </c>
      <c r="I694" s="91">
        <f t="shared" si="65"/>
        <v>-4.4349512826148321E-3</v>
      </c>
      <c r="J694" s="115"/>
      <c r="K694" s="64"/>
      <c r="L694" s="119">
        <v>42454</v>
      </c>
      <c r="M694" s="117">
        <v>-1.3284150780580529E-2</v>
      </c>
      <c r="N694" s="117">
        <v>-3.5914416709119331E-3</v>
      </c>
      <c r="O694" s="117">
        <v>-1.4764483498518518E-2</v>
      </c>
      <c r="P694" s="89">
        <v>-1.3695526295913996E-2</v>
      </c>
      <c r="R694" s="71">
        <v>42454</v>
      </c>
      <c r="S694" s="99">
        <f>+I694-[1]Data!W692</f>
        <v>-4.4926435903071401E-3</v>
      </c>
    </row>
    <row r="695" spans="3:19">
      <c r="C695" s="71">
        <v>42461</v>
      </c>
      <c r="D695" s="118">
        <f t="shared" si="60"/>
        <v>16.020337629467612</v>
      </c>
      <c r="E695" s="92">
        <f t="shared" si="61"/>
        <v>169.23884362466183</v>
      </c>
      <c r="F695" s="92">
        <f t="shared" si="62"/>
        <v>0</v>
      </c>
      <c r="G695" s="92">
        <f t="shared" si="64"/>
        <v>185.25918125412943</v>
      </c>
      <c r="H695" s="92">
        <f t="shared" si="63"/>
        <v>185.17585212067553</v>
      </c>
      <c r="I695" s="91">
        <f t="shared" si="65"/>
        <v>7.5064843059291161E-3</v>
      </c>
      <c r="J695" s="115"/>
      <c r="K695" s="64"/>
      <c r="L695" s="119">
        <v>42461</v>
      </c>
      <c r="M695" s="117">
        <v>1.011880200282074E-2</v>
      </c>
      <c r="N695" s="117">
        <v>7.2598992816789156E-3</v>
      </c>
      <c r="O695" s="117">
        <v>1.711174487944004E-2</v>
      </c>
      <c r="P695" s="89">
        <v>1.082267657043676E-2</v>
      </c>
      <c r="R695" s="71">
        <v>42461</v>
      </c>
      <c r="S695" s="99">
        <f>+I695-[1]Data!W693</f>
        <v>7.4622535366983466E-3</v>
      </c>
    </row>
    <row r="696" spans="3:19">
      <c r="C696" s="71">
        <v>42468</v>
      </c>
      <c r="D696" s="118">
        <f t="shared" si="60"/>
        <v>15.942782371515257</v>
      </c>
      <c r="E696" s="92">
        <f t="shared" si="61"/>
        <v>170.54025137580444</v>
      </c>
      <c r="F696" s="92">
        <f t="shared" si="62"/>
        <v>0</v>
      </c>
      <c r="G696" s="92">
        <f t="shared" si="64"/>
        <v>186.48303374731969</v>
      </c>
      <c r="H696" s="92">
        <f t="shared" si="63"/>
        <v>186.39915412796253</v>
      </c>
      <c r="I696" s="91">
        <f t="shared" si="65"/>
        <v>6.6061637804145272E-3</v>
      </c>
      <c r="J696" s="115"/>
      <c r="K696" s="64"/>
      <c r="L696" s="119">
        <v>42468</v>
      </c>
      <c r="M696" s="117">
        <v>-4.8410501542551576E-3</v>
      </c>
      <c r="N696" s="117">
        <v>7.6897698144812064E-3</v>
      </c>
      <c r="O696" s="117">
        <v>4.1804741269436309E-3</v>
      </c>
      <c r="P696" s="89">
        <v>-5.5049114921340543E-3</v>
      </c>
      <c r="R696" s="71">
        <v>42468</v>
      </c>
      <c r="S696" s="99">
        <f>+I696-[1]Data!W694</f>
        <v>6.5619330111837577E-3</v>
      </c>
    </row>
    <row r="697" spans="3:19">
      <c r="C697" s="71">
        <v>42475</v>
      </c>
      <c r="D697" s="118">
        <f t="shared" si="60"/>
        <v>16.316590900713816</v>
      </c>
      <c r="E697" s="92">
        <f t="shared" si="61"/>
        <v>170.47582524951025</v>
      </c>
      <c r="F697" s="92">
        <f t="shared" si="62"/>
        <v>0</v>
      </c>
      <c r="G697" s="92">
        <f t="shared" si="64"/>
        <v>186.79241615022406</v>
      </c>
      <c r="H697" s="92">
        <f t="shared" si="63"/>
        <v>186.70839737140736</v>
      </c>
      <c r="I697" s="91">
        <f t="shared" si="65"/>
        <v>1.6590378046057595E-3</v>
      </c>
      <c r="J697" s="115"/>
      <c r="K697" s="64"/>
      <c r="L697" s="119">
        <v>42475</v>
      </c>
      <c r="M697" s="117">
        <v>2.3446881509618909E-2</v>
      </c>
      <c r="N697" s="117">
        <v>-3.7777665843947327E-4</v>
      </c>
      <c r="O697" s="117">
        <v>8.0215261207291083E-3</v>
      </c>
      <c r="P697" s="89">
        <v>2.475687479369271E-2</v>
      </c>
      <c r="R697" s="71">
        <v>42475</v>
      </c>
      <c r="S697" s="99">
        <f>+I697-[1]Data!W695</f>
        <v>1.6167301122980671E-3</v>
      </c>
    </row>
    <row r="698" spans="3:19">
      <c r="C698" s="71">
        <v>42482</v>
      </c>
      <c r="D698" s="118">
        <f t="shared" si="60"/>
        <v>16.469943236967207</v>
      </c>
      <c r="E698" s="92">
        <f t="shared" si="61"/>
        <v>169.35910572707763</v>
      </c>
      <c r="F698" s="92">
        <f t="shared" si="62"/>
        <v>0</v>
      </c>
      <c r="G698" s="92">
        <f t="shared" si="64"/>
        <v>185.82904896404483</v>
      </c>
      <c r="H698" s="92">
        <f t="shared" si="63"/>
        <v>185.74546350546782</v>
      </c>
      <c r="I698" s="91">
        <f t="shared" si="65"/>
        <v>-5.1574213023961035E-3</v>
      </c>
      <c r="J698" s="115"/>
      <c r="K698" s="64"/>
      <c r="L698" s="119">
        <v>42482</v>
      </c>
      <c r="M698" s="117">
        <v>9.3985525031877529E-3</v>
      </c>
      <c r="N698" s="117">
        <v>-6.5506034113527569E-3</v>
      </c>
      <c r="O698" s="117">
        <v>-7.3533115084362015E-3</v>
      </c>
      <c r="P698" s="89">
        <v>8.2759304227167652E-3</v>
      </c>
      <c r="R698" s="71">
        <v>42482</v>
      </c>
      <c r="S698" s="99">
        <f>+I698-[1]Data!W696</f>
        <v>-5.1997289947037957E-3</v>
      </c>
    </row>
    <row r="699" spans="3:19">
      <c r="C699" s="71">
        <v>42489</v>
      </c>
      <c r="D699" s="118">
        <f t="shared" si="60"/>
        <v>16.319814230074552</v>
      </c>
      <c r="E699" s="92">
        <f t="shared" si="61"/>
        <v>171.01270963529518</v>
      </c>
      <c r="F699" s="92">
        <f t="shared" si="62"/>
        <v>0</v>
      </c>
      <c r="G699" s="92">
        <f t="shared" si="64"/>
        <v>187.33252386536972</v>
      </c>
      <c r="H699" s="92">
        <f t="shared" si="63"/>
        <v>187.24826214740381</v>
      </c>
      <c r="I699" s="91">
        <f t="shared" si="65"/>
        <v>8.0906344282897866E-3</v>
      </c>
      <c r="J699" s="115"/>
      <c r="K699" s="64"/>
      <c r="L699" s="119">
        <v>42489</v>
      </c>
      <c r="M699" s="117">
        <v>-9.1153323804836501E-3</v>
      </c>
      <c r="N699" s="117">
        <v>9.7638913545180766E-3</v>
      </c>
      <c r="O699" s="117">
        <v>1.0147648282515719E-4</v>
      </c>
      <c r="P699" s="89">
        <v>-8.7977980929913515E-3</v>
      </c>
      <c r="R699" s="71">
        <v>42489</v>
      </c>
      <c r="S699" s="99">
        <f>+I699-[1]Data!W697</f>
        <v>8.046403659059018E-3</v>
      </c>
    </row>
    <row r="700" spans="3:19">
      <c r="C700" s="71">
        <v>42496</v>
      </c>
      <c r="D700" s="118">
        <f t="shared" si="60"/>
        <v>16.050129006892629</v>
      </c>
      <c r="E700" s="92">
        <f t="shared" si="61"/>
        <v>171.3734959425426</v>
      </c>
      <c r="F700" s="92">
        <f t="shared" si="62"/>
        <v>0</v>
      </c>
      <c r="G700" s="92">
        <f t="shared" si="64"/>
        <v>187.42362494943524</v>
      </c>
      <c r="H700" s="92">
        <f t="shared" si="63"/>
        <v>187.33932225442115</v>
      </c>
      <c r="I700" s="91">
        <f t="shared" si="65"/>
        <v>4.8630682054425623E-4</v>
      </c>
      <c r="J700" s="115"/>
      <c r="K700" s="64"/>
      <c r="L700" s="119">
        <v>42496</v>
      </c>
      <c r="M700" s="117">
        <v>-1.6525017955470372E-2</v>
      </c>
      <c r="N700" s="117">
        <v>2.1097046413501479E-3</v>
      </c>
      <c r="O700" s="117">
        <v>9.5885546141747571E-3</v>
      </c>
      <c r="P700" s="89">
        <v>-1.9041007586651337E-2</v>
      </c>
      <c r="R700" s="71">
        <v>42496</v>
      </c>
      <c r="S700" s="99">
        <f>+I700-[1]Data!W698</f>
        <v>4.4784528208271774E-4</v>
      </c>
    </row>
    <row r="701" spans="3:19">
      <c r="C701" s="71">
        <v>42503</v>
      </c>
      <c r="D701" s="118">
        <f t="shared" si="60"/>
        <v>15.97911808430905</v>
      </c>
      <c r="E701" s="92">
        <f t="shared" si="61"/>
        <v>171.03848008581284</v>
      </c>
      <c r="F701" s="92">
        <f t="shared" si="62"/>
        <v>0</v>
      </c>
      <c r="G701" s="92">
        <f t="shared" si="64"/>
        <v>187.01759817012189</v>
      </c>
      <c r="H701" s="92">
        <f t="shared" si="63"/>
        <v>186.93347810497505</v>
      </c>
      <c r="I701" s="91">
        <f t="shared" si="65"/>
        <v>-2.1663585869865004E-3</v>
      </c>
      <c r="J701" s="115"/>
      <c r="K701" s="64"/>
      <c r="L701" s="119">
        <v>42503</v>
      </c>
      <c r="M701" s="117">
        <v>-4.4243209854003384E-3</v>
      </c>
      <c r="N701" s="117">
        <v>-1.9548872180450445E-3</v>
      </c>
      <c r="O701" s="117">
        <v>-1.3065326633165801E-2</v>
      </c>
      <c r="P701" s="89">
        <v>-5.1306677450336895E-3</v>
      </c>
      <c r="R701" s="71">
        <v>42503</v>
      </c>
      <c r="S701" s="99">
        <f>+I701-[1]Data!W699</f>
        <v>-2.2163585869865005E-3</v>
      </c>
    </row>
    <row r="702" spans="3:19">
      <c r="C702" s="71">
        <v>42510</v>
      </c>
      <c r="D702" s="118">
        <f t="shared" si="60"/>
        <v>16.017505006696044</v>
      </c>
      <c r="E702" s="92">
        <f t="shared" si="61"/>
        <v>169.85733443708602</v>
      </c>
      <c r="F702" s="92">
        <f t="shared" si="62"/>
        <v>0</v>
      </c>
      <c r="G702" s="92">
        <f t="shared" si="64"/>
        <v>185.87483944378207</v>
      </c>
      <c r="H702" s="92">
        <f t="shared" si="63"/>
        <v>185.79123338875755</v>
      </c>
      <c r="I702" s="91">
        <f t="shared" si="65"/>
        <v>-6.1104341918683048E-3</v>
      </c>
      <c r="J702" s="115"/>
      <c r="K702" s="64"/>
      <c r="L702" s="119">
        <v>42510</v>
      </c>
      <c r="M702" s="117">
        <v>2.4023179617584209E-3</v>
      </c>
      <c r="N702" s="117">
        <v>-6.9057305007282398E-3</v>
      </c>
      <c r="O702" s="117">
        <v>-1.2270875763747436E-2</v>
      </c>
      <c r="P702" s="89">
        <v>8.1294616772093885E-4</v>
      </c>
      <c r="R702" s="71">
        <v>42510</v>
      </c>
      <c r="S702" s="99">
        <f>+I702-[1]Data!W700</f>
        <v>-6.1681264995606128E-3</v>
      </c>
    </row>
    <row r="703" spans="3:19">
      <c r="C703" s="71">
        <v>42517</v>
      </c>
      <c r="D703" s="118">
        <f t="shared" si="60"/>
        <v>16.371289823199096</v>
      </c>
      <c r="E703" s="92">
        <f t="shared" si="61"/>
        <v>170.2310059695923</v>
      </c>
      <c r="F703" s="92">
        <f t="shared" si="62"/>
        <v>0</v>
      </c>
      <c r="G703" s="92">
        <f t="shared" si="64"/>
        <v>186.60229579279141</v>
      </c>
      <c r="H703" s="92">
        <f t="shared" si="63"/>
        <v>186.51836252965347</v>
      </c>
      <c r="I703" s="91">
        <f t="shared" si="65"/>
        <v>3.9136891856164681E-3</v>
      </c>
      <c r="J703" s="115"/>
      <c r="K703" s="64"/>
      <c r="L703" s="119">
        <v>42517</v>
      </c>
      <c r="M703" s="117">
        <v>2.2087386041406244E-2</v>
      </c>
      <c r="N703" s="117">
        <v>2.1999140263482633E-3</v>
      </c>
      <c r="O703" s="117">
        <v>1.4897675137893635E-2</v>
      </c>
      <c r="P703" s="89">
        <v>2.2794770910014008E-2</v>
      </c>
      <c r="R703" s="71">
        <v>42517</v>
      </c>
      <c r="S703" s="99">
        <f>+I703-[1]Data!W701</f>
        <v>3.8502276471549298E-3</v>
      </c>
    </row>
    <row r="704" spans="3:19">
      <c r="C704" s="71">
        <v>42524</v>
      </c>
      <c r="D704" s="118">
        <f t="shared" si="60"/>
        <v>16.395806661670179</v>
      </c>
      <c r="E704" s="92">
        <f t="shared" si="61"/>
        <v>172.0735931816061</v>
      </c>
      <c r="F704" s="92">
        <f t="shared" si="62"/>
        <v>0</v>
      </c>
      <c r="G704" s="92">
        <f t="shared" si="64"/>
        <v>188.46939984327628</v>
      </c>
      <c r="H704" s="92">
        <f t="shared" si="63"/>
        <v>188.38462676123419</v>
      </c>
      <c r="I704" s="91">
        <f t="shared" si="65"/>
        <v>1.0005793565145674E-2</v>
      </c>
      <c r="J704" s="115"/>
      <c r="K704" s="64"/>
      <c r="L704" s="119">
        <v>42524</v>
      </c>
      <c r="M704" s="117">
        <v>1.4975508182832405E-3</v>
      </c>
      <c r="N704" s="117">
        <v>1.082403996568608E-2</v>
      </c>
      <c r="O704" s="117">
        <v>9.4473791141812969E-3</v>
      </c>
      <c r="P704" s="89">
        <v>2.3329114238205091E-3</v>
      </c>
      <c r="R704" s="71">
        <v>42524</v>
      </c>
      <c r="S704" s="99">
        <f>+I704-[1]Data!W702</f>
        <v>9.9481012574533668E-3</v>
      </c>
    </row>
    <row r="705" spans="3:19">
      <c r="C705" s="71">
        <v>42531</v>
      </c>
      <c r="D705" s="118">
        <f t="shared" si="60"/>
        <v>16.265310660883852</v>
      </c>
      <c r="E705" s="92">
        <f t="shared" si="61"/>
        <v>172.66201846842637</v>
      </c>
      <c r="F705" s="92">
        <f t="shared" si="62"/>
        <v>0</v>
      </c>
      <c r="G705" s="92">
        <f t="shared" si="64"/>
        <v>188.92732912931021</v>
      </c>
      <c r="H705" s="92">
        <f t="shared" si="63"/>
        <v>188.84235007177838</v>
      </c>
      <c r="I705" s="91">
        <f t="shared" si="65"/>
        <v>2.429727512342778E-3</v>
      </c>
      <c r="J705" s="115"/>
      <c r="K705" s="64"/>
      <c r="L705" s="119">
        <v>42531</v>
      </c>
      <c r="M705" s="117">
        <v>-7.9591082939150359E-3</v>
      </c>
      <c r="N705" s="117">
        <v>3.4196141077802574E-3</v>
      </c>
      <c r="O705" s="117">
        <v>1.358558921203491E-3</v>
      </c>
      <c r="P705" s="89">
        <v>-6.1901106791789435E-3</v>
      </c>
      <c r="R705" s="71">
        <v>42531</v>
      </c>
      <c r="S705" s="99">
        <f>+I705-[1]Data!W703</f>
        <v>2.3797275123427779E-3</v>
      </c>
    </row>
    <row r="706" spans="3:19">
      <c r="C706" s="71">
        <v>42538</v>
      </c>
      <c r="D706" s="118">
        <f t="shared" si="60"/>
        <v>15.977750611246915</v>
      </c>
      <c r="E706" s="92">
        <f t="shared" si="61"/>
        <v>173.10870627739945</v>
      </c>
      <c r="F706" s="92">
        <f t="shared" si="62"/>
        <v>0</v>
      </c>
      <c r="G706" s="92">
        <f t="shared" si="64"/>
        <v>189.08645688864635</v>
      </c>
      <c r="H706" s="92">
        <f t="shared" si="63"/>
        <v>189.00140625583165</v>
      </c>
      <c r="I706" s="91">
        <f t="shared" si="65"/>
        <v>8.4226967093352356E-4</v>
      </c>
      <c r="J706" s="115"/>
      <c r="K706" s="64"/>
      <c r="L706" s="119">
        <v>42538</v>
      </c>
      <c r="M706" s="117">
        <v>-1.7679345672043364E-2</v>
      </c>
      <c r="N706" s="117">
        <v>2.5870646766169665E-3</v>
      </c>
      <c r="O706" s="117">
        <v>-1.0200492437565958E-2</v>
      </c>
      <c r="P706" s="89">
        <v>-1.8063133766848545E-2</v>
      </c>
      <c r="R706" s="71">
        <v>42538</v>
      </c>
      <c r="S706" s="99">
        <f>+I706-[1]Data!W704</f>
        <v>7.9034659401044666E-4</v>
      </c>
    </row>
    <row r="707" spans="3:19">
      <c r="C707" s="71">
        <v>42545</v>
      </c>
      <c r="D707" s="118">
        <f t="shared" si="60"/>
        <v>15.714121340197291</v>
      </c>
      <c r="E707" s="92">
        <f t="shared" si="61"/>
        <v>173.60263991232156</v>
      </c>
      <c r="F707" s="92">
        <f t="shared" si="62"/>
        <v>0</v>
      </c>
      <c r="G707" s="92">
        <f t="shared" si="64"/>
        <v>189.31676125251886</v>
      </c>
      <c r="H707" s="92">
        <f t="shared" si="63"/>
        <v>189.23160702935604</v>
      </c>
      <c r="I707" s="91">
        <f t="shared" si="65"/>
        <v>1.2179844482891765E-3</v>
      </c>
      <c r="J707" s="115"/>
      <c r="K707" s="64"/>
      <c r="L707" s="119">
        <v>42545</v>
      </c>
      <c r="M707" s="117">
        <v>-1.6499773808213825E-2</v>
      </c>
      <c r="N707" s="117">
        <v>2.8533148074632226E-3</v>
      </c>
      <c r="O707" s="117">
        <v>-6.3458219108538938E-3</v>
      </c>
      <c r="P707" s="89">
        <v>-1.4843194966000261E-2</v>
      </c>
      <c r="R707" s="71">
        <v>42545</v>
      </c>
      <c r="S707" s="99">
        <f>+I707-[1]Data!W705</f>
        <v>1.1641382944430226E-3</v>
      </c>
    </row>
    <row r="708" spans="3:19">
      <c r="C708" s="71">
        <v>42552</v>
      </c>
      <c r="D708" s="118">
        <f t="shared" si="60"/>
        <v>16.216863043825455</v>
      </c>
      <c r="E708" s="92">
        <f t="shared" si="61"/>
        <v>174.86539198768764</v>
      </c>
      <c r="F708" s="92">
        <f t="shared" si="62"/>
        <v>0</v>
      </c>
      <c r="G708" s="92">
        <f t="shared" si="64"/>
        <v>191.08225503151311</v>
      </c>
      <c r="H708" s="92">
        <f t="shared" si="63"/>
        <v>190.99630669350142</v>
      </c>
      <c r="I708" s="91">
        <f t="shared" si="65"/>
        <v>9.3256073435534458E-3</v>
      </c>
      <c r="J708" s="115"/>
      <c r="K708" s="64"/>
      <c r="L708" s="119">
        <v>42552</v>
      </c>
      <c r="M708" s="117">
        <v>3.1992988519321995E-2</v>
      </c>
      <c r="N708" s="117">
        <v>7.2738068730052643E-3</v>
      </c>
      <c r="O708" s="117">
        <v>4.0668267511367741E-2</v>
      </c>
      <c r="P708" s="89">
        <v>3.2966749942050663E-2</v>
      </c>
      <c r="R708" s="71">
        <v>42552</v>
      </c>
      <c r="S708" s="99">
        <f>+I708-[1]Data!W706</f>
        <v>9.2756073435534461E-3</v>
      </c>
    </row>
    <row r="709" spans="3:19">
      <c r="C709" s="71">
        <v>42559</v>
      </c>
      <c r="D709" s="118">
        <f t="shared" ref="D709:D734" si="66">+D708*(1+M709)</f>
        <v>16.236984433168256</v>
      </c>
      <c r="E709" s="92">
        <f t="shared" ref="E709:E734" si="67">+E708*(1+N709)</f>
        <v>175.99070166029281</v>
      </c>
      <c r="F709" s="92">
        <f t="shared" ref="F709:F734" si="68">+F708*(1+O709)</f>
        <v>0</v>
      </c>
      <c r="G709" s="92">
        <f t="shared" si="64"/>
        <v>192.22768609346107</v>
      </c>
      <c r="H709" s="92">
        <f t="shared" ref="H709:H734" si="69">+H708*(1+(((D708/G708)*M709)+((E708/G708)*N709)+((F708/G708)*O709)))</f>
        <v>192.14122254331699</v>
      </c>
      <c r="I709" s="91">
        <f t="shared" si="65"/>
        <v>5.9944397336062025E-3</v>
      </c>
      <c r="J709" s="115"/>
      <c r="K709" s="64"/>
      <c r="L709" s="119">
        <v>42559</v>
      </c>
      <c r="M709" s="117">
        <v>1.2407695180272642E-3</v>
      </c>
      <c r="N709" s="117">
        <v>6.4352909390121204E-3</v>
      </c>
      <c r="O709" s="117">
        <v>-5.8913054150917842E-4</v>
      </c>
      <c r="P709" s="89">
        <v>-1.9946642730691422E-4</v>
      </c>
      <c r="R709" s="71">
        <v>42559</v>
      </c>
      <c r="S709" s="99">
        <f>+I709-[1]Data!W707</f>
        <v>5.9405935797600491E-3</v>
      </c>
    </row>
    <row r="710" spans="3:19">
      <c r="C710" s="71">
        <v>42566</v>
      </c>
      <c r="D710" s="118">
        <f t="shared" si="66"/>
        <v>16.610597609072222</v>
      </c>
      <c r="E710" s="92">
        <f t="shared" si="67"/>
        <v>173.77014784068643</v>
      </c>
      <c r="F710" s="92">
        <f t="shared" si="68"/>
        <v>0</v>
      </c>
      <c r="G710" s="92">
        <f t="shared" ref="G710:G734" si="70">+SUM(D710:F710)</f>
        <v>190.38074544975865</v>
      </c>
      <c r="H710" s="92">
        <f t="shared" si="69"/>
        <v>190.29511264906699</v>
      </c>
      <c r="I710" s="91">
        <f t="shared" si="65"/>
        <v>-9.6080886225952799E-3</v>
      </c>
      <c r="J710" s="115"/>
      <c r="K710" s="64"/>
      <c r="L710" s="119">
        <v>42566</v>
      </c>
      <c r="M710" s="117">
        <v>2.3010010106357382E-2</v>
      </c>
      <c r="N710" s="117">
        <v>-1.261744966442957E-2</v>
      </c>
      <c r="O710" s="117">
        <v>1.3656236184113579E-2</v>
      </c>
      <c r="P710" s="89">
        <v>2.5511858151076133E-2</v>
      </c>
      <c r="R710" s="71">
        <v>42566</v>
      </c>
      <c r="S710" s="99">
        <f>+I710-[1]Data!W708</f>
        <v>-9.6677040072106653E-3</v>
      </c>
    </row>
    <row r="711" spans="3:19">
      <c r="C711" s="71">
        <v>42573</v>
      </c>
      <c r="D711" s="118">
        <f t="shared" si="66"/>
        <v>16.673110663341124</v>
      </c>
      <c r="E711" s="92">
        <f t="shared" si="67"/>
        <v>173.63700051301177</v>
      </c>
      <c r="F711" s="92">
        <f t="shared" si="68"/>
        <v>0</v>
      </c>
      <c r="G711" s="92">
        <f t="shared" si="70"/>
        <v>190.3101111763529</v>
      </c>
      <c r="H711" s="92">
        <f t="shared" si="69"/>
        <v>190.22451014678725</v>
      </c>
      <c r="I711" s="91">
        <f t="shared" ref="I711:I734" si="71">+(H711-H710)/H710</f>
        <v>-3.7101584637090618E-4</v>
      </c>
      <c r="J711" s="115"/>
      <c r="K711" s="64"/>
      <c r="L711" s="119">
        <v>42573</v>
      </c>
      <c r="M711" s="117">
        <v>3.7634440217104211E-3</v>
      </c>
      <c r="N711" s="117">
        <v>-7.6622670423649784E-4</v>
      </c>
      <c r="O711" s="117">
        <v>1.6331475648170606E-2</v>
      </c>
      <c r="P711" s="89">
        <v>3.5260930888575178E-3</v>
      </c>
      <c r="R711" s="71">
        <v>42573</v>
      </c>
      <c r="S711" s="99">
        <f>+I711-[1]Data!W709</f>
        <v>-4.3255430790936774E-4</v>
      </c>
    </row>
    <row r="712" spans="3:19">
      <c r="C712" s="71">
        <v>42580</v>
      </c>
      <c r="D712" s="118">
        <f t="shared" si="66"/>
        <v>16.817867454632545</v>
      </c>
      <c r="E712" s="92">
        <f t="shared" si="67"/>
        <v>175.53542370114721</v>
      </c>
      <c r="F712" s="92">
        <f t="shared" si="68"/>
        <v>0</v>
      </c>
      <c r="G712" s="92">
        <f t="shared" si="70"/>
        <v>192.35329115577974</v>
      </c>
      <c r="H712" s="92">
        <f t="shared" si="69"/>
        <v>192.26677110878123</v>
      </c>
      <c r="I712" s="91">
        <f t="shared" si="71"/>
        <v>1.0736055834329964E-2</v>
      </c>
      <c r="J712" s="115"/>
      <c r="K712" s="64"/>
      <c r="L712" s="119">
        <v>42580</v>
      </c>
      <c r="M712" s="117">
        <v>8.6820506511537613E-3</v>
      </c>
      <c r="N712" s="117">
        <v>1.0933287159571613E-2</v>
      </c>
      <c r="O712" s="117">
        <v>1.0204081632653132E-2</v>
      </c>
      <c r="P712" s="89">
        <v>8.2874936389850454E-3</v>
      </c>
      <c r="R712" s="71">
        <v>42580</v>
      </c>
      <c r="S712" s="99">
        <f>+I712-[1]Data!W710</f>
        <v>1.0680286603560733E-2</v>
      </c>
    </row>
    <row r="713" spans="3:19">
      <c r="C713" s="71">
        <v>42587</v>
      </c>
      <c r="D713" s="118">
        <f t="shared" si="66"/>
        <v>16.767661657922837</v>
      </c>
      <c r="E713" s="92">
        <f t="shared" si="67"/>
        <v>174.53467120604415</v>
      </c>
      <c r="F713" s="92">
        <f t="shared" si="68"/>
        <v>0</v>
      </c>
      <c r="G713" s="92">
        <f t="shared" si="70"/>
        <v>191.302332863967</v>
      </c>
      <c r="H713" s="92">
        <f t="shared" si="69"/>
        <v>191.21628553547646</v>
      </c>
      <c r="I713" s="91">
        <f t="shared" si="71"/>
        <v>-5.4636876005496682E-3</v>
      </c>
      <c r="J713" s="115"/>
      <c r="K713" s="64"/>
      <c r="L713" s="119">
        <v>42587</v>
      </c>
      <c r="M713" s="117">
        <v>-2.9852653343322199E-3</v>
      </c>
      <c r="N713" s="117">
        <v>-5.7011426753773862E-3</v>
      </c>
      <c r="O713" s="117">
        <v>-1.7133956386292948E-2</v>
      </c>
      <c r="P713" s="89">
        <v>-1.2256963637674323E-3</v>
      </c>
      <c r="R713" s="71">
        <v>42587</v>
      </c>
      <c r="S713" s="99">
        <f>+I713-[1]Data!W711</f>
        <v>-5.5175337543958217E-3</v>
      </c>
    </row>
    <row r="714" spans="3:19">
      <c r="C714" s="71">
        <v>42594</v>
      </c>
      <c r="D714" s="118">
        <f t="shared" si="66"/>
        <v>16.957642736911911</v>
      </c>
      <c r="E714" s="92">
        <f t="shared" si="67"/>
        <v>175.64280057830419</v>
      </c>
      <c r="F714" s="92">
        <f t="shared" si="68"/>
        <v>0</v>
      </c>
      <c r="G714" s="92">
        <f t="shared" si="70"/>
        <v>192.6004433152161</v>
      </c>
      <c r="H714" s="92">
        <f t="shared" si="69"/>
        <v>192.51381209977163</v>
      </c>
      <c r="I714" s="91">
        <f t="shared" si="71"/>
        <v>6.785648830389175E-3</v>
      </c>
      <c r="J714" s="115"/>
      <c r="K714" s="64"/>
      <c r="L714" s="119">
        <v>42594</v>
      </c>
      <c r="M714" s="117">
        <v>1.1330207089389111E-2</v>
      </c>
      <c r="N714" s="117">
        <v>6.34905010335659E-3</v>
      </c>
      <c r="O714" s="117">
        <v>6.0990251164578122E-3</v>
      </c>
      <c r="P714" s="89">
        <v>1.3090139082727749E-2</v>
      </c>
      <c r="R714" s="71">
        <v>42594</v>
      </c>
      <c r="S714" s="99">
        <f>+I714-[1]Data!W712</f>
        <v>6.7298795996199442E-3</v>
      </c>
    </row>
    <row r="715" spans="3:19">
      <c r="C715" s="71">
        <v>42601</v>
      </c>
      <c r="D715" s="118">
        <f t="shared" si="66"/>
        <v>16.91613016181147</v>
      </c>
      <c r="E715" s="92">
        <f t="shared" si="67"/>
        <v>175.6986365544258</v>
      </c>
      <c r="F715" s="92">
        <f t="shared" si="68"/>
        <v>0</v>
      </c>
      <c r="G715" s="92">
        <f t="shared" si="70"/>
        <v>192.61476671623728</v>
      </c>
      <c r="H715" s="92">
        <f t="shared" si="69"/>
        <v>192.52812905816154</v>
      </c>
      <c r="I715" s="91">
        <f t="shared" si="71"/>
        <v>7.4368473792895708E-5</v>
      </c>
      <c r="J715" s="115"/>
      <c r="K715" s="64"/>
      <c r="L715" s="119">
        <v>42601</v>
      </c>
      <c r="M715" s="117">
        <v>-2.448015667300271E-3</v>
      </c>
      <c r="N715" s="117">
        <v>3.1789504572796856E-4</v>
      </c>
      <c r="O715" s="117">
        <v>-1.6610978520286347E-2</v>
      </c>
      <c r="P715" s="89">
        <v>-2.1376656690893004E-3</v>
      </c>
      <c r="R715" s="71">
        <v>42601</v>
      </c>
      <c r="S715" s="99">
        <f>+I715-[1]Data!W713</f>
        <v>1.8599243023664943E-5</v>
      </c>
    </row>
    <row r="716" spans="3:19">
      <c r="C716" s="71">
        <v>42608</v>
      </c>
      <c r="D716" s="118">
        <f t="shared" si="66"/>
        <v>16.859770736322165</v>
      </c>
      <c r="E716" s="92">
        <f t="shared" si="67"/>
        <v>175.51824340080208</v>
      </c>
      <c r="F716" s="92">
        <f t="shared" si="68"/>
        <v>0</v>
      </c>
      <c r="G716" s="92">
        <f t="shared" si="70"/>
        <v>192.37801413712424</v>
      </c>
      <c r="H716" s="92">
        <f t="shared" si="69"/>
        <v>192.29148296978826</v>
      </c>
      <c r="I716" s="91">
        <f t="shared" si="71"/>
        <v>-1.2291507195906306E-3</v>
      </c>
      <c r="J716" s="115"/>
      <c r="K716" s="64"/>
      <c r="L716" s="119">
        <v>42608</v>
      </c>
      <c r="M716" s="117">
        <v>-3.3316973178970362E-3</v>
      </c>
      <c r="N716" s="117">
        <v>-1.026719143422925E-3</v>
      </c>
      <c r="O716" s="117">
        <v>-1.8930200951364662E-3</v>
      </c>
      <c r="P716" s="89">
        <v>-4.0464629153574901E-3</v>
      </c>
      <c r="R716" s="71">
        <v>42608</v>
      </c>
      <c r="S716" s="99">
        <f>+I716-[1]Data!W714</f>
        <v>-1.2887661042060151E-3</v>
      </c>
    </row>
    <row r="717" spans="3:19">
      <c r="C717" s="71">
        <v>42615</v>
      </c>
      <c r="D717" s="118">
        <f t="shared" si="66"/>
        <v>16.942991239817637</v>
      </c>
      <c r="E717" s="92">
        <f t="shared" si="67"/>
        <v>174.53037613095788</v>
      </c>
      <c r="F717" s="92">
        <f t="shared" si="68"/>
        <v>0</v>
      </c>
      <c r="G717" s="92">
        <f t="shared" si="70"/>
        <v>191.47336737077552</v>
      </c>
      <c r="H717" s="92">
        <f t="shared" si="69"/>
        <v>191.3872431113758</v>
      </c>
      <c r="I717" s="91">
        <f t="shared" si="71"/>
        <v>-4.7024436259329068E-3</v>
      </c>
      <c r="J717" s="115"/>
      <c r="K717" s="64"/>
      <c r="L717" s="119">
        <v>42615</v>
      </c>
      <c r="M717" s="117">
        <v>4.9360400444938722E-3</v>
      </c>
      <c r="N717" s="117">
        <v>-5.6282882662423948E-3</v>
      </c>
      <c r="O717" s="117">
        <v>3.5986966882264704E-3</v>
      </c>
      <c r="P717" s="89">
        <v>4.1824004588690783E-3</v>
      </c>
      <c r="R717" s="71">
        <v>42615</v>
      </c>
      <c r="S717" s="99">
        <f>+I717-[1]Data!W715</f>
        <v>-4.7659051643944451E-3</v>
      </c>
    </row>
    <row r="718" spans="3:19">
      <c r="C718" s="71">
        <v>42622</v>
      </c>
      <c r="D718" s="118">
        <f t="shared" si="66"/>
        <v>16.682585298128753</v>
      </c>
      <c r="E718" s="92">
        <f t="shared" si="67"/>
        <v>174.19965534931436</v>
      </c>
      <c r="F718" s="92">
        <f t="shared" si="68"/>
        <v>0</v>
      </c>
      <c r="G718" s="92">
        <f t="shared" si="70"/>
        <v>190.8822406474431</v>
      </c>
      <c r="H718" s="92">
        <f t="shared" si="69"/>
        <v>190.79638227541957</v>
      </c>
      <c r="I718" s="91">
        <f t="shared" si="71"/>
        <v>-3.0872529764816958E-3</v>
      </c>
      <c r="J718" s="115"/>
      <c r="K718" s="64"/>
      <c r="L718" s="119">
        <v>42622</v>
      </c>
      <c r="M718" s="117">
        <v>-1.5369537645566618E-2</v>
      </c>
      <c r="N718" s="117">
        <v>-1.8949181739880364E-3</v>
      </c>
      <c r="O718" s="117">
        <v>-1.914037893104626E-2</v>
      </c>
      <c r="P718" s="89">
        <v>-1.2542542304305493E-2</v>
      </c>
      <c r="R718" s="71">
        <v>42622</v>
      </c>
      <c r="S718" s="99">
        <f>+I718-[1]Data!W716</f>
        <v>-3.1526375918663114E-3</v>
      </c>
    </row>
    <row r="719" spans="3:19">
      <c r="C719" s="71">
        <v>42629</v>
      </c>
      <c r="D719" s="118">
        <f t="shared" si="66"/>
        <v>16.568987357324485</v>
      </c>
      <c r="E719" s="92">
        <f t="shared" si="67"/>
        <v>173.95054099431016</v>
      </c>
      <c r="F719" s="92">
        <f t="shared" si="68"/>
        <v>0</v>
      </c>
      <c r="G719" s="92">
        <f t="shared" si="70"/>
        <v>190.51952835163465</v>
      </c>
      <c r="H719" s="92">
        <f t="shared" si="69"/>
        <v>190.43383312672805</v>
      </c>
      <c r="I719" s="91">
        <f t="shared" si="71"/>
        <v>-1.9001888000590012E-3</v>
      </c>
      <c r="J719" s="115"/>
      <c r="K719" s="64"/>
      <c r="L719" s="119">
        <v>42629</v>
      </c>
      <c r="M719" s="117">
        <v>-6.8093726945912085E-3</v>
      </c>
      <c r="N719" s="117">
        <v>-1.4300507914591057E-3</v>
      </c>
      <c r="O719" s="117">
        <v>-1.7735401640154011E-2</v>
      </c>
      <c r="P719" s="89">
        <v>-8.9660159074475068E-3</v>
      </c>
      <c r="R719" s="71">
        <v>42629</v>
      </c>
      <c r="S719" s="99">
        <f>+I719-[1]Data!W717</f>
        <v>-1.9636503385205397E-3</v>
      </c>
    </row>
    <row r="720" spans="3:19">
      <c r="C720" s="71">
        <v>42636</v>
      </c>
      <c r="D720" s="118">
        <f t="shared" si="66"/>
        <v>16.895129682643006</v>
      </c>
      <c r="E720" s="92">
        <f t="shared" si="67"/>
        <v>175.25194874545278</v>
      </c>
      <c r="F720" s="92">
        <f t="shared" si="68"/>
        <v>0</v>
      </c>
      <c r="G720" s="92">
        <f t="shared" si="70"/>
        <v>192.1470784280958</v>
      </c>
      <c r="H720" s="92">
        <f t="shared" si="69"/>
        <v>192.06065113508544</v>
      </c>
      <c r="I720" s="91">
        <f t="shared" si="71"/>
        <v>8.5426942347728227E-3</v>
      </c>
      <c r="J720" s="115"/>
      <c r="K720" s="64"/>
      <c r="L720" s="119">
        <v>42636</v>
      </c>
      <c r="M720" s="117">
        <v>1.9683902116948024E-2</v>
      </c>
      <c r="N720" s="117">
        <v>7.4814814814814145E-3</v>
      </c>
      <c r="O720" s="117">
        <v>3.4904189508625443E-2</v>
      </c>
      <c r="P720" s="89">
        <v>2.1499100150785481E-2</v>
      </c>
      <c r="R720" s="71">
        <v>42636</v>
      </c>
      <c r="S720" s="99">
        <f>+I720-[1]Data!W718</f>
        <v>8.4965403886189759E-3</v>
      </c>
    </row>
    <row r="721" spans="3:19">
      <c r="C721" s="71">
        <v>42643</v>
      </c>
      <c r="D721" s="118">
        <f t="shared" si="66"/>
        <v>16.855765993783059</v>
      </c>
      <c r="E721" s="92">
        <f t="shared" si="67"/>
        <v>175.40227637347257</v>
      </c>
      <c r="F721" s="92">
        <f t="shared" si="68"/>
        <v>0</v>
      </c>
      <c r="G721" s="92">
        <f t="shared" si="70"/>
        <v>192.25804236725563</v>
      </c>
      <c r="H721" s="92">
        <f t="shared" si="69"/>
        <v>192.17156516293272</v>
      </c>
      <c r="I721" s="91">
        <f t="shared" si="71"/>
        <v>5.7749480277079397E-4</v>
      </c>
      <c r="J721" s="115"/>
      <c r="K721" s="64"/>
      <c r="L721" s="119">
        <v>42643</v>
      </c>
      <c r="M721" s="117">
        <v>-2.3298837948777088E-3</v>
      </c>
      <c r="N721" s="117">
        <v>8.5778006519134076E-4</v>
      </c>
      <c r="O721" s="117">
        <v>-1.1712105749137369E-2</v>
      </c>
      <c r="P721" s="89">
        <v>-3.7855340221893603E-3</v>
      </c>
      <c r="R721" s="71">
        <v>42643</v>
      </c>
      <c r="S721" s="99">
        <f>+I721-[1]Data!W719</f>
        <v>5.2749480277079395E-4</v>
      </c>
    </row>
    <row r="722" spans="3:19">
      <c r="C722" s="71">
        <v>42650</v>
      </c>
      <c r="D722" s="118">
        <f t="shared" si="66"/>
        <v>16.726149082822388</v>
      </c>
      <c r="E722" s="92">
        <f t="shared" si="67"/>
        <v>173.76585276560016</v>
      </c>
      <c r="F722" s="92">
        <f t="shared" si="68"/>
        <v>0</v>
      </c>
      <c r="G722" s="92">
        <f t="shared" si="70"/>
        <v>190.49200184842255</v>
      </c>
      <c r="H722" s="92">
        <f t="shared" si="69"/>
        <v>190.40631900487077</v>
      </c>
      <c r="I722" s="91">
        <f t="shared" si="71"/>
        <v>-9.1857822803560526E-3</v>
      </c>
      <c r="J722" s="115"/>
      <c r="K722" s="64"/>
      <c r="L722" s="119">
        <v>42650</v>
      </c>
      <c r="M722" s="117">
        <v>-7.6897668731565026E-3</v>
      </c>
      <c r="N722" s="117">
        <v>-9.3295460110681284E-3</v>
      </c>
      <c r="O722" s="117">
        <v>-4.7747836349331274E-2</v>
      </c>
      <c r="P722" s="89">
        <v>-5.4728389455823449E-3</v>
      </c>
      <c r="R722" s="71">
        <v>42650</v>
      </c>
      <c r="S722" s="99">
        <f>+I722-[1]Data!W720</f>
        <v>-9.2473207418945144E-3</v>
      </c>
    </row>
    <row r="723" spans="3:19">
      <c r="C723" s="71">
        <v>42657</v>
      </c>
      <c r="D723" s="118">
        <f t="shared" si="66"/>
        <v>16.543591429027742</v>
      </c>
      <c r="E723" s="92">
        <f t="shared" si="67"/>
        <v>172.91972297360317</v>
      </c>
      <c r="F723" s="92">
        <f t="shared" si="68"/>
        <v>0</v>
      </c>
      <c r="G723" s="92">
        <f t="shared" si="70"/>
        <v>189.46331440263091</v>
      </c>
      <c r="H723" s="92">
        <f t="shared" si="69"/>
        <v>189.37809426021423</v>
      </c>
      <c r="I723" s="91">
        <f t="shared" si="71"/>
        <v>-5.400160824653292E-3</v>
      </c>
      <c r="J723" s="115"/>
      <c r="K723" s="64"/>
      <c r="L723" s="119">
        <v>42657</v>
      </c>
      <c r="M723" s="117">
        <v>-1.0914505956552238E-2</v>
      </c>
      <c r="N723" s="117">
        <v>-4.8693674765799997E-3</v>
      </c>
      <c r="O723" s="117">
        <v>1.0844306738962456E-3</v>
      </c>
      <c r="P723" s="89">
        <v>-1.1846974575863908E-2</v>
      </c>
      <c r="R723" s="71">
        <v>42657</v>
      </c>
      <c r="S723" s="99">
        <f>+I723-[1]Data!W721</f>
        <v>-5.4636223631148303E-3</v>
      </c>
    </row>
    <row r="724" spans="3:19">
      <c r="C724" s="71">
        <v>42664</v>
      </c>
      <c r="D724" s="118">
        <f t="shared" si="66"/>
        <v>16.616360531262632</v>
      </c>
      <c r="E724" s="92">
        <f t="shared" si="67"/>
        <v>173.31486988154086</v>
      </c>
      <c r="F724" s="92">
        <f t="shared" si="68"/>
        <v>0</v>
      </c>
      <c r="G724" s="92">
        <f t="shared" si="70"/>
        <v>189.9312304128035</v>
      </c>
      <c r="H724" s="92">
        <f t="shared" si="69"/>
        <v>189.84579980289257</v>
      </c>
      <c r="I724" s="91">
        <f t="shared" si="71"/>
        <v>2.4696918854600811E-3</v>
      </c>
      <c r="J724" s="115"/>
      <c r="K724" s="64"/>
      <c r="L724" s="119">
        <v>42664</v>
      </c>
      <c r="M724" s="117">
        <v>4.3986278642743123E-3</v>
      </c>
      <c r="N724" s="117">
        <v>2.2851465474415275E-3</v>
      </c>
      <c r="O724" s="117">
        <v>8.562880429175676E-3</v>
      </c>
      <c r="P724" s="89">
        <v>5.6662046156466068E-3</v>
      </c>
      <c r="R724" s="71">
        <v>42664</v>
      </c>
      <c r="S724" s="99">
        <f>+I724-[1]Data!W722</f>
        <v>2.4043072700754655E-3</v>
      </c>
    </row>
    <row r="725" spans="3:19">
      <c r="C725" s="71">
        <v>42671</v>
      </c>
      <c r="D725" s="118">
        <f t="shared" si="66"/>
        <v>16.516730351021572</v>
      </c>
      <c r="E725" s="92">
        <f t="shared" si="67"/>
        <v>172.10795378229639</v>
      </c>
      <c r="F725" s="92">
        <f t="shared" si="68"/>
        <v>0</v>
      </c>
      <c r="G725" s="92">
        <f t="shared" si="70"/>
        <v>188.62468413331797</v>
      </c>
      <c r="H725" s="92">
        <f t="shared" si="69"/>
        <v>188.53984120477617</v>
      </c>
      <c r="I725" s="91">
        <f t="shared" si="71"/>
        <v>-6.8790492045244954E-3</v>
      </c>
      <c r="J725" s="115"/>
      <c r="K725" s="64"/>
      <c r="L725" s="119">
        <v>42671</v>
      </c>
      <c r="M725" s="117">
        <v>-5.9959086740812417E-3</v>
      </c>
      <c r="N725" s="117">
        <v>-6.963719270420307E-3</v>
      </c>
      <c r="O725" s="117">
        <v>-2.4038461538461623E-2</v>
      </c>
      <c r="P725" s="89">
        <v>-6.2871789911496416E-3</v>
      </c>
      <c r="R725" s="71">
        <v>42671</v>
      </c>
      <c r="S725" s="99">
        <f>+I725-[1]Data!W723</f>
        <v>-6.9405876660629572E-3</v>
      </c>
    </row>
    <row r="726" spans="3:19">
      <c r="C726" s="71">
        <v>42678</v>
      </c>
      <c r="D726" s="118">
        <f t="shared" si="66"/>
        <v>16.215495570763313</v>
      </c>
      <c r="E726" s="92">
        <f t="shared" si="67"/>
        <v>173.41795168361156</v>
      </c>
      <c r="F726" s="92">
        <f t="shared" si="68"/>
        <v>0</v>
      </c>
      <c r="G726" s="92">
        <f t="shared" si="70"/>
        <v>189.63344725437489</v>
      </c>
      <c r="H726" s="92">
        <f t="shared" si="69"/>
        <v>189.54815058661126</v>
      </c>
      <c r="I726" s="91">
        <f t="shared" si="71"/>
        <v>5.3479910420628244E-3</v>
      </c>
      <c r="J726" s="115"/>
      <c r="K726" s="64"/>
      <c r="L726" s="119">
        <v>42678</v>
      </c>
      <c r="M726" s="117">
        <v>-1.8238160571509759E-2</v>
      </c>
      <c r="N726" s="117">
        <v>7.6114896059494685E-3</v>
      </c>
      <c r="O726" s="117">
        <v>-7.4415679698144194E-3</v>
      </c>
      <c r="P726" s="89">
        <v>-1.9078210931036101E-2</v>
      </c>
      <c r="R726" s="71">
        <v>42678</v>
      </c>
      <c r="S726" s="99">
        <f>+I726-[1]Data!W724</f>
        <v>5.2787602728320551E-3</v>
      </c>
    </row>
    <row r="727" spans="3:19">
      <c r="C727" s="71">
        <v>42685</v>
      </c>
      <c r="D727" s="118">
        <f t="shared" si="66"/>
        <v>16.57562936934055</v>
      </c>
      <c r="E727" s="92">
        <f t="shared" si="67"/>
        <v>169.97759653950186</v>
      </c>
      <c r="F727" s="92">
        <f t="shared" si="68"/>
        <v>0</v>
      </c>
      <c r="G727" s="92">
        <f t="shared" si="70"/>
        <v>186.55322590884242</v>
      </c>
      <c r="H727" s="92">
        <f t="shared" si="69"/>
        <v>186.46931471722004</v>
      </c>
      <c r="I727" s="91">
        <f t="shared" si="71"/>
        <v>-1.6243027747107373E-2</v>
      </c>
      <c r="J727" s="115"/>
      <c r="K727" s="64"/>
      <c r="L727" s="119">
        <v>42685</v>
      </c>
      <c r="M727" s="117">
        <v>2.2209237886417921E-2</v>
      </c>
      <c r="N727" s="117">
        <v>-1.9838517931444401E-2</v>
      </c>
      <c r="O727" s="117">
        <v>-2.4815205913410861E-2</v>
      </c>
      <c r="P727" s="89">
        <v>1.5802530389481529E-2</v>
      </c>
      <c r="R727" s="71">
        <v>42685</v>
      </c>
      <c r="S727" s="99">
        <f>+I727-[1]Data!W725</f>
        <v>-1.6327643131722757E-2</v>
      </c>
    </row>
    <row r="728" spans="3:19">
      <c r="C728" s="71">
        <v>42692</v>
      </c>
      <c r="D728" s="118">
        <f t="shared" si="66"/>
        <v>16.579145728643173</v>
      </c>
      <c r="E728" s="92">
        <f t="shared" si="67"/>
        <v>167.19009280850662</v>
      </c>
      <c r="F728" s="92">
        <f t="shared" si="68"/>
        <v>0</v>
      </c>
      <c r="G728" s="92">
        <f t="shared" si="70"/>
        <v>183.76923853714979</v>
      </c>
      <c r="H728" s="92">
        <f t="shared" si="69"/>
        <v>183.68657957634082</v>
      </c>
      <c r="I728" s="91">
        <f t="shared" si="71"/>
        <v>-1.4923287218056396E-2</v>
      </c>
      <c r="J728" s="115"/>
      <c r="K728" s="64"/>
      <c r="L728" s="119">
        <v>42692</v>
      </c>
      <c r="M728" s="117">
        <v>2.1214031903540973E-4</v>
      </c>
      <c r="N728" s="117">
        <v>-1.6399241945672795E-2</v>
      </c>
      <c r="O728" s="117">
        <v>-5.9556036816458815E-3</v>
      </c>
      <c r="P728" s="89">
        <v>-3.6632720345821209E-4</v>
      </c>
      <c r="R728" s="71">
        <v>42692</v>
      </c>
      <c r="S728" s="99">
        <f>+I728-[1]Data!W726</f>
        <v>-1.5013671833441012E-2</v>
      </c>
    </row>
    <row r="729" spans="3:19">
      <c r="C729" s="71">
        <v>42699</v>
      </c>
      <c r="D729" s="118">
        <f t="shared" si="66"/>
        <v>16.808588173139491</v>
      </c>
      <c r="E729" s="92">
        <f t="shared" si="67"/>
        <v>166.61884782203148</v>
      </c>
      <c r="F729" s="92">
        <f t="shared" si="68"/>
        <v>0</v>
      </c>
      <c r="G729" s="92">
        <f t="shared" si="70"/>
        <v>183.42743599517098</v>
      </c>
      <c r="H729" s="92">
        <f t="shared" si="69"/>
        <v>183.344930776322</v>
      </c>
      <c r="I729" s="91">
        <f t="shared" si="71"/>
        <v>-1.8599551519049664E-3</v>
      </c>
      <c r="J729" s="115"/>
      <c r="K729" s="64"/>
      <c r="L729" s="119">
        <v>42699</v>
      </c>
      <c r="M729" s="117">
        <v>1.383921996052671E-2</v>
      </c>
      <c r="N729" s="117">
        <v>-3.4167394543492373E-3</v>
      </c>
      <c r="O729" s="117">
        <v>1.2418300653594777E-2</v>
      </c>
      <c r="P729" s="89">
        <v>1.3778950454412162E-2</v>
      </c>
      <c r="R729" s="71">
        <v>42699</v>
      </c>
      <c r="S729" s="99">
        <f>+I729-[1]Data!W727</f>
        <v>-1.9522628442126587E-3</v>
      </c>
    </row>
    <row r="730" spans="3:19">
      <c r="C730" s="71">
        <v>42706</v>
      </c>
      <c r="D730" s="118">
        <f t="shared" si="66"/>
        <v>16.692352962858259</v>
      </c>
      <c r="E730" s="92">
        <f t="shared" si="67"/>
        <v>166.8636671019494</v>
      </c>
      <c r="F730" s="92">
        <f t="shared" si="68"/>
        <v>0</v>
      </c>
      <c r="G730" s="92">
        <f t="shared" si="70"/>
        <v>183.55602006480765</v>
      </c>
      <c r="H730" s="92">
        <f t="shared" si="69"/>
        <v>183.47345700915392</v>
      </c>
      <c r="I730" s="91">
        <f t="shared" si="71"/>
        <v>7.0100783418286245E-4</v>
      </c>
      <c r="J730" s="115"/>
      <c r="K730" s="64"/>
      <c r="L730" s="119">
        <v>42706</v>
      </c>
      <c r="M730" s="117">
        <v>-6.9152274470606588E-3</v>
      </c>
      <c r="N730" s="117">
        <v>1.4693372515659866E-3</v>
      </c>
      <c r="O730" s="117">
        <v>-1.8829352270281598E-3</v>
      </c>
      <c r="P730" s="89">
        <v>-6.5307499518025341E-3</v>
      </c>
      <c r="R730" s="71">
        <v>42706</v>
      </c>
      <c r="S730" s="99">
        <f>+I730-[1]Data!W728</f>
        <v>6.0870014187517014E-4</v>
      </c>
    </row>
    <row r="731" spans="3:19">
      <c r="C731" s="71">
        <v>42713</v>
      </c>
      <c r="D731" s="118">
        <f t="shared" si="66"/>
        <v>17.192262043714862</v>
      </c>
      <c r="E731" s="92">
        <f t="shared" si="67"/>
        <v>165.88438998227775</v>
      </c>
      <c r="F731" s="92">
        <f t="shared" si="68"/>
        <v>0</v>
      </c>
      <c r="G731" s="92">
        <f t="shared" si="70"/>
        <v>183.07665202599262</v>
      </c>
      <c r="H731" s="92">
        <f t="shared" si="69"/>
        <v>182.99430458892797</v>
      </c>
      <c r="I731" s="91">
        <f t="shared" si="71"/>
        <v>-2.6115626098549929E-3</v>
      </c>
      <c r="J731" s="115"/>
      <c r="K731" s="64"/>
      <c r="L731" s="119">
        <v>42713</v>
      </c>
      <c r="M731" s="117">
        <v>2.9948389059884978E-2</v>
      </c>
      <c r="N731" s="117">
        <v>-5.8687258687257987E-3</v>
      </c>
      <c r="O731" s="117">
        <v>2.9213604268851331E-2</v>
      </c>
      <c r="P731" s="89">
        <v>2.9860521528198913E-2</v>
      </c>
      <c r="R731" s="71">
        <v>42713</v>
      </c>
      <c r="S731" s="99">
        <f>+I731-[1]Data!W729</f>
        <v>-2.707716456008839E-3</v>
      </c>
    </row>
    <row r="732" spans="3:19">
      <c r="C732" s="71">
        <v>42720</v>
      </c>
      <c r="D732" s="118">
        <f t="shared" si="66"/>
        <v>17.13971200747007</v>
      </c>
      <c r="E732" s="92">
        <f t="shared" si="67"/>
        <v>164.33816295121721</v>
      </c>
      <c r="F732" s="92">
        <f t="shared" si="68"/>
        <v>0</v>
      </c>
      <c r="G732" s="92">
        <f t="shared" si="70"/>
        <v>181.47787495868729</v>
      </c>
      <c r="H732" s="92">
        <f t="shared" si="69"/>
        <v>181.39624664769619</v>
      </c>
      <c r="I732" s="91">
        <f t="shared" si="71"/>
        <v>-8.7328288430703251E-3</v>
      </c>
      <c r="J732" s="115"/>
      <c r="K732" s="64"/>
      <c r="L732" s="119">
        <v>42720</v>
      </c>
      <c r="M732" s="117">
        <v>-3.0566097766060733E-3</v>
      </c>
      <c r="N732" s="117">
        <v>-9.3211123194035066E-3</v>
      </c>
      <c r="O732" s="117">
        <v>-1.649646504320491E-2</v>
      </c>
      <c r="P732" s="89">
        <v>-5.323158093084584E-3</v>
      </c>
      <c r="R732" s="71">
        <v>42720</v>
      </c>
      <c r="S732" s="99">
        <f>+I732-[1]Data!W730</f>
        <v>-8.8328288430703245E-3</v>
      </c>
    </row>
    <row r="733" spans="3:19">
      <c r="C733" s="71">
        <v>42727</v>
      </c>
      <c r="D733" s="118">
        <f t="shared" si="66"/>
        <v>17.182787408927233</v>
      </c>
      <c r="E733" s="92">
        <f t="shared" si="67"/>
        <v>165.3217351459752</v>
      </c>
      <c r="F733" s="92">
        <f t="shared" si="68"/>
        <v>0</v>
      </c>
      <c r="G733" s="92">
        <f t="shared" si="70"/>
        <v>182.50452255490242</v>
      </c>
      <c r="H733" s="92">
        <f t="shared" si="69"/>
        <v>182.42243246029562</v>
      </c>
      <c r="I733" s="91">
        <f t="shared" si="71"/>
        <v>5.6571501977792961E-3</v>
      </c>
      <c r="J733" s="115"/>
      <c r="K733" s="64"/>
      <c r="L733" s="119">
        <v>42727</v>
      </c>
      <c r="M733" s="117">
        <v>2.5131928376854015E-3</v>
      </c>
      <c r="N733" s="117">
        <v>5.9850504416915492E-3</v>
      </c>
      <c r="O733" s="117">
        <v>1.3312034078807242E-3</v>
      </c>
      <c r="P733" s="89">
        <v>4.4991712053042319E-4</v>
      </c>
      <c r="R733" s="71">
        <v>42727</v>
      </c>
      <c r="S733" s="99">
        <f>+I733-[1]Data!W731</f>
        <v>5.5590732747023731E-3</v>
      </c>
    </row>
    <row r="734" spans="3:19" ht="16.5" thickBot="1">
      <c r="C734" s="71">
        <v>42734</v>
      </c>
      <c r="D734" s="122">
        <f t="shared" si="66"/>
        <v>17.105329827622175</v>
      </c>
      <c r="E734" s="96">
        <f t="shared" si="67"/>
        <v>166.13350433728198</v>
      </c>
      <c r="F734" s="96">
        <f t="shared" si="68"/>
        <v>0</v>
      </c>
      <c r="G734" s="96">
        <f t="shared" si="70"/>
        <v>183.23883416490415</v>
      </c>
      <c r="H734" s="92">
        <f t="shared" si="69"/>
        <v>183.15641377870406</v>
      </c>
      <c r="I734" s="91">
        <f t="shared" si="71"/>
        <v>4.0235255528027819E-3</v>
      </c>
      <c r="J734" s="124"/>
      <c r="K734" s="94"/>
      <c r="L734" s="125">
        <v>42734</v>
      </c>
      <c r="M734" s="121">
        <v>-4.5078589091322877E-3</v>
      </c>
      <c r="N734" s="121">
        <v>4.9102387571120162E-3</v>
      </c>
      <c r="O734" s="121">
        <v>1.0848178675884031E-2</v>
      </c>
      <c r="P734" s="123">
        <v>-1.5384979526143437E-3</v>
      </c>
      <c r="R734" s="71">
        <v>42734</v>
      </c>
      <c r="S734" s="99">
        <f>+I734-[1]Data!W732</f>
        <v>3.9273717066489354E-3</v>
      </c>
    </row>
  </sheetData>
  <dataConsolidate/>
  <pageMargins left="0.78740157499999996" right="0.78740157499999996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34"/>
  <sheetViews>
    <sheetView topLeftCell="I1" workbookViewId="0">
      <selection activeCell="R33" sqref="R33"/>
    </sheetView>
  </sheetViews>
  <sheetFormatPr defaultColWidth="10.85546875" defaultRowHeight="15.75"/>
  <cols>
    <col min="1" max="6" width="10.85546875" style="63"/>
    <col min="7" max="7" width="18" style="63" bestFit="1" customWidth="1"/>
    <col min="8" max="26" width="10.85546875" style="63"/>
    <col min="27" max="27" width="13.42578125" style="63" bestFit="1" customWidth="1"/>
    <col min="28" max="16384" width="10.85546875" style="63"/>
  </cols>
  <sheetData>
    <row r="1" spans="1:31">
      <c r="P1" s="63" t="s">
        <v>369</v>
      </c>
    </row>
    <row r="2" spans="1:31" ht="16.5" thickBot="1">
      <c r="Z2" s="64"/>
      <c r="AA2" s="64"/>
      <c r="AB2" s="64"/>
      <c r="AC2" s="64"/>
      <c r="AD2" s="64"/>
    </row>
    <row r="3" spans="1:31">
      <c r="A3" s="63" t="s">
        <v>370</v>
      </c>
      <c r="F3" s="63" t="s">
        <v>306</v>
      </c>
      <c r="G3" s="133" t="s">
        <v>428</v>
      </c>
      <c r="H3" s="63" t="s">
        <v>373</v>
      </c>
      <c r="I3" s="63" t="s">
        <v>374</v>
      </c>
      <c r="J3" s="63" t="s">
        <v>375</v>
      </c>
      <c r="K3" s="63" t="s">
        <v>376</v>
      </c>
      <c r="L3" s="63" t="s">
        <v>377</v>
      </c>
      <c r="M3" s="63" t="s">
        <v>378</v>
      </c>
      <c r="N3" s="63" t="s">
        <v>18</v>
      </c>
      <c r="P3" s="65" t="s">
        <v>379</v>
      </c>
      <c r="Q3" s="65"/>
      <c r="Z3" s="64"/>
      <c r="AA3" s="66"/>
      <c r="AB3" s="66"/>
      <c r="AC3" s="66"/>
      <c r="AD3" s="66"/>
      <c r="AE3" s="67"/>
    </row>
    <row r="4" spans="1:31">
      <c r="A4" s="68">
        <v>1.2</v>
      </c>
      <c r="B4" s="69">
        <f>+A4/100</f>
        <v>1.2E-2</v>
      </c>
      <c r="C4" s="70">
        <f>+B4/52</f>
        <v>2.3076923076923076E-4</v>
      </c>
      <c r="F4" s="71">
        <v>37631</v>
      </c>
      <c r="G4" s="69">
        <v>2.1349527511377408E-3</v>
      </c>
      <c r="H4" s="70">
        <f>-0.00832976296045357-(+G4/52)</f>
        <v>-8.3708197441292962E-3</v>
      </c>
      <c r="I4" s="70">
        <f>-0.0177583232792573-(+H4/52)</f>
        <v>-1.7597345976485584E-2</v>
      </c>
      <c r="J4" s="70">
        <f>0.00349548206424828-(+I4/52)</f>
        <v>3.8338925637960799E-3</v>
      </c>
      <c r="K4" s="70">
        <f>0.0142690626517728-(+J4/52)</f>
        <v>1.4195333948622876E-2</v>
      </c>
      <c r="L4" s="70">
        <f>0.113425858290723-(+K4/52)</f>
        <v>0.11315287109940333</v>
      </c>
      <c r="M4" s="70">
        <f>0.0179362880886428-(+L4/52)</f>
        <v>1.5760271336731198E-2</v>
      </c>
      <c r="N4" s="70">
        <f>0.00602297726717192-(+M4/52)</f>
        <v>5.7198951260809348E-3</v>
      </c>
      <c r="P4" s="72" t="s">
        <v>380</v>
      </c>
      <c r="Q4" s="72">
        <v>0.35718691607524539</v>
      </c>
      <c r="Z4" s="67"/>
      <c r="AA4" s="181" t="s">
        <v>381</v>
      </c>
      <c r="AB4" s="181"/>
      <c r="AC4" s="181"/>
      <c r="AD4" s="181"/>
      <c r="AE4" s="67"/>
    </row>
    <row r="5" spans="1:31" ht="16.5" thickBot="1">
      <c r="A5" s="68">
        <v>1.18</v>
      </c>
      <c r="B5" s="69">
        <f t="shared" ref="B5:B68" si="0">+A5/100</f>
        <v>1.18E-2</v>
      </c>
      <c r="C5" s="70">
        <f t="shared" ref="C5:C68" si="1">+B5/52</f>
        <v>2.2692307692307693E-4</v>
      </c>
      <c r="F5" s="71">
        <v>37638</v>
      </c>
      <c r="G5" s="69">
        <v>6.7690023594516252E-3</v>
      </c>
      <c r="H5" s="70">
        <f>-0.025249429802968-(+G5/52)</f>
        <v>-2.5379602925265147E-2</v>
      </c>
      <c r="I5" s="70">
        <f>-0.0105573038270226-(+H5/52)</f>
        <v>-1.006923453999827E-2</v>
      </c>
      <c r="J5" s="70">
        <f>0.0173864161095385-(+I5/52)</f>
        <v>1.7580055235307698E-2</v>
      </c>
      <c r="K5" s="70">
        <f>-0.00210689625451311-(+J5/52)</f>
        <v>-2.4449742398074885E-3</v>
      </c>
      <c r="L5" s="70">
        <f>0.0454859562110198-(+K5/52)</f>
        <v>4.5532974946400712E-2</v>
      </c>
      <c r="M5" s="70">
        <f>-0.00560776729223572-(+L5/52)</f>
        <v>-6.4834014258203483E-3</v>
      </c>
      <c r="N5" s="70">
        <f>-0.00944689039857716-(+M5/52)</f>
        <v>-9.3222096019267685E-3</v>
      </c>
      <c r="P5" s="72" t="s">
        <v>382</v>
      </c>
      <c r="Q5" s="72">
        <v>0.12758249301534438</v>
      </c>
      <c r="T5" s="63" t="s">
        <v>373</v>
      </c>
      <c r="Z5" s="67"/>
      <c r="AA5" s="73"/>
      <c r="AB5" s="74" t="s">
        <v>383</v>
      </c>
      <c r="AC5" s="74" t="s">
        <v>384</v>
      </c>
      <c r="AD5" s="74" t="s">
        <v>385</v>
      </c>
      <c r="AE5" s="67"/>
    </row>
    <row r="6" spans="1:31" ht="16.5" thickTop="1">
      <c r="A6" s="68">
        <v>1.17</v>
      </c>
      <c r="B6" s="69">
        <f t="shared" si="0"/>
        <v>1.1699999999999999E-2</v>
      </c>
      <c r="C6" s="70">
        <f t="shared" si="1"/>
        <v>2.2499999999999997E-4</v>
      </c>
      <c r="F6" s="71">
        <v>37645</v>
      </c>
      <c r="G6" s="69">
        <v>2.2864114008594202E-3</v>
      </c>
      <c r="H6" s="70">
        <f>-0.0303049044467809-(+G6/52)</f>
        <v>-3.034887389679743E-2</v>
      </c>
      <c r="I6" s="70">
        <f>-0.0183954037139633-(+H6/52)</f>
        <v>-1.7811771523640271E-2</v>
      </c>
      <c r="J6" s="70">
        <f>-0.0235421805624075-(+I6/52)</f>
        <v>-2.3199646494645187E-2</v>
      </c>
      <c r="K6" s="70">
        <f>-0.00512480925920586-(+J6/52)</f>
        <v>-4.678662211231914E-3</v>
      </c>
      <c r="L6" s="70">
        <f>-0.0595711213928933-(+K6/52)</f>
        <v>-5.9481147119600376E-2</v>
      </c>
      <c r="M6" s="70">
        <f>0.0220395637046015-(+L6/52)</f>
        <v>2.3183431918439967E-2</v>
      </c>
      <c r="N6" s="70">
        <f>-0.0108713782513565-(+M6/52)</f>
        <v>-1.1317213480557269E-2</v>
      </c>
      <c r="P6" s="72" t="s">
        <v>386</v>
      </c>
      <c r="Q6" s="72">
        <v>0.12638411731893689</v>
      </c>
      <c r="Z6" s="67"/>
      <c r="AA6" s="67" t="s">
        <v>19</v>
      </c>
      <c r="AB6" s="75">
        <v>5.9150982370176916E-4</v>
      </c>
      <c r="AC6" s="75">
        <v>0.79286457173083114</v>
      </c>
      <c r="AD6" s="75">
        <v>0.42811504007564627</v>
      </c>
      <c r="AE6" s="67"/>
    </row>
    <row r="7" spans="1:31">
      <c r="A7" s="68">
        <v>1.1499999999999999</v>
      </c>
      <c r="B7" s="69">
        <f t="shared" si="0"/>
        <v>1.15E-2</v>
      </c>
      <c r="C7" s="70">
        <f t="shared" si="1"/>
        <v>2.2115384615384616E-4</v>
      </c>
      <c r="F7" s="71">
        <v>37652</v>
      </c>
      <c r="G7" s="69">
        <v>-4.2050450824625829E-3</v>
      </c>
      <c r="H7" s="70">
        <f>-0.0209941110189851-(+G7/52)</f>
        <v>-2.0913244767399281E-2</v>
      </c>
      <c r="I7" s="70">
        <f>-0.0321707411394588-(+H7/52)</f>
        <v>-3.1768563355470354E-2</v>
      </c>
      <c r="J7" s="70">
        <f>-0.00777050240491486-(+I7/52)</f>
        <v>-7.1595684942327379E-3</v>
      </c>
      <c r="K7" s="70">
        <f>-0.047267640958858-(+J7/52)</f>
        <v>-4.7129956949353527E-2</v>
      </c>
      <c r="L7" s="70">
        <f>0.0883088228752413-(+K7/52)</f>
        <v>8.9215168201190409E-2</v>
      </c>
      <c r="M7" s="70">
        <f>-0.0215260445056469-(+L7/52)</f>
        <v>-2.3241720817208253E-2</v>
      </c>
      <c r="N7" s="70">
        <f>-0.0233803850770254-(+M7/52)</f>
        <v>-2.2933428907463704E-2</v>
      </c>
      <c r="P7" s="72" t="s">
        <v>387</v>
      </c>
      <c r="Q7" s="72">
        <v>2.0042713720976567E-2</v>
      </c>
      <c r="Z7" s="67"/>
      <c r="AA7" s="67" t="s">
        <v>20</v>
      </c>
      <c r="AB7" s="75">
        <v>1.4990310777485507E-3</v>
      </c>
      <c r="AC7" s="75">
        <v>1.5342791629405585</v>
      </c>
      <c r="AD7" s="75">
        <v>0.12539544318902865</v>
      </c>
      <c r="AE7" s="67"/>
    </row>
    <row r="8" spans="1:31" ht="16.5" thickBot="1">
      <c r="A8" s="68">
        <v>1.1599999999999999</v>
      </c>
      <c r="B8" s="69">
        <f t="shared" si="0"/>
        <v>1.1599999999999999E-2</v>
      </c>
      <c r="C8" s="70">
        <f t="shared" si="1"/>
        <v>2.2307692307692306E-4</v>
      </c>
      <c r="F8" s="71">
        <v>37659</v>
      </c>
      <c r="G8" s="69">
        <v>1.671375261782324E-3</v>
      </c>
      <c r="H8" s="70">
        <f>-0.0275355867056103-(+G8/52)</f>
        <v>-2.7567728537567653E-2</v>
      </c>
      <c r="I8" s="70">
        <f>-0.0199354204689036-(+H8/52)</f>
        <v>-1.9405271843181145E-2</v>
      </c>
      <c r="J8" s="70">
        <f>-0.000417536534446847-(+I8/52)</f>
        <v>-4.4358229770286549E-5</v>
      </c>
      <c r="K8" s="70">
        <f>-0.0366324102667949-(+J8/52)</f>
        <v>-3.6631557223914708E-2</v>
      </c>
      <c r="L8" s="70">
        <f>-0.086260596597644-(+K8/52)</f>
        <v>-8.555614357410718E-2</v>
      </c>
      <c r="M8" s="70">
        <f>0.0108874120406566-(+L8/52)</f>
        <v>1.2532722494004816E-2</v>
      </c>
      <c r="N8" s="70">
        <f>-0.0169622361712068-(+M8/52)</f>
        <v>-1.7203250065322279E-2</v>
      </c>
      <c r="P8" s="76" t="s">
        <v>388</v>
      </c>
      <c r="Q8" s="76">
        <v>730</v>
      </c>
      <c r="Z8" s="67"/>
      <c r="AA8" s="67" t="s">
        <v>21</v>
      </c>
      <c r="AB8" s="75">
        <v>1.0665705849366672E-3</v>
      </c>
      <c r="AC8" s="75">
        <v>1.1639943459417259</v>
      </c>
      <c r="AD8" s="75">
        <v>0.24480763199267419</v>
      </c>
      <c r="AE8" s="67"/>
    </row>
    <row r="9" spans="1:31">
      <c r="A9" s="68">
        <v>1.1499999999999999</v>
      </c>
      <c r="B9" s="69">
        <f t="shared" si="0"/>
        <v>1.15E-2</v>
      </c>
      <c r="C9" s="70">
        <f t="shared" si="1"/>
        <v>2.2115384615384616E-4</v>
      </c>
      <c r="F9" s="71">
        <v>37666</v>
      </c>
      <c r="G9" s="69">
        <v>-7.5523469332537771E-4</v>
      </c>
      <c r="H9" s="70">
        <f>-0.00663220303026913-(+G9/52)</f>
        <v>-6.6176792861667184E-3</v>
      </c>
      <c r="I9" s="70">
        <f>-0.0582790651548709-(+H9/52)</f>
        <v>-5.8151802091675385E-2</v>
      </c>
      <c r="J9" s="70">
        <f>0.0348024532876909-(+I9/52)</f>
        <v>3.5920757174069277E-2</v>
      </c>
      <c r="K9" s="70">
        <f>0.0134318475621932-(+J9/52)</f>
        <v>1.2741063770384175E-2</v>
      </c>
      <c r="L9" s="70">
        <f>0.0388011630507715-(+K9/52)</f>
        <v>3.8556142593648722E-2</v>
      </c>
      <c r="M9" s="70">
        <f>0.0256878782605334-(+L9/52)</f>
        <v>2.4946413979886312E-2</v>
      </c>
      <c r="N9" s="70">
        <f>-0.00344065134733018-(+M9/52)</f>
        <v>-3.9203900777126091E-3</v>
      </c>
      <c r="Z9" s="67"/>
      <c r="AA9" s="67" t="s">
        <v>22</v>
      </c>
      <c r="AB9" s="75">
        <v>5.3862683693979129E-4</v>
      </c>
      <c r="AC9" s="75">
        <v>0.37846659790493908</v>
      </c>
      <c r="AD9" s="75">
        <v>0.70519434067794773</v>
      </c>
      <c r="AE9" s="67"/>
    </row>
    <row r="10" spans="1:31" ht="16.5" thickBot="1">
      <c r="A10" s="68">
        <v>1.1599999999999999</v>
      </c>
      <c r="B10" s="69">
        <f t="shared" si="0"/>
        <v>1.1599999999999999E-2</v>
      </c>
      <c r="C10" s="70">
        <f t="shared" si="1"/>
        <v>2.2307692307692306E-4</v>
      </c>
      <c r="F10" s="71">
        <v>37673</v>
      </c>
      <c r="G10" s="69">
        <v>4.8405091520710587E-3</v>
      </c>
      <c r="H10" s="70">
        <f>0.00978992682844578-(+G10/52)</f>
        <v>9.6968401139828752E-3</v>
      </c>
      <c r="I10" s="70">
        <f>-0.00400168491996625-(+H10/52)</f>
        <v>-4.1881626144659205E-3</v>
      </c>
      <c r="J10" s="70">
        <f>-0.00804371369498875-(+I10/52)</f>
        <v>-7.963172106249021E-3</v>
      </c>
      <c r="K10" s="70">
        <f>0.0189473684210526-(+J10/52)</f>
        <v>1.9100506346172774E-2</v>
      </c>
      <c r="L10" s="70">
        <f>0.085116094805016-(+K10/52)</f>
        <v>8.4748777375281914E-2</v>
      </c>
      <c r="M10" s="70">
        <f>0.0113298960326512-(+L10/52)</f>
        <v>9.7001118523573175E-3</v>
      </c>
      <c r="N10" s="70">
        <f>0.0138619609957388-(+M10/52)</f>
        <v>1.3675420383193467E-2</v>
      </c>
      <c r="P10" s="63" t="s">
        <v>389</v>
      </c>
      <c r="Z10" s="67"/>
      <c r="AA10" s="67" t="s">
        <v>23</v>
      </c>
      <c r="AB10" s="75">
        <v>4.3280733523756078E-3</v>
      </c>
      <c r="AC10" s="75">
        <v>3.2980893948354542</v>
      </c>
      <c r="AD10" s="75">
        <v>1.0207589376658912E-3</v>
      </c>
      <c r="AE10" s="67"/>
    </row>
    <row r="11" spans="1:31">
      <c r="A11" s="68">
        <v>1.17</v>
      </c>
      <c r="B11" s="69">
        <f t="shared" si="0"/>
        <v>1.1699999999999999E-2</v>
      </c>
      <c r="C11" s="70">
        <f t="shared" si="1"/>
        <v>2.2499999999999997E-4</v>
      </c>
      <c r="F11" s="71">
        <v>37680</v>
      </c>
      <c r="G11" s="69">
        <v>4.9243956428151638E-3</v>
      </c>
      <c r="H11" s="70">
        <f>-0.013646482635797-(+G11/52)</f>
        <v>-1.3741182552004984E-2</v>
      </c>
      <c r="I11" s="70">
        <f>0.0157303634783017-(+H11/52)</f>
        <v>1.599461698891718E-2</v>
      </c>
      <c r="J11" s="70">
        <f>-0.0190068782071005-(+I11/52)</f>
        <v>-1.931446699534891E-2</v>
      </c>
      <c r="K11" s="70">
        <f>0.000916011887798698-(+J11/52)</f>
        <v>1.2874439454015618E-3</v>
      </c>
      <c r="L11" s="70">
        <f>-0.0644866859796024-(+K11/52)</f>
        <v>-6.4511444517013974E-2</v>
      </c>
      <c r="M11" s="70">
        <f>0.0222288499715731-(+L11/52)</f>
        <v>2.3469454673823369E-2</v>
      </c>
      <c r="N11" s="70">
        <f>-0.000889679715302496-(+M11/52)</f>
        <v>-1.3410153821067916E-3</v>
      </c>
      <c r="P11" s="77"/>
      <c r="Q11" s="77" t="s">
        <v>390</v>
      </c>
      <c r="R11" s="77" t="s">
        <v>391</v>
      </c>
      <c r="S11" s="77" t="s">
        <v>392</v>
      </c>
      <c r="T11" s="77" t="s">
        <v>393</v>
      </c>
      <c r="U11" s="77" t="s">
        <v>394</v>
      </c>
      <c r="Z11" s="67"/>
      <c r="AA11" s="67" t="s">
        <v>24</v>
      </c>
      <c r="AB11" s="75">
        <v>3.0130994095880809E-4</v>
      </c>
      <c r="AC11" s="75">
        <v>0.31202975281686485</v>
      </c>
      <c r="AD11" s="75">
        <v>0.75510725731412554</v>
      </c>
      <c r="AE11" s="67"/>
    </row>
    <row r="12" spans="1:31">
      <c r="A12" s="68">
        <v>1.19</v>
      </c>
      <c r="B12" s="69">
        <f t="shared" si="0"/>
        <v>1.1899999999999999E-2</v>
      </c>
      <c r="C12" s="70">
        <f t="shared" si="1"/>
        <v>2.2884615384615383E-4</v>
      </c>
      <c r="F12" s="71">
        <v>37687</v>
      </c>
      <c r="G12" s="69">
        <v>5.7647765596384711E-3</v>
      </c>
      <c r="H12" s="70">
        <f>0.00736903875234159-(+G12/52)</f>
        <v>7.2581776646562348E-3</v>
      </c>
      <c r="I12" s="70">
        <f>0.0201246804917824-(+H12/52)</f>
        <v>1.9985100152077471E-2</v>
      </c>
      <c r="J12" s="70">
        <f>-0.00674841660090245-(+I12/52)</f>
        <v>-7.1327454499808636E-3</v>
      </c>
      <c r="K12" s="70">
        <f>0.0316650057960993-(+J12/52)</f>
        <v>3.1802173977829702E-2</v>
      </c>
      <c r="L12" s="70">
        <f>0.115228641723933-(+K12/52)</f>
        <v>0.11461706145512858</v>
      </c>
      <c r="M12" s="70">
        <f>0.00252557486460364-(+L12/52)</f>
        <v>3.2140060585116731E-4</v>
      </c>
      <c r="N12" s="70">
        <f>0.00522000798354165-(+M12/52)</f>
        <v>5.2138272026598965E-3</v>
      </c>
      <c r="P12" s="72" t="s">
        <v>395</v>
      </c>
      <c r="Q12" s="72">
        <v>1</v>
      </c>
      <c r="R12" s="72">
        <v>4.2767231553101914E-2</v>
      </c>
      <c r="S12" s="72">
        <v>4.2767231553101914E-2</v>
      </c>
      <c r="T12" s="72">
        <v>106.46285083869174</v>
      </c>
      <c r="U12" s="72">
        <v>2.1753235232643648E-23</v>
      </c>
      <c r="Z12" s="67"/>
      <c r="AA12" s="78" t="s">
        <v>396</v>
      </c>
      <c r="AB12" s="79">
        <v>1.0902986761201783E-3</v>
      </c>
      <c r="AC12" s="79">
        <v>1.381248535562841</v>
      </c>
      <c r="AD12" s="79">
        <v>0.16762635646369023</v>
      </c>
      <c r="AE12" s="67"/>
    </row>
    <row r="13" spans="1:31">
      <c r="A13" s="68">
        <v>1.1499999999999999</v>
      </c>
      <c r="B13" s="69">
        <f t="shared" si="0"/>
        <v>1.15E-2</v>
      </c>
      <c r="C13" s="70">
        <f t="shared" si="1"/>
        <v>2.2115384615384616E-4</v>
      </c>
      <c r="F13" s="71">
        <v>37694</v>
      </c>
      <c r="G13" s="69">
        <v>-8.8156946070451041E-3</v>
      </c>
      <c r="H13" s="70">
        <f>-0.0178005309912958-(+G13/52)</f>
        <v>-1.7630998402698779E-2</v>
      </c>
      <c r="I13" s="70">
        <f>0.0235371481048968-(+H13/52)</f>
        <v>2.3876205766487163E-2</v>
      </c>
      <c r="J13" s="70">
        <f>0.00498110439946622-(+I13/52)</f>
        <v>4.5219465962645436E-3</v>
      </c>
      <c r="K13" s="70">
        <f>-0.058941807285917-(+J13/52)</f>
        <v>-5.902876779738362E-2</v>
      </c>
      <c r="L13" s="70">
        <f>0.0246097434805099-(+K13/52)</f>
        <v>2.5744912091998046E-2</v>
      </c>
      <c r="M13" s="70">
        <f>-0.0348324314492292-(+L13/52)</f>
        <v>-3.5327525912536857E-2</v>
      </c>
      <c r="N13" s="70">
        <f>-0.0298133610288053-(+M13/52)</f>
        <v>-2.913398553048728E-2</v>
      </c>
      <c r="P13" s="72" t="s">
        <v>397</v>
      </c>
      <c r="Q13" s="72">
        <v>728</v>
      </c>
      <c r="R13" s="72">
        <v>0.29244515176314423</v>
      </c>
      <c r="S13" s="72">
        <v>4.0171037330102231E-4</v>
      </c>
      <c r="T13" s="72"/>
      <c r="U13" s="72"/>
      <c r="Z13" s="67"/>
      <c r="AA13" s="67"/>
      <c r="AB13" s="80"/>
      <c r="AC13" s="80"/>
      <c r="AD13" s="80"/>
      <c r="AE13" s="67"/>
    </row>
    <row r="14" spans="1:31" ht="16.5" thickBot="1">
      <c r="A14" s="68">
        <v>1.0900000000000001</v>
      </c>
      <c r="B14" s="69">
        <f t="shared" si="0"/>
        <v>1.09E-2</v>
      </c>
      <c r="C14" s="70">
        <f t="shared" si="1"/>
        <v>2.0961538461538462E-4</v>
      </c>
      <c r="F14" s="71">
        <v>37701</v>
      </c>
      <c r="G14" s="69">
        <v>-1.1132178519511001E-2</v>
      </c>
      <c r="H14" s="70">
        <f>0.0420630032619357-(+G14/52)</f>
        <v>4.2277083618080143E-2</v>
      </c>
      <c r="I14" s="70">
        <f>0.0400323448940483-(+H14/52)</f>
        <v>3.9219324055239063E-2</v>
      </c>
      <c r="J14" s="70">
        <f>0.0251976484897628-(+I14/52)</f>
        <v>2.4443430719469739E-2</v>
      </c>
      <c r="K14" s="70">
        <f>0.0232623905484101-(+J14/52)</f>
        <v>2.2792324573035681E-2</v>
      </c>
      <c r="L14" s="70">
        <f>0.169162576937641-(+K14/52)</f>
        <v>0.16872426300354415</v>
      </c>
      <c r="M14" s="70">
        <f>-0.0146902237926972-(+L14/52)</f>
        <v>-1.7934921158149972E-2</v>
      </c>
      <c r="N14" s="70">
        <f>0.0225013905943347-(+M14/52)</f>
        <v>2.2846292924299121E-2</v>
      </c>
      <c r="P14" s="76" t="s">
        <v>398</v>
      </c>
      <c r="Q14" s="76">
        <v>729</v>
      </c>
      <c r="R14" s="76">
        <v>0.33521238331624614</v>
      </c>
      <c r="S14" s="76"/>
      <c r="T14" s="76"/>
      <c r="U14" s="76"/>
      <c r="Z14" s="67"/>
      <c r="AA14" s="67"/>
      <c r="AB14" s="80"/>
      <c r="AC14" s="80"/>
      <c r="AD14" s="80"/>
      <c r="AE14" s="67"/>
    </row>
    <row r="15" spans="1:31" ht="16.5" thickBot="1">
      <c r="A15" s="68">
        <v>1.1399999999999999</v>
      </c>
      <c r="B15" s="69">
        <f t="shared" si="0"/>
        <v>1.1399999999999999E-2</v>
      </c>
      <c r="C15" s="70">
        <f t="shared" si="1"/>
        <v>2.192307692307692E-4</v>
      </c>
      <c r="F15" s="71">
        <v>37708</v>
      </c>
      <c r="G15" s="69">
        <v>8.7801979137074136E-3</v>
      </c>
      <c r="H15" s="70">
        <f>-0.0264759319659391-(+G15/52)</f>
        <v>-2.6644781925818088E-2</v>
      </c>
      <c r="I15" s="70">
        <f>-0.00234314258022593-(+H15/52)</f>
        <v>-1.8307429278063515E-3</v>
      </c>
      <c r="J15" s="70">
        <f>0.000573428509283538-(+I15/52)</f>
        <v>6.0863510404904483E-4</v>
      </c>
      <c r="K15" s="70">
        <f>0.000225186034371605-(+J15/52)</f>
        <v>2.134815131398926E-4</v>
      </c>
      <c r="L15" s="70">
        <f>-0.0767950924297173-(+K15/52)</f>
        <v>-7.6799197843431533E-2</v>
      </c>
      <c r="M15" s="70">
        <f>0.0435801312089971-(+L15/52)</f>
        <v>4.5057038859832317E-2</v>
      </c>
      <c r="N15" s="70">
        <f>0.00120089913473685-(+M15/52)</f>
        <v>3.344176182016131E-4</v>
      </c>
      <c r="AB15" s="81"/>
      <c r="AC15" s="81"/>
      <c r="AD15" s="81"/>
    </row>
    <row r="16" spans="1:31">
      <c r="A16" s="68">
        <v>1.1499999999999999</v>
      </c>
      <c r="B16" s="69">
        <f t="shared" si="0"/>
        <v>1.15E-2</v>
      </c>
      <c r="C16" s="70">
        <f t="shared" si="1"/>
        <v>2.2115384615384616E-4</v>
      </c>
      <c r="F16" s="71">
        <v>37715</v>
      </c>
      <c r="G16" s="69">
        <v>5.1124406265264403E-4</v>
      </c>
      <c r="H16" s="70">
        <f>0.0301977582155666-(+G16/52)</f>
        <v>3.0187926598977129E-2</v>
      </c>
      <c r="I16" s="70">
        <f>-0.0249810506987222-(+H16/52)</f>
        <v>-2.5561587748702527E-2</v>
      </c>
      <c r="J16" s="70">
        <f>0.0235366191059641-(+I16/52)</f>
        <v>2.4028188101131456E-2</v>
      </c>
      <c r="K16" s="70">
        <f>0.00155548051044319-(+J16/52)</f>
        <v>1.0933999700368157E-3</v>
      </c>
      <c r="L16" s="70">
        <f>0.106178376370565-(+K16/52)</f>
        <v>0.10615734944806429</v>
      </c>
      <c r="M16" s="70">
        <f>0.00191526992476372-(+L16/52)</f>
        <v>-1.262175646221319E-4</v>
      </c>
      <c r="N16" s="70">
        <f>0.0127532190601164-(+M16/52)</f>
        <v>1.2755646320974517E-2</v>
      </c>
      <c r="P16" s="77"/>
      <c r="Q16" s="77" t="s">
        <v>399</v>
      </c>
      <c r="R16" s="77" t="s">
        <v>387</v>
      </c>
      <c r="S16" s="77" t="s">
        <v>384</v>
      </c>
      <c r="T16" s="77" t="s">
        <v>400</v>
      </c>
      <c r="U16" s="77" t="s">
        <v>401</v>
      </c>
      <c r="V16" s="77" t="s">
        <v>402</v>
      </c>
      <c r="W16" s="77" t="s">
        <v>403</v>
      </c>
      <c r="X16" s="77" t="s">
        <v>404</v>
      </c>
    </row>
    <row r="17" spans="1:24">
      <c r="A17" s="68">
        <v>1.1000000000000001</v>
      </c>
      <c r="B17" s="69">
        <f t="shared" si="0"/>
        <v>1.1000000000000001E-2</v>
      </c>
      <c r="C17" s="70">
        <f t="shared" si="1"/>
        <v>2.1153846153846155E-4</v>
      </c>
      <c r="F17" s="71">
        <v>37722</v>
      </c>
      <c r="G17" s="69">
        <v>6.2963397139091469E-5</v>
      </c>
      <c r="H17" s="70">
        <f>0.00377593225148137-(+G17/52)</f>
        <v>3.7747214169210029E-3</v>
      </c>
      <c r="I17" s="70">
        <f>-0.000153288587664633-(+H17/52)</f>
        <v>-2.2587938414388305E-4</v>
      </c>
      <c r="J17" s="70">
        <f>-0.00260652983993958-(+I17/52)</f>
        <v>-2.6021860056291207E-3</v>
      </c>
      <c r="K17" s="70">
        <f>0.0212831175731319-(+J17/52)</f>
        <v>2.133315961170169E-2</v>
      </c>
      <c r="L17" s="70">
        <f>0.0522342582113498-(+K17/52)</f>
        <v>5.1824005141893996E-2</v>
      </c>
      <c r="M17" s="70">
        <f>0.0358815351406725-(+L17/52)</f>
        <v>3.4884919657174537E-2</v>
      </c>
      <c r="N17" s="70">
        <f>0.00272300279386166-(+M17/52)</f>
        <v>2.052138954300611E-3</v>
      </c>
      <c r="P17" s="72" t="s">
        <v>405</v>
      </c>
      <c r="Q17" s="72">
        <v>5.9150982370176916E-4</v>
      </c>
      <c r="R17" s="72">
        <v>7.4604143606832806E-4</v>
      </c>
      <c r="S17" s="72">
        <v>0.79286457173083114</v>
      </c>
      <c r="T17" s="72">
        <v>0.42811504007564627</v>
      </c>
      <c r="U17" s="72">
        <v>-8.7313956136583944E-4</v>
      </c>
      <c r="V17" s="72">
        <v>2.0561592087693778E-3</v>
      </c>
      <c r="W17" s="72">
        <v>-8.7313956136583944E-4</v>
      </c>
      <c r="X17" s="72">
        <v>2.0561592087693778E-3</v>
      </c>
    </row>
    <row r="18" spans="1:24" ht="16.5" thickBot="1">
      <c r="A18" s="68">
        <v>1.1299999999999999</v>
      </c>
      <c r="B18" s="69">
        <f t="shared" si="0"/>
        <v>1.1299999999999999E-2</v>
      </c>
      <c r="C18" s="70">
        <f t="shared" si="1"/>
        <v>2.1730769230769229E-4</v>
      </c>
      <c r="F18" s="71">
        <v>37729</v>
      </c>
      <c r="G18" s="69">
        <v>7.1347906694800966E-3</v>
      </c>
      <c r="H18" s="70">
        <f>0.00284847628262974-(+G18/52)</f>
        <v>2.7112687697551227E-3</v>
      </c>
      <c r="I18" s="70">
        <f>0.0197115542560531-(+H18/52)</f>
        <v>1.9659414472019351E-2</v>
      </c>
      <c r="J18" s="70">
        <f>0.00274884819389051-(+I18/52)</f>
        <v>2.3707825309670608E-3</v>
      </c>
      <c r="K18" s="70">
        <f>0.0012905936730897-(+J18/52)</f>
        <v>1.2450017013403334E-3</v>
      </c>
      <c r="L18" s="70">
        <f>0.0162870684458732-(+K18/52)</f>
        <v>1.6263126105462811E-2</v>
      </c>
      <c r="M18" s="70">
        <f>0.000591585360469801-(+L18/52)</f>
        <v>2.7883293536474694E-4</v>
      </c>
      <c r="N18" s="70">
        <f>0.0179795471294305-(+M18/52)</f>
        <v>1.7974184957596562E-2</v>
      </c>
      <c r="P18" s="76" t="s">
        <v>406</v>
      </c>
      <c r="Q18" s="76">
        <v>1.3324638044908015</v>
      </c>
      <c r="R18" s="76">
        <v>0.12913868948392285</v>
      </c>
      <c r="S18" s="76">
        <v>10.318083680543211</v>
      </c>
      <c r="T18" s="76">
        <v>2.1753235232640518E-23</v>
      </c>
      <c r="U18" s="76">
        <v>1.0789351223067984</v>
      </c>
      <c r="V18" s="76">
        <v>1.5859924866748045</v>
      </c>
      <c r="W18" s="76">
        <v>1.0789351223067984</v>
      </c>
      <c r="X18" s="76">
        <v>1.5859924866748045</v>
      </c>
    </row>
    <row r="19" spans="1:24">
      <c r="A19" s="68">
        <v>1.1599999999999999</v>
      </c>
      <c r="B19" s="69">
        <f t="shared" si="0"/>
        <v>1.1599999999999999E-2</v>
      </c>
      <c r="C19" s="70">
        <f t="shared" si="1"/>
        <v>2.2307692307692306E-4</v>
      </c>
      <c r="F19" s="71">
        <v>37736</v>
      </c>
      <c r="G19" s="69">
        <v>5.13948077408132E-3</v>
      </c>
      <c r="H19" s="70">
        <f>0.00529048904500168-(+G19/52)</f>
        <v>5.1916528762693467E-3</v>
      </c>
      <c r="I19" s="70">
        <f>-0.00627167971476736-(+H19/52)</f>
        <v>-6.3715191931571552E-3</v>
      </c>
      <c r="J19" s="70">
        <f>-0.0124324324324324-(+I19/52)</f>
        <v>-1.2309903217179379E-2</v>
      </c>
      <c r="K19" s="70">
        <f>-0.0176653377696513-(+J19/52)</f>
        <v>-1.7428608861628621E-2</v>
      </c>
      <c r="L19" s="70">
        <f>0.0155899284758969-(+K19/52)</f>
        <v>1.5925094030928219E-2</v>
      </c>
      <c r="M19" s="70">
        <f>0.0222551666931399-(+L19/52)</f>
        <v>2.1948914884852819E-2</v>
      </c>
      <c r="N19" s="70">
        <f>0.0192586128245304-(+M19/52)</f>
        <v>1.8836518307514E-2</v>
      </c>
    </row>
    <row r="20" spans="1:24">
      <c r="A20" s="68">
        <v>1.1399999999999999</v>
      </c>
      <c r="B20" s="69">
        <f t="shared" si="0"/>
        <v>1.1399999999999999E-2</v>
      </c>
      <c r="C20" s="70">
        <f t="shared" si="1"/>
        <v>2.192307692307692E-4</v>
      </c>
      <c r="F20" s="71">
        <v>37743</v>
      </c>
      <c r="G20" s="69">
        <v>7.8771806137414267E-3</v>
      </c>
      <c r="H20" s="70">
        <f>0.00708516213913668-(+G20/52)</f>
        <v>6.9336778965647296E-3</v>
      </c>
      <c r="I20" s="70">
        <f>0.0603136178444446-(+H20/52)</f>
        <v>6.0180277884895272E-2</v>
      </c>
      <c r="J20" s="70">
        <f>0.00240441003987794-(+I20/52)</f>
        <v>1.2470970036299539E-3</v>
      </c>
      <c r="K20" s="70">
        <f>0.0375731068504298-(+J20/52)</f>
        <v>3.7549124215744606E-2</v>
      </c>
      <c r="L20" s="70">
        <f>0.0718404131668299-(+K20/52)</f>
        <v>7.1118314624219428E-2</v>
      </c>
      <c r="M20" s="70">
        <f>0.014001588342944-(+L20/52)</f>
        <v>1.2633928446324397E-2</v>
      </c>
      <c r="N20" s="70">
        <f>0.0136310566258027-(+M20/52)</f>
        <v>1.3388096463373385E-2</v>
      </c>
    </row>
    <row r="21" spans="1:24">
      <c r="A21" s="68">
        <v>1.1100000000000001</v>
      </c>
      <c r="B21" s="69">
        <f t="shared" si="0"/>
        <v>1.11E-2</v>
      </c>
      <c r="C21" s="70">
        <f t="shared" si="1"/>
        <v>2.1346153846153848E-4</v>
      </c>
      <c r="F21" s="71">
        <v>37750</v>
      </c>
      <c r="G21" s="69">
        <v>1.2466254792532758E-2</v>
      </c>
      <c r="H21" s="70">
        <f>0.00645707065298864-(+G21/52)</f>
        <v>6.2173349839014722E-3</v>
      </c>
      <c r="I21" s="70">
        <f>0.0156042970422163-(+H21/52)</f>
        <v>1.5484732907910501E-2</v>
      </c>
      <c r="J21" s="70">
        <f>-0.00378322510189345-(+I21/52)</f>
        <v>-4.0810084270455748E-3</v>
      </c>
      <c r="K21" s="70">
        <f>0.0112146967424442-(+J21/52)</f>
        <v>1.1293177673733537E-2</v>
      </c>
      <c r="L21" s="70">
        <f>0.063184435731151-(+K21/52)</f>
        <v>6.2967259237425355E-2</v>
      </c>
      <c r="M21" s="70">
        <f>0.0355251732416189-(+L21/52)</f>
        <v>3.4314264410129948E-2</v>
      </c>
      <c r="N21" s="70">
        <f>0.0193701346694695-(+M21/52)</f>
        <v>1.8710244969274696E-2</v>
      </c>
    </row>
    <row r="22" spans="1:24">
      <c r="A22" s="68">
        <v>1.0900000000000001</v>
      </c>
      <c r="B22" s="69">
        <f t="shared" si="0"/>
        <v>1.09E-2</v>
      </c>
      <c r="C22" s="70">
        <f t="shared" si="1"/>
        <v>2.0961538461538462E-4</v>
      </c>
      <c r="F22" s="71">
        <v>37757</v>
      </c>
      <c r="G22" s="69">
        <v>9.1726403065292405E-3</v>
      </c>
      <c r="H22" s="70">
        <f>0.0382491568162232-(+G22/52)</f>
        <v>3.8072759887251485E-2</v>
      </c>
      <c r="I22" s="70">
        <f>0.0316824727783631-(+H22/52)</f>
        <v>3.0950304318992879E-2</v>
      </c>
      <c r="J22" s="70">
        <f>0.0318684545365567-(+I22/52)</f>
        <v>3.1273256376576068E-2</v>
      </c>
      <c r="K22" s="70">
        <f>0.026068073638188-(+J22/52)</f>
        <v>2.5466664861715383E-2</v>
      </c>
      <c r="L22" s="70">
        <f>0.0061549747269201-(+K22/52)</f>
        <v>5.6652311718871119E-3</v>
      </c>
      <c r="M22" s="70">
        <f>0.00288558768158238-(+L22/52)</f>
        <v>2.776640928276859E-3</v>
      </c>
      <c r="N22" s="70">
        <f>0.00855940263090982-(+M22/52)</f>
        <v>8.506005689981418E-3</v>
      </c>
      <c r="P22" s="63" t="s">
        <v>369</v>
      </c>
    </row>
    <row r="23" spans="1:24" ht="16.5" thickBot="1">
      <c r="A23" s="68">
        <v>1.05</v>
      </c>
      <c r="B23" s="69">
        <f t="shared" si="0"/>
        <v>1.0500000000000001E-2</v>
      </c>
      <c r="C23" s="70">
        <f t="shared" si="1"/>
        <v>2.0192307692307694E-4</v>
      </c>
      <c r="F23" s="71">
        <v>37764</v>
      </c>
      <c r="G23" s="69">
        <v>5.0356831090645924E-3</v>
      </c>
      <c r="H23" s="70">
        <f>0.0327205279554025-(+G23/52)</f>
        <v>3.2623687895612798E-2</v>
      </c>
      <c r="I23" s="70">
        <f>-0.00135211377210548-(+H23/52)</f>
        <v>-1.9794923854826495E-3</v>
      </c>
      <c r="J23" s="70">
        <f>0.00310170166752033-(+I23/52)</f>
        <v>3.1397688287796116E-3</v>
      </c>
      <c r="K23" s="70">
        <f>-0.00347688063339701-(+J23/52)</f>
        <v>-3.5372608031812333E-3</v>
      </c>
      <c r="L23" s="70">
        <f>0.0614279079754908-(+K23/52)</f>
        <v>6.1495932221705824E-2</v>
      </c>
      <c r="M23" s="70">
        <f>0.0503811787851462-(+L23/52)</f>
        <v>4.9198564703959544E-2</v>
      </c>
      <c r="N23" s="70">
        <f>0.0286253127684207-(+M23/52)</f>
        <v>2.7679186524113785E-2</v>
      </c>
    </row>
    <row r="24" spans="1:24">
      <c r="A24" s="68">
        <v>1.04</v>
      </c>
      <c r="B24" s="69">
        <f t="shared" si="0"/>
        <v>1.04E-2</v>
      </c>
      <c r="C24" s="70">
        <f t="shared" si="1"/>
        <v>1.9999999999999998E-4</v>
      </c>
      <c r="F24" s="71">
        <v>37771</v>
      </c>
      <c r="G24" s="69">
        <v>-5.6825448358791594E-4</v>
      </c>
      <c r="H24" s="70">
        <f>-0.0152614187761096-(+G24/52)</f>
        <v>-1.5250490805271372E-2</v>
      </c>
      <c r="I24" s="70">
        <f>-0.0245755530229977-(+H24/52)</f>
        <v>-2.4282274353665558E-2</v>
      </c>
      <c r="J24" s="70">
        <f>0.00859550083685562-(+I24/52)</f>
        <v>9.0624676513491893E-3</v>
      </c>
      <c r="K24" s="70">
        <f>-0.0447029599711777-(+J24/52)</f>
        <v>-4.4877238195242107E-2</v>
      </c>
      <c r="L24" s="70">
        <f>0.105113101735105-(+K24/52)</f>
        <v>0.10597612554655197</v>
      </c>
      <c r="M24" s="70">
        <f>0.00570487606917664-(+L24/52)</f>
        <v>3.6668736548198717E-3</v>
      </c>
      <c r="N24" s="70">
        <f>0.00515548132953334-(+M24/52)</f>
        <v>5.0849645284791111E-3</v>
      </c>
      <c r="P24" s="65" t="s">
        <v>379</v>
      </c>
      <c r="Q24" s="65"/>
    </row>
    <row r="25" spans="1:24">
      <c r="A25" s="68">
        <v>1.0900000000000001</v>
      </c>
      <c r="B25" s="69">
        <f t="shared" si="0"/>
        <v>1.09E-2</v>
      </c>
      <c r="C25" s="70">
        <f t="shared" si="1"/>
        <v>2.0961538461538462E-4</v>
      </c>
      <c r="F25" s="71">
        <v>37778</v>
      </c>
      <c r="G25" s="69">
        <v>3.4376111800082472E-3</v>
      </c>
      <c r="H25" s="70">
        <f>0.00841403077419162-(+G25/52)</f>
        <v>8.3479228668837686E-3</v>
      </c>
      <c r="I25" s="70">
        <f>0.0401437986818454-(+H25/52)</f>
        <v>3.99832617036361E-2</v>
      </c>
      <c r="J25" s="70">
        <f>0.00776283962423375-(+I25/52)</f>
        <v>6.9939307453176711E-3</v>
      </c>
      <c r="K25" s="70">
        <f>0.0921803511348862-(+J25/52)</f>
        <v>9.2045852466707004E-2</v>
      </c>
      <c r="L25" s="70">
        <f>-0.000638585915349051-(+K25/52)</f>
        <v>-2.4086984627857242E-3</v>
      </c>
      <c r="M25" s="70">
        <f>0.00806257614439684-(+L25/52)</f>
        <v>8.1088972686811818E-3</v>
      </c>
      <c r="N25" s="70">
        <f>0.0151342760650882-(+M25/52)</f>
        <v>1.4978335732998178E-2</v>
      </c>
      <c r="P25" s="72" t="s">
        <v>380</v>
      </c>
      <c r="Q25" s="72">
        <v>0.37589379944693169</v>
      </c>
    </row>
    <row r="26" spans="1:24">
      <c r="A26" s="68">
        <v>1.05</v>
      </c>
      <c r="B26" s="69">
        <f t="shared" si="0"/>
        <v>1.0500000000000001E-2</v>
      </c>
      <c r="C26" s="70">
        <f t="shared" si="1"/>
        <v>2.0192307692307694E-4</v>
      </c>
      <c r="F26" s="71">
        <v>37785</v>
      </c>
      <c r="G26" s="69">
        <v>1.1407009605757893E-2</v>
      </c>
      <c r="H26" s="70">
        <f>-0.00933309351080204-(+G26/52)</f>
        <v>-9.5524590801435386E-3</v>
      </c>
      <c r="I26" s="70">
        <f>0.00335061443932413-(+H26/52)</f>
        <v>3.5343155754807365E-3</v>
      </c>
      <c r="J26" s="70">
        <f>0.00930319099451112-(+I26/52)</f>
        <v>9.2352233872903377E-3</v>
      </c>
      <c r="K26" s="70">
        <f>-0.0196007160576844-(+J26/52)</f>
        <v>-1.9778316507439983E-2</v>
      </c>
      <c r="L26" s="70">
        <f>-0.0441459632621069-(+K26/52)</f>
        <v>-4.3765611021579207E-2</v>
      </c>
      <c r="M26" s="70">
        <f>0.02767385648084-(+L26/52)</f>
        <v>2.85155028466396E-2</v>
      </c>
      <c r="N26" s="70">
        <f>0.00958921169207776-(+M26/52)</f>
        <v>9.0408366373346902E-3</v>
      </c>
      <c r="P26" s="72" t="s">
        <v>382</v>
      </c>
      <c r="Q26" s="72">
        <v>0.1412961484626501</v>
      </c>
      <c r="T26" s="63" t="s">
        <v>374</v>
      </c>
    </row>
    <row r="27" spans="1:24">
      <c r="A27" s="68">
        <v>0.92</v>
      </c>
      <c r="B27" s="69">
        <f t="shared" si="0"/>
        <v>9.1999999999999998E-3</v>
      </c>
      <c r="C27" s="70">
        <f t="shared" si="1"/>
        <v>1.7692307692307693E-4</v>
      </c>
      <c r="F27" s="71">
        <v>37792</v>
      </c>
      <c r="G27" s="69">
        <v>-1.0708244015174105E-2</v>
      </c>
      <c r="H27" s="70">
        <f>0.0166834779100263-(+G27/52)</f>
        <v>1.6889405679548879E-2</v>
      </c>
      <c r="I27" s="70">
        <f>-0.00523399898573331-(+H27/52)</f>
        <v>-5.5587952488015575E-3</v>
      </c>
      <c r="J27" s="70">
        <f>0.00607429256152633-(+I27/52)</f>
        <v>6.1811924701571288E-3</v>
      </c>
      <c r="K27" s="70">
        <f>0.0165909722865881-(+J27/52)</f>
        <v>1.647210320062354E-2</v>
      </c>
      <c r="L27" s="70">
        <f>-0.00277652742433629-(+K27/52)</f>
        <v>-3.0932986397328964E-3</v>
      </c>
      <c r="M27" s="70">
        <f>-0.0164642961475944-(+L27/52)</f>
        <v>-1.6404809635291843E-2</v>
      </c>
      <c r="N27" s="70">
        <f>-0.000255515612885004-(+M27/52)</f>
        <v>5.9961495485992978E-5</v>
      </c>
      <c r="P27" s="72" t="s">
        <v>386</v>
      </c>
      <c r="Q27" s="72">
        <v>0.14011661020504385</v>
      </c>
    </row>
    <row r="28" spans="1:24">
      <c r="A28" s="68">
        <v>0.84</v>
      </c>
      <c r="B28" s="69">
        <f t="shared" si="0"/>
        <v>8.3999999999999995E-3</v>
      </c>
      <c r="C28" s="70">
        <f t="shared" si="1"/>
        <v>1.6153846153846153E-4</v>
      </c>
      <c r="F28" s="71">
        <v>37799</v>
      </c>
      <c r="G28" s="69">
        <v>-1.0295389510532731E-2</v>
      </c>
      <c r="H28" s="70">
        <f>-0.0102982320376214-(+G28/52)</f>
        <v>-1.0100243777803462E-2</v>
      </c>
      <c r="I28" s="70">
        <f>-0.00949385352340268-(+H28/52)</f>
        <v>-9.2996180661372302E-3</v>
      </c>
      <c r="J28" s="70">
        <f>-0.0302980329641132-(+I28/52)</f>
        <v>-3.0119194155149024E-2</v>
      </c>
      <c r="K28" s="70">
        <f>-0.00801422319474833-(+J28/52)</f>
        <v>-7.4350079225339247E-3</v>
      </c>
      <c r="L28" s="70">
        <f>0.0168172758068986-(+K28/52)</f>
        <v>1.6960256728485789E-2</v>
      </c>
      <c r="M28" s="70">
        <f>-0.0254754270656421-(+L28/52)</f>
        <v>-2.5801585848882213E-2</v>
      </c>
      <c r="N28" s="70">
        <f>-0.015070461015097-(+M28/52)</f>
        <v>-1.4574276671849266E-2</v>
      </c>
      <c r="P28" s="72" t="s">
        <v>387</v>
      </c>
      <c r="Q28" s="72">
        <v>2.6248217958415414E-2</v>
      </c>
    </row>
    <row r="29" spans="1:24" ht="16.5" thickBot="1">
      <c r="A29" s="68">
        <v>0.86</v>
      </c>
      <c r="B29" s="69">
        <f t="shared" si="0"/>
        <v>8.6E-3</v>
      </c>
      <c r="C29" s="70">
        <f t="shared" si="1"/>
        <v>1.6538461538461539E-4</v>
      </c>
      <c r="F29" s="71">
        <v>37806</v>
      </c>
      <c r="G29" s="69">
        <v>3.8221708220208608E-4</v>
      </c>
      <c r="H29" s="70">
        <f>0.00113276394402353-(+G29/52)</f>
        <v>1.1254136155196437E-3</v>
      </c>
      <c r="I29" s="70">
        <f>0.0381840252488467-(+H29/52)</f>
        <v>3.8162382679317472E-2</v>
      </c>
      <c r="J29" s="70">
        <f>-0.00582944388805963-(+I29/52)</f>
        <v>-6.5633358626618898E-3</v>
      </c>
      <c r="K29" s="70">
        <f>0.00611207617577053-(+J29/52)</f>
        <v>6.2382941731294128E-3</v>
      </c>
      <c r="L29" s="70">
        <f>0.108363623577604-(+K29/52)</f>
        <v>0.1082436563819669</v>
      </c>
      <c r="M29" s="70">
        <f>-0.0114803294831115-(+L29/52)</f>
        <v>-1.3561938259687786E-2</v>
      </c>
      <c r="N29" s="70">
        <f>0.00307810696421706-(+M29/52)</f>
        <v>3.3389134692110561E-3</v>
      </c>
      <c r="P29" s="76" t="s">
        <v>388</v>
      </c>
      <c r="Q29" s="76">
        <v>730</v>
      </c>
    </row>
    <row r="30" spans="1:24">
      <c r="A30" s="68">
        <v>0.87</v>
      </c>
      <c r="B30" s="69">
        <f t="shared" si="0"/>
        <v>8.6999999999999994E-3</v>
      </c>
      <c r="C30" s="70">
        <f t="shared" si="1"/>
        <v>1.673076923076923E-4</v>
      </c>
      <c r="F30" s="71">
        <v>37813</v>
      </c>
      <c r="G30" s="69">
        <v>-2.7660105848768276E-4</v>
      </c>
      <c r="H30" s="70">
        <f>-0.0330432867055843-(+G30/52)</f>
        <v>-3.3037967454459534E-2</v>
      </c>
      <c r="I30" s="70">
        <f>-0.00396606396213532-(+H30/52)</f>
        <v>-3.3307184341649443E-3</v>
      </c>
      <c r="J30" s="70">
        <f>-0.0123164647184605-(+I30/52)</f>
        <v>-1.2252412440880406E-2</v>
      </c>
      <c r="K30" s="70">
        <f>-0.0226554363912084-(+J30/52)</f>
        <v>-2.2419813075037622E-2</v>
      </c>
      <c r="L30" s="70">
        <f>0.0379536514180571-(+K30/52)</f>
        <v>3.8384801669500132E-2</v>
      </c>
      <c r="M30" s="70">
        <f>-0.00641162472626088-(+L30/52)</f>
        <v>-7.1497939891358823E-3</v>
      </c>
      <c r="N30" s="70">
        <f>-0.00398747558005729-(+M30/52)</f>
        <v>-3.849979541804677E-3</v>
      </c>
    </row>
    <row r="31" spans="1:24" ht="16.5" thickBot="1">
      <c r="A31" s="68">
        <v>0.88</v>
      </c>
      <c r="B31" s="69">
        <f t="shared" si="0"/>
        <v>8.8000000000000005E-3</v>
      </c>
      <c r="C31" s="70">
        <f t="shared" si="1"/>
        <v>1.6923076923076923E-4</v>
      </c>
      <c r="F31" s="71">
        <v>37820</v>
      </c>
      <c r="G31" s="69">
        <v>-1.142801660988369E-2</v>
      </c>
      <c r="H31" s="70">
        <f>-0.0321324648696788-(+G31/52)</f>
        <v>-3.1912695319488732E-2</v>
      </c>
      <c r="I31" s="70">
        <f>-0.0693631847337133-(+H31/52)</f>
        <v>-6.8749479054492371E-2</v>
      </c>
      <c r="J31" s="70">
        <f>-0.0387572284925285-(+I31/52)</f>
        <v>-3.7435123126095954E-2</v>
      </c>
      <c r="K31" s="70">
        <f>-0.0372385171891649-(+J31/52)</f>
        <v>-3.6518610975201517E-2</v>
      </c>
      <c r="L31" s="70">
        <f>-0.0237022773899987-(+K31/52)</f>
        <v>-2.2999996409706364E-2</v>
      </c>
      <c r="M31" s="70">
        <f>-0.0149429494422253-(+L31/52)</f>
        <v>-1.4500641818961716E-2</v>
      </c>
      <c r="N31" s="70">
        <f>-0.0145628459347627-(+M31/52)</f>
        <v>-1.4283987438244205E-2</v>
      </c>
      <c r="P31" s="63" t="s">
        <v>389</v>
      </c>
    </row>
    <row r="32" spans="1:24">
      <c r="A32" s="68">
        <v>0.89</v>
      </c>
      <c r="B32" s="69">
        <f t="shared" si="0"/>
        <v>8.8999999999999999E-3</v>
      </c>
      <c r="C32" s="70">
        <f t="shared" si="1"/>
        <v>1.7115384615384616E-4</v>
      </c>
      <c r="F32" s="71">
        <v>37827</v>
      </c>
      <c r="G32" s="69">
        <v>8.8348474975856987E-5</v>
      </c>
      <c r="H32" s="70">
        <f>0.0223717715532922-(+G32/52)</f>
        <v>2.2370072544158046E-2</v>
      </c>
      <c r="I32" s="70">
        <f>0.0454403261450901-(+H32/52)</f>
        <v>4.501013244231783E-2</v>
      </c>
      <c r="J32" s="70">
        <f>0.0191489574678932-(+I32/52)</f>
        <v>1.8283377997848627E-2</v>
      </c>
      <c r="K32" s="70">
        <f>0.0134851750451449-(+J32/52)</f>
        <v>1.313357162210935E-2</v>
      </c>
      <c r="L32" s="70">
        <f>0.0339825391421405-(+K32/52)</f>
        <v>3.3729970457099932E-2</v>
      </c>
      <c r="M32" s="70">
        <f>0.017891760904685-(+L32/52)</f>
        <v>1.7243107626663846E-2</v>
      </c>
      <c r="N32" s="70">
        <f>0.0131693750681645-(+M32/52)</f>
        <v>1.2837776844574812E-2</v>
      </c>
      <c r="P32" s="77"/>
      <c r="Q32" s="77" t="s">
        <v>390</v>
      </c>
      <c r="R32" s="77" t="s">
        <v>391</v>
      </c>
      <c r="S32" s="77" t="s">
        <v>392</v>
      </c>
      <c r="T32" s="77" t="s">
        <v>393</v>
      </c>
      <c r="U32" s="77" t="s">
        <v>394</v>
      </c>
    </row>
    <row r="33" spans="1:24">
      <c r="A33" s="68">
        <v>0.91</v>
      </c>
      <c r="B33" s="69">
        <f t="shared" si="0"/>
        <v>9.1000000000000004E-3</v>
      </c>
      <c r="C33" s="70">
        <f t="shared" si="1"/>
        <v>1.75E-4</v>
      </c>
      <c r="F33" s="71">
        <v>37834</v>
      </c>
      <c r="G33" s="69">
        <v>-1.7240022598453197E-2</v>
      </c>
      <c r="H33" s="70">
        <f>-0.0270205217828103-(+G33/52)</f>
        <v>-2.66889828866862E-2</v>
      </c>
      <c r="I33" s="70">
        <f>-0.0619498069498069-(+H33/52)</f>
        <v>-6.1436557278909093E-2</v>
      </c>
      <c r="J33" s="70">
        <f>-0.0298289036871157-(+I33/52)</f>
        <v>-2.8647431431752066E-2</v>
      </c>
      <c r="K33" s="70">
        <f>-0.0165627305035877-(+J33/52)</f>
        <v>-1.6011818360669391E-2</v>
      </c>
      <c r="L33" s="70">
        <f>-0.0308219826134347-(+K33/52)</f>
        <v>-3.0514063029575673E-2</v>
      </c>
      <c r="M33" s="70">
        <f>-0.0107764948617229-(+L33/52)</f>
        <v>-1.0189685957307983E-2</v>
      </c>
      <c r="N33" s="70">
        <f>-0.01614682849377-(+M33/52)</f>
        <v>-1.5950872994590998E-2</v>
      </c>
      <c r="P33" s="72" t="s">
        <v>395</v>
      </c>
      <c r="Q33" s="72">
        <v>1</v>
      </c>
      <c r="R33" s="72">
        <v>8.2531158147144956E-2</v>
      </c>
      <c r="S33" s="72">
        <v>8.2531158147144956E-2</v>
      </c>
      <c r="T33" s="72">
        <v>119.78937313097069</v>
      </c>
      <c r="U33" s="72">
        <v>6.4731873132568695E-26</v>
      </c>
    </row>
    <row r="34" spans="1:24">
      <c r="A34" s="68">
        <v>0.95</v>
      </c>
      <c r="B34" s="69">
        <f t="shared" si="0"/>
        <v>9.4999999999999998E-3</v>
      </c>
      <c r="C34" s="70">
        <f t="shared" si="1"/>
        <v>1.826923076923077E-4</v>
      </c>
      <c r="F34" s="71">
        <v>37841</v>
      </c>
      <c r="G34" s="69">
        <v>1.0302383616326936E-2</v>
      </c>
      <c r="H34" s="70">
        <f>0.0209518687819306-(+G34/52)</f>
        <v>2.0753746020078158E-2</v>
      </c>
      <c r="I34" s="70">
        <f>0.0276182832211726-(+H34/52)</f>
        <v>2.7219172720786482E-2</v>
      </c>
      <c r="J34" s="70">
        <f>-0.0130698441944987-(+I34/52)</f>
        <v>-1.3593289823744595E-2</v>
      </c>
      <c r="K34" s="70">
        <f>0.0116888429993571-(+J34/52)</f>
        <v>1.1950252419044497E-2</v>
      </c>
      <c r="L34" s="70">
        <f>0.0161861583939583-(+K34/52)</f>
        <v>1.5956345847438214E-2</v>
      </c>
      <c r="M34" s="70">
        <f>0.00371419174214052-(+L34/52)</f>
        <v>3.4073389373820927E-3</v>
      </c>
      <c r="N34" s="70">
        <f>0.000419413368345265-(+M34/52)</f>
        <v>3.5388761954945552E-4</v>
      </c>
      <c r="P34" s="72" t="s">
        <v>397</v>
      </c>
      <c r="Q34" s="72">
        <v>728</v>
      </c>
      <c r="R34" s="72">
        <v>0.50156939268252654</v>
      </c>
      <c r="S34" s="72">
        <v>6.8896894599248149E-4</v>
      </c>
      <c r="T34" s="72"/>
      <c r="U34" s="72"/>
    </row>
    <row r="35" spans="1:24" ht="16.5" thickBot="1">
      <c r="A35" s="68">
        <v>0.94</v>
      </c>
      <c r="B35" s="69">
        <f t="shared" si="0"/>
        <v>9.3999999999999986E-3</v>
      </c>
      <c r="C35" s="70">
        <f t="shared" si="1"/>
        <v>1.8076923076923074E-4</v>
      </c>
      <c r="F35" s="71">
        <v>37848</v>
      </c>
      <c r="G35" s="69">
        <v>-9.5280136490847045E-3</v>
      </c>
      <c r="H35" s="70">
        <f>-0.0075850952877596-(+G35/52)</f>
        <v>-7.4018642560464325E-3</v>
      </c>
      <c r="I35" s="70">
        <f>-0.0104339815352572-(+H35/52)</f>
        <v>-1.0291637991871692E-2</v>
      </c>
      <c r="J35" s="70">
        <f>-0.00960137865949984-(+I35/52)</f>
        <v>-9.4034625442715389E-3</v>
      </c>
      <c r="K35" s="70">
        <f>0.022751343128382-(+J35/52)</f>
        <v>2.2932178946541069E-2</v>
      </c>
      <c r="L35" s="70">
        <f>0.0354150975298584-(+K35/52)</f>
        <v>3.4974094088578767E-2</v>
      </c>
      <c r="M35" s="70">
        <f>0.00335677749360617-(+L35/52)</f>
        <v>2.6841987611335013E-3</v>
      </c>
      <c r="N35" s="70">
        <f>0.0153112838693801-(+M35/52)</f>
        <v>1.5259664662435224E-2</v>
      </c>
      <c r="P35" s="76" t="s">
        <v>398</v>
      </c>
      <c r="Q35" s="76">
        <v>729</v>
      </c>
      <c r="R35" s="76">
        <v>0.58410055082967149</v>
      </c>
      <c r="S35" s="76"/>
      <c r="T35" s="76"/>
      <c r="U35" s="76"/>
    </row>
    <row r="36" spans="1:24" ht="16.5" thickBot="1">
      <c r="A36" s="68">
        <v>0.94</v>
      </c>
      <c r="B36" s="69">
        <f t="shared" si="0"/>
        <v>9.3999999999999986E-3</v>
      </c>
      <c r="C36" s="70">
        <f t="shared" si="1"/>
        <v>1.8076923076923074E-4</v>
      </c>
      <c r="F36" s="71">
        <v>37855</v>
      </c>
      <c r="G36" s="69">
        <v>-1.5605404015653566E-4</v>
      </c>
      <c r="H36" s="70">
        <f>0.00323768882095057-(+G36/52)</f>
        <v>3.2406898601843497E-3</v>
      </c>
      <c r="I36" s="70">
        <f>-0.0203594268598721-(+H36/52)</f>
        <v>-2.0421747818721799E-2</v>
      </c>
      <c r="J36" s="70">
        <f>-0.0230968410150181-(+I36/52)</f>
        <v>-2.2704115095427298E-2</v>
      </c>
      <c r="K36" s="70">
        <f>-0.018658507884208-(+J36/52)</f>
        <v>-1.8221890286219015E-2</v>
      </c>
      <c r="L36" s="70">
        <f>0.0558817416606049-(+K36/52)</f>
        <v>5.6232162627647575E-2</v>
      </c>
      <c r="M36" s="70">
        <f>-0.0341484785725666-(+L36/52)</f>
        <v>-3.5229866315405978E-2</v>
      </c>
      <c r="N36" s="70">
        <f>-0.0119655664569176-(+M36/52)</f>
        <v>-1.1288069027775178E-2</v>
      </c>
    </row>
    <row r="37" spans="1:24">
      <c r="A37" s="68">
        <v>0.95</v>
      </c>
      <c r="B37" s="69">
        <f t="shared" si="0"/>
        <v>9.4999999999999998E-3</v>
      </c>
      <c r="C37" s="70">
        <f t="shared" si="1"/>
        <v>1.826923076923077E-4</v>
      </c>
      <c r="F37" s="71">
        <v>37862</v>
      </c>
      <c r="G37" s="69">
        <v>3.0683921448764286E-3</v>
      </c>
      <c r="H37" s="70">
        <f>-0.00634866889575486-(+G37/52)</f>
        <v>-6.4076764370024838E-3</v>
      </c>
      <c r="I37" s="70">
        <f>-0.0154113126471925-(+H37/52)</f>
        <v>-1.5288088100327066E-2</v>
      </c>
      <c r="J37" s="70">
        <f>-0.00262934690415608-(+I37/52)</f>
        <v>-2.3353452099190214E-3</v>
      </c>
      <c r="K37" s="70">
        <f>0.0152432297612308-(+J37/52)</f>
        <v>1.5288140246036934E-2</v>
      </c>
      <c r="L37" s="70">
        <f>0.0402459042323226-(+K37/52)</f>
        <v>3.9951901535283427E-2</v>
      </c>
      <c r="M37" s="70">
        <f>-0.00818948809513997-(+L37/52)</f>
        <v>-8.9577938938954216E-3</v>
      </c>
      <c r="N37" s="70">
        <f>0.0083855728172981-(+M37/52)</f>
        <v>8.5578380844883971E-3</v>
      </c>
      <c r="P37" s="77"/>
      <c r="Q37" s="77" t="s">
        <v>399</v>
      </c>
      <c r="R37" s="77" t="s">
        <v>387</v>
      </c>
      <c r="S37" s="77" t="s">
        <v>384</v>
      </c>
      <c r="T37" s="77" t="s">
        <v>400</v>
      </c>
      <c r="U37" s="77" t="s">
        <v>401</v>
      </c>
      <c r="V37" s="77" t="s">
        <v>402</v>
      </c>
      <c r="W37" s="77" t="s">
        <v>403</v>
      </c>
      <c r="X37" s="77" t="s">
        <v>404</v>
      </c>
    </row>
    <row r="38" spans="1:24">
      <c r="A38" s="68">
        <v>0.98</v>
      </c>
      <c r="B38" s="69">
        <f t="shared" si="0"/>
        <v>9.7999999999999997E-3</v>
      </c>
      <c r="C38" s="70">
        <f t="shared" si="1"/>
        <v>1.8846153846153844E-4</v>
      </c>
      <c r="F38" s="71">
        <v>37869</v>
      </c>
      <c r="G38" s="69">
        <v>-8.5024532629839858E-4</v>
      </c>
      <c r="H38" s="70">
        <f>0.00431273160966047-(+G38/52)</f>
        <v>4.3290824813200547E-3</v>
      </c>
      <c r="I38" s="70">
        <f>0.0383655056651279-(+H38/52)</f>
        <v>3.8282254078948669E-2</v>
      </c>
      <c r="J38" s="70">
        <f>0.0066332171102985-(+I38/52)</f>
        <v>5.8970199164725635E-3</v>
      </c>
      <c r="K38" s="70">
        <f>0.0399501096076801-(+J38/52)</f>
        <v>3.9836705378517162E-2</v>
      </c>
      <c r="L38" s="70">
        <f>0.00171650036661472-(+K38/52)</f>
        <v>9.5040987856631306E-4</v>
      </c>
      <c r="M38" s="70">
        <f>0.0104024613337768-(+L38/52)</f>
        <v>1.0384184220727448E-2</v>
      </c>
      <c r="N38" s="70">
        <f>0.0115412683682754-(+M38/52)</f>
        <v>1.1341572517876795E-2</v>
      </c>
      <c r="P38" s="72" t="s">
        <v>405</v>
      </c>
      <c r="Q38" s="72">
        <v>1.4990310777485507E-3</v>
      </c>
      <c r="R38" s="72">
        <v>9.7702628958054008E-4</v>
      </c>
      <c r="S38" s="72">
        <v>1.5342791629405585</v>
      </c>
      <c r="T38" s="72">
        <v>0.12539544318902865</v>
      </c>
      <c r="U38" s="72">
        <v>-4.1909422340156315E-4</v>
      </c>
      <c r="V38" s="72">
        <v>3.4171563788986644E-3</v>
      </c>
      <c r="W38" s="72">
        <v>-4.1909422340156315E-4</v>
      </c>
      <c r="X38" s="72">
        <v>3.4171563788986644E-3</v>
      </c>
    </row>
    <row r="39" spans="1:24" ht="16.5" thickBot="1">
      <c r="A39" s="68">
        <v>0.95</v>
      </c>
      <c r="B39" s="69">
        <f t="shared" si="0"/>
        <v>9.4999999999999998E-3</v>
      </c>
      <c r="C39" s="70">
        <f t="shared" si="1"/>
        <v>1.826923076923077E-4</v>
      </c>
      <c r="F39" s="71">
        <v>37876</v>
      </c>
      <c r="G39" s="69">
        <v>1.0501214543984215E-2</v>
      </c>
      <c r="H39" s="70">
        <f>0.0170071994316796-(+G39/52)</f>
        <v>1.6805252998141441E-2</v>
      </c>
      <c r="I39" s="70">
        <f>0.0234700991139356-(+H39/52)</f>
        <v>2.3146921171663646E-2</v>
      </c>
      <c r="J39" s="70">
        <f>0.0182478668581566-(+I39/52)</f>
        <v>1.780273375870153E-2</v>
      </c>
      <c r="K39" s="70">
        <f>0.0239596583681629-(+J39/52)</f>
        <v>2.3617298103572486E-2</v>
      </c>
      <c r="L39" s="70">
        <f>-0.0456960321663367-(+K39/52)</f>
        <v>-4.6150210976020782E-2</v>
      </c>
      <c r="M39" s="70">
        <f>0.0150521351976366-(+L39/52)</f>
        <v>1.5939639254867768E-2</v>
      </c>
      <c r="N39" s="70">
        <f>0.0000712542529881604-(+M39/52)</f>
        <v>-2.3527727114391206E-4</v>
      </c>
      <c r="P39" s="76" t="s">
        <v>406</v>
      </c>
      <c r="Q39" s="76">
        <v>1.8510102398461534</v>
      </c>
      <c r="R39" s="76">
        <v>0.16912183228414526</v>
      </c>
      <c r="S39" s="76">
        <v>10.944833170540814</v>
      </c>
      <c r="T39" s="76">
        <v>6.4731873132571037E-26</v>
      </c>
      <c r="U39" s="76">
        <v>1.5189855349425052</v>
      </c>
      <c r="V39" s="76">
        <v>2.1830349447498016</v>
      </c>
      <c r="W39" s="76">
        <v>1.5189855349425052</v>
      </c>
      <c r="X39" s="76">
        <v>2.1830349447498016</v>
      </c>
    </row>
    <row r="40" spans="1:24">
      <c r="A40" s="68">
        <v>0.94</v>
      </c>
      <c r="B40" s="69">
        <f t="shared" si="0"/>
        <v>9.3999999999999986E-3</v>
      </c>
      <c r="C40" s="70">
        <f t="shared" si="1"/>
        <v>1.8076923076923074E-4</v>
      </c>
      <c r="F40" s="71">
        <v>37883</v>
      </c>
      <c r="G40" s="69">
        <v>1.0474470713667913E-2</v>
      </c>
      <c r="H40" s="70">
        <f>0.0269503841863278-(+G40/52)</f>
        <v>2.6748952057218802E-2</v>
      </c>
      <c r="I40" s="70">
        <f>0.0421618953603159-(+H40/52)</f>
        <v>4.1647492436138613E-2</v>
      </c>
      <c r="J40" s="70">
        <f>0.021498796980005-(+I40/52)</f>
        <v>2.0697883663925411E-2</v>
      </c>
      <c r="K40" s="70">
        <f>0.0385990753968606-(+J40/52)</f>
        <v>3.8201039172554345E-2</v>
      </c>
      <c r="L40" s="70">
        <f>-0.0281182841307543-(+K40/52)</f>
        <v>-2.8852919499457268E-2</v>
      </c>
      <c r="M40" s="70">
        <f>0.00308902221501536-(+L40/52)</f>
        <v>3.6438860515433844E-3</v>
      </c>
      <c r="N40" s="70">
        <f>0.0128871947418108-(+M40/52)</f>
        <v>1.2817120010050351E-2</v>
      </c>
    </row>
    <row r="41" spans="1:24">
      <c r="A41" s="68">
        <v>0.93</v>
      </c>
      <c r="B41" s="69">
        <f t="shared" si="0"/>
        <v>9.300000000000001E-3</v>
      </c>
      <c r="C41" s="70">
        <f t="shared" si="1"/>
        <v>1.7884615384615386E-4</v>
      </c>
      <c r="F41" s="71">
        <v>37890</v>
      </c>
      <c r="G41" s="69">
        <v>6.6954062866144285E-3</v>
      </c>
      <c r="H41" s="70">
        <f>0.00518771192463099-(+G41/52)</f>
        <v>5.0589541114268661E-3</v>
      </c>
      <c r="I41" s="70">
        <f>-0.00960491043942001-(+H41/52)</f>
        <v>-9.7021980184859111E-3</v>
      </c>
      <c r="J41" s="70">
        <f>0.0140714945632862-(+I41/52)</f>
        <v>1.4258075294410928E-2</v>
      </c>
      <c r="K41" s="70">
        <f>0.00632224661887948-(+J41/52)</f>
        <v>6.0480528632177316E-3</v>
      </c>
      <c r="L41" s="70">
        <f>-0.0565542975810763-(+K41/52)</f>
        <v>-5.6670606289984334E-2</v>
      </c>
      <c r="M41" s="70">
        <f>0.0145084504651595-(+L41/52)</f>
        <v>1.5598269816889969E-2</v>
      </c>
      <c r="N41" s="70">
        <f>-0.0128023635132639-(+M41/52)</f>
        <v>-1.3102330240511785E-2</v>
      </c>
    </row>
    <row r="42" spans="1:24">
      <c r="A42" s="68">
        <v>0.93</v>
      </c>
      <c r="B42" s="69">
        <f t="shared" si="0"/>
        <v>9.300000000000001E-3</v>
      </c>
      <c r="C42" s="70">
        <f t="shared" si="1"/>
        <v>1.7884615384615386E-4</v>
      </c>
      <c r="F42" s="71">
        <v>37897</v>
      </c>
      <c r="G42" s="69">
        <v>8.2934996966285372E-3</v>
      </c>
      <c r="H42" s="70">
        <f>0.00562552392110132-(+G42/52)</f>
        <v>5.4660335423200018E-3</v>
      </c>
      <c r="I42" s="70">
        <f>-0.00263970848436737-(+H42/52)</f>
        <v>-2.74482451402737E-3</v>
      </c>
      <c r="J42" s="70">
        <f>-0.0020423895958272-(+I42/52)</f>
        <v>-1.9896045090189813E-3</v>
      </c>
      <c r="K42" s="70">
        <f>-0.00681739071374598-(+J42/52)</f>
        <v>-6.7791290885725383E-3</v>
      </c>
      <c r="L42" s="70">
        <f>0.0979387603264368-(+K42/52)</f>
        <v>9.8069128193524729E-2</v>
      </c>
      <c r="M42" s="70">
        <f>0.021941425794321-(+L42/52)</f>
        <v>2.0055481021368601E-2</v>
      </c>
      <c r="N42" s="70">
        <f>0.019604000961941-(+M42/52)</f>
        <v>1.9218318634606987E-2</v>
      </c>
      <c r="P42" s="63" t="s">
        <v>369</v>
      </c>
    </row>
    <row r="43" spans="1:24" ht="16.5" thickBot="1">
      <c r="A43" s="68">
        <v>0.93</v>
      </c>
      <c r="B43" s="69">
        <f t="shared" si="0"/>
        <v>9.300000000000001E-3</v>
      </c>
      <c r="C43" s="70">
        <f t="shared" si="1"/>
        <v>1.7884615384615386E-4</v>
      </c>
      <c r="F43" s="71">
        <v>37904</v>
      </c>
      <c r="G43" s="69">
        <v>-4.8415181367395957E-3</v>
      </c>
      <c r="H43" s="70">
        <f>-0.00593552274781569-(+G43/52)</f>
        <v>-5.8424166298014666E-3</v>
      </c>
      <c r="I43" s="70">
        <f>0.0225640337165926-(+H43/52)</f>
        <v>2.267638788255032E-2</v>
      </c>
      <c r="J43" s="70">
        <f>-0.000431384745031501-(+I43/52)</f>
        <v>-8.6746912738823792E-4</v>
      </c>
      <c r="K43" s="70">
        <f>-0.000188059905628143-(+J43/52)</f>
        <v>-1.7137780702452304E-4</v>
      </c>
      <c r="L43" s="70">
        <f>0.0499942067251143-(+K43/52)</f>
        <v>4.9997502452172465E-2</v>
      </c>
      <c r="M43" s="70">
        <f>0.03436501130428-(+L43/52)</f>
        <v>3.3403520872507447E-2</v>
      </c>
      <c r="N43" s="70">
        <f>0.0117406572671524-(+M43/52)</f>
        <v>1.1098281865758028E-2</v>
      </c>
    </row>
    <row r="44" spans="1:24">
      <c r="A44" s="68">
        <v>0.9</v>
      </c>
      <c r="B44" s="69">
        <f t="shared" si="0"/>
        <v>9.0000000000000011E-3</v>
      </c>
      <c r="C44" s="70">
        <f t="shared" si="1"/>
        <v>1.7307692307692309E-4</v>
      </c>
      <c r="F44" s="71">
        <v>37911</v>
      </c>
      <c r="G44" s="69">
        <v>-4.2296518791015824E-3</v>
      </c>
      <c r="H44" s="70">
        <f>-0.0057486941674496-(+G44/52)</f>
        <v>-5.6673547082361081E-3</v>
      </c>
      <c r="I44" s="70">
        <f>0.00217566629780386-(+H44/52)</f>
        <v>2.284653888346862E-3</v>
      </c>
      <c r="J44" s="70">
        <f>0.017784736440644-(+I44/52)</f>
        <v>1.7740800788945021E-2</v>
      </c>
      <c r="K44" s="70">
        <f>0.0251278192917359-(+J44/52)</f>
        <v>2.478665004579465E-2</v>
      </c>
      <c r="L44" s="70">
        <f>0.00400264836884548-(+K44/52)</f>
        <v>3.525982021810968E-3</v>
      </c>
      <c r="M44" s="70">
        <f>-0.00994889883778776-(+L44/52)</f>
        <v>-1.0016706184361047E-2</v>
      </c>
      <c r="N44" s="70">
        <f>-0.00254709975996827-(+M44/52)</f>
        <v>-2.3544707948844035E-3</v>
      </c>
      <c r="P44" s="65" t="s">
        <v>379</v>
      </c>
      <c r="Q44" s="65"/>
    </row>
    <row r="45" spans="1:24">
      <c r="A45" s="68">
        <v>0.91</v>
      </c>
      <c r="B45" s="69">
        <f t="shared" si="0"/>
        <v>9.1000000000000004E-3</v>
      </c>
      <c r="C45" s="70">
        <f t="shared" si="1"/>
        <v>1.75E-4</v>
      </c>
      <c r="F45" s="71">
        <v>37918</v>
      </c>
      <c r="G45" s="69">
        <v>3.726524038404296E-3</v>
      </c>
      <c r="H45" s="70">
        <f>0.0130169698201402-(+G45/52)</f>
        <v>1.2945305896324734E-2</v>
      </c>
      <c r="I45" s="70">
        <f>-0.000177792749798865-(+H45/52)</f>
        <v>-4.2674094011280216E-4</v>
      </c>
      <c r="J45" s="70">
        <f>0.0167541022404543-(+I45/52)</f>
        <v>1.6762308796994928E-2</v>
      </c>
      <c r="K45" s="70">
        <f>0.00929099840701921-(+J45/52)</f>
        <v>8.9686463147693081E-3</v>
      </c>
      <c r="L45" s="70">
        <f>-0.019017548767856-(+K45/52)</f>
        <v>-1.9190022735447718E-2</v>
      </c>
      <c r="M45" s="70">
        <f>0.0124697391860413-(+L45/52)</f>
        <v>1.2838778084799909E-2</v>
      </c>
      <c r="N45" s="70">
        <f>-0.00799840724357921-(+M45/52)</f>
        <v>-8.2453068221330535E-3</v>
      </c>
      <c r="P45" s="72" t="s">
        <v>380</v>
      </c>
      <c r="Q45" s="72">
        <v>0.29175580577202931</v>
      </c>
    </row>
    <row r="46" spans="1:24">
      <c r="A46" s="68">
        <v>0.93</v>
      </c>
      <c r="B46" s="69">
        <f t="shared" si="0"/>
        <v>9.300000000000001E-3</v>
      </c>
      <c r="C46" s="70">
        <f t="shared" si="1"/>
        <v>1.7884615384615386E-4</v>
      </c>
      <c r="F46" s="71">
        <v>37925</v>
      </c>
      <c r="G46" s="69">
        <v>1.2171199413528188E-3</v>
      </c>
      <c r="H46" s="70">
        <f>-0.00906802018236347-(+G46/52)</f>
        <v>-9.0914263350817936E-3</v>
      </c>
      <c r="I46" s="70">
        <f>-0.000645783222739108-(+H46/52)</f>
        <v>-4.7094810091061201E-4</v>
      </c>
      <c r="J46" s="70">
        <f>0.00817597253338771-(+I46/52)</f>
        <v>8.1850292276359916E-3</v>
      </c>
      <c r="K46" s="70">
        <f>0.0172623228525388-(+J46/52)</f>
        <v>1.7104918444315029E-2</v>
      </c>
      <c r="L46" s="70">
        <f>0.104716183595381-(+K46/52)</f>
        <v>0.10438724285606725</v>
      </c>
      <c r="M46" s="70">
        <f>-0.0114665102709856-(+L46/52)</f>
        <v>-1.3473957248986892E-2</v>
      </c>
      <c r="N46" s="70">
        <f>0.0108028865871429-(+M46/52)</f>
        <v>1.1062001149623416E-2</v>
      </c>
      <c r="P46" s="72" t="s">
        <v>382</v>
      </c>
      <c r="Q46" s="72">
        <v>8.51214502016861E-2</v>
      </c>
    </row>
    <row r="47" spans="1:24">
      <c r="A47" s="68">
        <v>0.94</v>
      </c>
      <c r="B47" s="69">
        <f t="shared" si="0"/>
        <v>9.3999999999999986E-3</v>
      </c>
      <c r="C47" s="70">
        <f t="shared" si="1"/>
        <v>1.8076923076923074E-4</v>
      </c>
      <c r="F47" s="71">
        <v>37932</v>
      </c>
      <c r="G47" s="69">
        <v>-6.8285988265614867E-3</v>
      </c>
      <c r="H47" s="70">
        <f>0.0095964043851924-(+G47/52)</f>
        <v>9.7277235933955052E-3</v>
      </c>
      <c r="I47" s="70">
        <f>0.0113693832062785-(+H47/52)</f>
        <v>1.1182311598713201E-2</v>
      </c>
      <c r="J47" s="70">
        <f>0.00954304954304961-(+I47/52)</f>
        <v>9.3280050892282015E-3</v>
      </c>
      <c r="K47" s="70">
        <f>0.0166607096438783-(+J47/52)</f>
        <v>1.6481324930623913E-2</v>
      </c>
      <c r="L47" s="70">
        <f>0.00422580228777253-(+K47/52)</f>
        <v>3.9088537314143773E-3</v>
      </c>
      <c r="M47" s="70">
        <f>-0.00688364734428121-(+L47/52)</f>
        <v>-6.9588176083468711E-3</v>
      </c>
      <c r="N47" s="70">
        <f>0.00791629617479741-(+M47/52)</f>
        <v>8.0501195903425436E-3</v>
      </c>
      <c r="P47" s="72" t="s">
        <v>386</v>
      </c>
      <c r="Q47" s="72">
        <v>8.3864748897018088E-2</v>
      </c>
      <c r="T47" s="63" t="s">
        <v>375</v>
      </c>
    </row>
    <row r="48" spans="1:24">
      <c r="A48" s="68">
        <v>0.94</v>
      </c>
      <c r="B48" s="69">
        <f t="shared" si="0"/>
        <v>9.3999999999999986E-3</v>
      </c>
      <c r="C48" s="70">
        <f t="shared" si="1"/>
        <v>1.8076923076923074E-4</v>
      </c>
      <c r="F48" s="71">
        <v>37939</v>
      </c>
      <c r="G48" s="69">
        <v>1.0420813412415511E-2</v>
      </c>
      <c r="H48" s="70">
        <f>-0.00696846643605559-(+G48/52)</f>
        <v>-7.1688666939866575E-3</v>
      </c>
      <c r="I48" s="70">
        <f>0.0209274761093413-(+H48/52)</f>
        <v>2.1065338930379505E-2</v>
      </c>
      <c r="J48" s="70">
        <f>0.00558403689657134-(+I48/52)</f>
        <v>5.1789342248332731E-3</v>
      </c>
      <c r="K48" s="70">
        <f>-0.00657584595102075-(+J48/52)</f>
        <v>-6.675440839959852E-3</v>
      </c>
      <c r="L48" s="70">
        <f>-0.0748568508096232-(+K48/52)</f>
        <v>-7.4728476947316283E-2</v>
      </c>
      <c r="M48" s="70">
        <f>0.0215906131764777-(+L48/52)</f>
        <v>2.3027699271618397E-2</v>
      </c>
      <c r="N48" s="70">
        <f>0.0103379755725713-(+M48/52)</f>
        <v>9.8951352019632545E-3</v>
      </c>
      <c r="P48" s="72" t="s">
        <v>387</v>
      </c>
      <c r="Q48" s="72">
        <v>2.4616840129870914E-2</v>
      </c>
    </row>
    <row r="49" spans="1:24" ht="16.5" thickBot="1">
      <c r="A49" s="68">
        <v>0.93</v>
      </c>
      <c r="B49" s="69">
        <f t="shared" si="0"/>
        <v>9.300000000000001E-3</v>
      </c>
      <c r="C49" s="70">
        <f t="shared" si="1"/>
        <v>1.7884615384615386E-4</v>
      </c>
      <c r="F49" s="71">
        <v>37946</v>
      </c>
      <c r="G49" s="69">
        <v>5.6260841057338643E-3</v>
      </c>
      <c r="H49" s="70">
        <f>0.0146708400646203-(+G49/52)</f>
        <v>1.4562646139510032E-2</v>
      </c>
      <c r="I49" s="70">
        <f>-0.020362442404673-(+H49/52)</f>
        <v>-2.0642493291971271E-2</v>
      </c>
      <c r="J49" s="70">
        <f>0.0204211204609203-(+I49/52)</f>
        <v>2.08180914857659E-2</v>
      </c>
      <c r="K49" s="70">
        <f>-0.000184988578966009-(+J49/52)</f>
        <v>-5.8533649215381477E-4</v>
      </c>
      <c r="L49" s="70">
        <f>-0.00245784774575991-(+K49/52)</f>
        <v>-2.4465912747569521E-3</v>
      </c>
      <c r="M49" s="70">
        <f>0.0211268133598231-(+L49/52)</f>
        <v>2.1173863192029962E-2</v>
      </c>
      <c r="N49" s="70">
        <f>-0.00310272039063746-(+M49/52)</f>
        <v>-3.509910067407267E-3</v>
      </c>
      <c r="P49" s="76" t="s">
        <v>388</v>
      </c>
      <c r="Q49" s="76">
        <v>730</v>
      </c>
    </row>
    <row r="50" spans="1:24">
      <c r="A50" s="68">
        <v>0.93</v>
      </c>
      <c r="B50" s="69">
        <f t="shared" si="0"/>
        <v>9.300000000000001E-3</v>
      </c>
      <c r="C50" s="70">
        <f t="shared" si="1"/>
        <v>1.7884615384615386E-4</v>
      </c>
      <c r="F50" s="71">
        <v>37953</v>
      </c>
      <c r="G50" s="69">
        <v>-5.1405965074492169E-4</v>
      </c>
      <c r="H50" s="70">
        <f>0.0137024469366026-(+G50/52)</f>
        <v>1.3712332699116925E-2</v>
      </c>
      <c r="I50" s="70">
        <f>0.0102585943503663-(+H50/52)</f>
        <v>9.9948956446140515E-3</v>
      </c>
      <c r="J50" s="70">
        <f>0.0234948877724434-(+I50/52)</f>
        <v>2.3302678240816208E-2</v>
      </c>
      <c r="K50" s="70">
        <f>-0.000925114030359719-(+J50/52)</f>
        <v>-1.3732424580677229E-3</v>
      </c>
      <c r="L50" s="70">
        <f>0.0549553313834339-(+K50/52)</f>
        <v>5.4981739892242892E-2</v>
      </c>
      <c r="M50" s="70">
        <f>0.0165561698347319-(+L50/52)</f>
        <v>1.5498828682957998E-2</v>
      </c>
      <c r="N50" s="70">
        <f>0.00937114673242908-(+M50/52)</f>
        <v>9.0730923346798876E-3</v>
      </c>
    </row>
    <row r="51" spans="1:24" ht="16.5" thickBot="1">
      <c r="A51" s="68">
        <v>0.93</v>
      </c>
      <c r="B51" s="69">
        <f t="shared" si="0"/>
        <v>9.300000000000001E-3</v>
      </c>
      <c r="C51" s="70">
        <f t="shared" si="1"/>
        <v>1.7884615384615386E-4</v>
      </c>
      <c r="F51" s="71">
        <v>37960</v>
      </c>
      <c r="G51" s="69">
        <v>2.1447985102257633E-4</v>
      </c>
      <c r="H51" s="70">
        <f>-0.00160007853146166-(+G51/52)</f>
        <v>-1.6042031439813249E-3</v>
      </c>
      <c r="I51" s="70">
        <f>0.00366585712321862-(+H51/52)</f>
        <v>3.6967071836797993E-3</v>
      </c>
      <c r="J51" s="70">
        <f>0.00953608013573715-(+I51/52)</f>
        <v>9.4649896129740761E-3</v>
      </c>
      <c r="K51" s="70">
        <f>0.0247274425495596-(+J51/52)</f>
        <v>2.454542351854087E-2</v>
      </c>
      <c r="L51" s="70">
        <f>-0.0123598825622553-(+K51/52)</f>
        <v>-1.2831909937611855E-2</v>
      </c>
      <c r="M51" s="70">
        <f>0.0294313076889743-(+L51/52)</f>
        <v>2.967807518777453E-2</v>
      </c>
      <c r="N51" s="70">
        <f>0.00673142539407062-(+M51/52)</f>
        <v>6.1606931789211098E-3</v>
      </c>
      <c r="P51" s="63" t="s">
        <v>389</v>
      </c>
    </row>
    <row r="52" spans="1:24">
      <c r="A52" s="68">
        <v>0.92</v>
      </c>
      <c r="B52" s="69">
        <f t="shared" si="0"/>
        <v>9.1999999999999998E-3</v>
      </c>
      <c r="C52" s="70">
        <f t="shared" si="1"/>
        <v>1.7692307692307693E-4</v>
      </c>
      <c r="F52" s="71">
        <v>37967</v>
      </c>
      <c r="G52" s="69">
        <v>7.4581148985202591E-3</v>
      </c>
      <c r="H52" s="70">
        <f>0.00580097731719545-(+G52/52)</f>
        <v>5.6575520306854452E-3</v>
      </c>
      <c r="I52" s="70">
        <f>0.0173766150755604-(+H52/52)</f>
        <v>1.7267815998047217E-2</v>
      </c>
      <c r="J52" s="70">
        <f>0.0304950388265745-(+I52/52)</f>
        <v>3.0162965441996668E-2</v>
      </c>
      <c r="K52" s="70">
        <f>0.00106077869013469-(+J52/52)</f>
        <v>4.8072166240398478E-4</v>
      </c>
      <c r="L52" s="70">
        <f>-0.0292876375742376-(+K52/52)</f>
        <v>-2.9296882221591523E-2</v>
      </c>
      <c r="M52" s="70">
        <f>0.00110851522103664-(+L52/52)</f>
        <v>1.6719168022210924E-3</v>
      </c>
      <c r="N52" s="70">
        <f>0.0132556738300863-(+M52/52)</f>
        <v>1.3223521583889741E-2</v>
      </c>
      <c r="P52" s="77"/>
      <c r="Q52" s="77" t="s">
        <v>390</v>
      </c>
      <c r="R52" s="77" t="s">
        <v>391</v>
      </c>
      <c r="S52" s="77" t="s">
        <v>392</v>
      </c>
      <c r="T52" s="77" t="s">
        <v>393</v>
      </c>
      <c r="U52" s="77" t="s">
        <v>394</v>
      </c>
    </row>
    <row r="53" spans="1:24">
      <c r="A53" s="68">
        <v>0.9</v>
      </c>
      <c r="B53" s="69">
        <f t="shared" si="0"/>
        <v>9.0000000000000011E-3</v>
      </c>
      <c r="C53" s="70">
        <f t="shared" si="1"/>
        <v>1.7307692307692309E-4</v>
      </c>
      <c r="F53" s="71">
        <v>37974</v>
      </c>
      <c r="G53" s="69">
        <v>8.4076502405684653E-3</v>
      </c>
      <c r="H53" s="70">
        <f>0.0235002003968835-(+G53/52)</f>
        <v>2.3338514815334107E-2</v>
      </c>
      <c r="I53" s="70">
        <f>0.0164874616309751-(+H53/52)</f>
        <v>1.6038644038372522E-2</v>
      </c>
      <c r="J53" s="70">
        <f>0.000601794918757734-(+I53/52)</f>
        <v>2.9335945648133931E-4</v>
      </c>
      <c r="K53" s="70">
        <f>0.00284929356357936-(+J53/52)</f>
        <v>2.8436520355701036E-3</v>
      </c>
      <c r="L53" s="70">
        <f>-0.0653918791312559-(+K53/52)</f>
        <v>-6.5446564747324548E-2</v>
      </c>
      <c r="M53" s="70">
        <f>0.00752675361445362-(+L53/52)</f>
        <v>8.7853413980560156E-3</v>
      </c>
      <c r="N53" s="70">
        <f>0.00683845391476707-(+M53/52)</f>
        <v>6.6695050417275312E-3</v>
      </c>
      <c r="P53" s="72" t="s">
        <v>395</v>
      </c>
      <c r="Q53" s="72">
        <v>1</v>
      </c>
      <c r="R53" s="72">
        <v>4.1046067829187016E-2</v>
      </c>
      <c r="S53" s="72">
        <v>4.1046067829187016E-2</v>
      </c>
      <c r="T53" s="72">
        <v>67.734035037206311</v>
      </c>
      <c r="U53" s="72">
        <v>8.6263051949456447E-16</v>
      </c>
    </row>
    <row r="54" spans="1:24">
      <c r="A54" s="68">
        <v>0.88</v>
      </c>
      <c r="B54" s="69">
        <f t="shared" si="0"/>
        <v>8.8000000000000005E-3</v>
      </c>
      <c r="C54" s="70">
        <f t="shared" si="1"/>
        <v>1.6923076923076923E-4</v>
      </c>
      <c r="F54" s="71">
        <v>37981</v>
      </c>
      <c r="G54" s="69">
        <v>1.6808824451290877E-3</v>
      </c>
      <c r="H54" s="70">
        <f>0.0131899408792657-(+G54/52)</f>
        <v>1.3157616216859371E-2</v>
      </c>
      <c r="I54" s="70">
        <f>0.0209968654805527-(+H54/52)</f>
        <v>2.074383439945925E-2</v>
      </c>
      <c r="J54" s="70">
        <f>0.00494221013545323-(+I54/52)</f>
        <v>4.5432902431559365E-3</v>
      </c>
      <c r="K54" s="70">
        <f>0.0318010691671297-(+J54/52)</f>
        <v>3.1713698200915165E-2</v>
      </c>
      <c r="L54" s="70">
        <f>0.0394424798630406-(+K54/52)</f>
        <v>3.883260105148454E-2</v>
      </c>
      <c r="M54" s="70">
        <f>0.00472994122352447-(+L54/52)</f>
        <v>3.9831604340728449E-3</v>
      </c>
      <c r="N54" s="70">
        <f>0.0215244282573744-(+M54/52)</f>
        <v>2.1447829018257616E-2</v>
      </c>
      <c r="P54" s="72" t="s">
        <v>397</v>
      </c>
      <c r="Q54" s="72">
        <v>728</v>
      </c>
      <c r="R54" s="72">
        <v>0.44115985948916553</v>
      </c>
      <c r="S54" s="72">
        <v>6.0598881797962296E-4</v>
      </c>
      <c r="T54" s="72"/>
      <c r="U54" s="72"/>
    </row>
    <row r="55" spans="1:24" ht="16.5" thickBot="1">
      <c r="A55" s="68">
        <v>0.88</v>
      </c>
      <c r="B55" s="69">
        <f t="shared" si="0"/>
        <v>8.8000000000000005E-3</v>
      </c>
      <c r="C55" s="70">
        <f t="shared" si="1"/>
        <v>1.6923076923076923E-4</v>
      </c>
      <c r="F55" s="71">
        <v>37988</v>
      </c>
      <c r="G55" s="69">
        <v>2.5176274475766573E-3</v>
      </c>
      <c r="H55" s="70">
        <f>0.0160630455685224-(+G55/52)</f>
        <v>1.6014629656069004E-2</v>
      </c>
      <c r="I55" s="70">
        <f>0.0205650636064099-(+H55/52)</f>
        <v>2.0257089959177802E-2</v>
      </c>
      <c r="J55" s="70">
        <f>0.0244247265662268-(+I55/52)</f>
        <v>2.4035167143934919E-2</v>
      </c>
      <c r="K55" s="70">
        <f>0.030714730022909-(+J55/52)</f>
        <v>3.0252515270141021E-2</v>
      </c>
      <c r="L55" s="70">
        <f>0.00671637005511477-(+K55/52)</f>
        <v>6.1345909153043658E-3</v>
      </c>
      <c r="M55" s="70">
        <f>0.0365883208141507-(+L55/52)</f>
        <v>3.6470347911933307E-2</v>
      </c>
      <c r="N55" s="70">
        <f>0.0114749622586965-(+M55/52)</f>
        <v>1.0773609414236244E-2</v>
      </c>
      <c r="P55" s="76" t="s">
        <v>398</v>
      </c>
      <c r="Q55" s="76">
        <v>729</v>
      </c>
      <c r="R55" s="76">
        <v>0.48220592731835255</v>
      </c>
      <c r="S55" s="76"/>
      <c r="T55" s="76"/>
      <c r="U55" s="76"/>
    </row>
    <row r="56" spans="1:24" ht="16.5" thickBot="1">
      <c r="A56" s="68">
        <v>0.91</v>
      </c>
      <c r="B56" s="69">
        <f t="shared" si="0"/>
        <v>9.1000000000000004E-3</v>
      </c>
      <c r="C56" s="70">
        <f t="shared" si="1"/>
        <v>1.75E-4</v>
      </c>
      <c r="F56" s="71">
        <v>37995</v>
      </c>
      <c r="G56" s="69">
        <v>5.4643200158383002E-3</v>
      </c>
      <c r="H56" s="70">
        <f>0.00321006438684063-(+G56/52)</f>
        <v>3.1049813096129704E-3</v>
      </c>
      <c r="I56" s="70">
        <f>0.019616815381617-(+H56/52)</f>
        <v>1.9557104202585981E-2</v>
      </c>
      <c r="J56" s="70">
        <f>-0.00518165423464756-(+I56/52)</f>
        <v>-5.5577523923895982E-3</v>
      </c>
      <c r="K56" s="70">
        <f>0.0260091996320147-(+J56/52)</f>
        <v>2.61160794857145E-2</v>
      </c>
      <c r="L56" s="70">
        <f>0.173064995759033-(+K56/52)</f>
        <v>0.17256276346123081</v>
      </c>
      <c r="M56" s="70">
        <f>-0.0030388031790556-(+L56/52)</f>
        <v>-6.3573178610023462E-3</v>
      </c>
      <c r="N56" s="70">
        <f>-0.00385833710434174-(+M56/52)</f>
        <v>-3.7360809916301566E-3</v>
      </c>
    </row>
    <row r="57" spans="1:24">
      <c r="A57" s="68">
        <v>0.88</v>
      </c>
      <c r="B57" s="69">
        <f t="shared" si="0"/>
        <v>8.8000000000000005E-3</v>
      </c>
      <c r="C57" s="70">
        <f t="shared" si="1"/>
        <v>1.6923076923076923E-4</v>
      </c>
      <c r="F57" s="71">
        <v>38002</v>
      </c>
      <c r="G57" s="69">
        <v>8.0660796160900456E-3</v>
      </c>
      <c r="H57" s="70">
        <f>-0.00642732956016725-(+G57/52)</f>
        <v>-6.5824464758612892E-3</v>
      </c>
      <c r="I57" s="70">
        <f>0.020735335671426-(+H57/52)</f>
        <v>2.0861921180577177E-2</v>
      </c>
      <c r="J57" s="70">
        <f>-0.0343072589087381-(+I57/52)</f>
        <v>-3.4708449700672273E-2</v>
      </c>
      <c r="K57" s="70">
        <f>-0.00595370456713695-(+J57/52)</f>
        <v>-5.2862343805855604E-3</v>
      </c>
      <c r="L57" s="70">
        <f>-0.0405655281606617-(+K57/52)</f>
        <v>-4.0463869807188906E-2</v>
      </c>
      <c r="M57" s="70">
        <f>-0.0126946910065316-(+L57/52)</f>
        <v>-1.1916539664085658E-2</v>
      </c>
      <c r="N57" s="70">
        <f>-0.00508467822275362-(+M57/52)</f>
        <v>-4.85551399844428E-3</v>
      </c>
      <c r="P57" s="77"/>
      <c r="Q57" s="77" t="s">
        <v>399</v>
      </c>
      <c r="R57" s="77" t="s">
        <v>387</v>
      </c>
      <c r="S57" s="77" t="s">
        <v>384</v>
      </c>
      <c r="T57" s="77" t="s">
        <v>400</v>
      </c>
      <c r="U57" s="77" t="s">
        <v>401</v>
      </c>
      <c r="V57" s="77" t="s">
        <v>402</v>
      </c>
      <c r="W57" s="77" t="s">
        <v>403</v>
      </c>
      <c r="X57" s="77" t="s">
        <v>404</v>
      </c>
    </row>
    <row r="58" spans="1:24">
      <c r="A58" s="68">
        <v>0.87</v>
      </c>
      <c r="B58" s="69">
        <f t="shared" si="0"/>
        <v>8.6999999999999994E-3</v>
      </c>
      <c r="C58" s="70">
        <f t="shared" si="1"/>
        <v>1.673076923076923E-4</v>
      </c>
      <c r="F58" s="71">
        <v>38009</v>
      </c>
      <c r="G58" s="69">
        <v>-8.0427337051567976E-4</v>
      </c>
      <c r="H58" s="70">
        <f>0.0057522082708937-(+G58/52)</f>
        <v>5.7676750664805397E-3</v>
      </c>
      <c r="I58" s="70">
        <f>0.0175214336310566-(+H58/52)</f>
        <v>1.7410516802855051E-2</v>
      </c>
      <c r="J58" s="70">
        <f>0.020949006750921-(+I58/52)</f>
        <v>2.0614189120096865E-2</v>
      </c>
      <c r="K58" s="70">
        <f>0.00326889355530057-(+J58/52)</f>
        <v>2.8724668414525532E-3</v>
      </c>
      <c r="L58" s="70">
        <f>-0.0334069089598432-(+K58/52)</f>
        <v>-3.3462148706794211E-2</v>
      </c>
      <c r="M58" s="70">
        <f>0.0261840141131769-(+L58/52)</f>
        <v>2.6827516972922943E-2</v>
      </c>
      <c r="N58" s="70">
        <f>0.00857918726018731-(+M58/52)</f>
        <v>8.0632734722464842E-3</v>
      </c>
      <c r="P58" s="72" t="s">
        <v>405</v>
      </c>
      <c r="Q58" s="72">
        <v>1.0665705849366672E-3</v>
      </c>
      <c r="R58" s="72">
        <v>9.1630220426351097E-4</v>
      </c>
      <c r="S58" s="72">
        <v>1.1639943459417259</v>
      </c>
      <c r="T58" s="72">
        <v>0.24480763199267419</v>
      </c>
      <c r="U58" s="72">
        <v>-7.3233949582690258E-4</v>
      </c>
      <c r="V58" s="72">
        <v>2.8654806657002372E-3</v>
      </c>
      <c r="W58" s="72">
        <v>-7.3233949582690258E-4</v>
      </c>
      <c r="X58" s="72">
        <v>2.8654806657002372E-3</v>
      </c>
    </row>
    <row r="59" spans="1:24" ht="16.5" thickBot="1">
      <c r="A59" s="68">
        <v>0.87</v>
      </c>
      <c r="B59" s="69">
        <f t="shared" si="0"/>
        <v>8.6999999999999994E-3</v>
      </c>
      <c r="C59" s="70">
        <f t="shared" si="1"/>
        <v>1.673076923076923E-4</v>
      </c>
      <c r="F59" s="71">
        <v>38016</v>
      </c>
      <c r="G59" s="69">
        <v>-8.6765955237589724E-3</v>
      </c>
      <c r="H59" s="70">
        <f>0.000194345472213258-(+G59/52)</f>
        <v>3.6120307843939207E-4</v>
      </c>
      <c r="I59" s="70">
        <f>-0.00841781824874171-(+H59/52)</f>
        <v>-8.4247644617886207E-3</v>
      </c>
      <c r="J59" s="70">
        <f>-0.0114378943915472-(+I59/52)</f>
        <v>-1.1275879690358957E-2</v>
      </c>
      <c r="K59" s="70">
        <f>0.00945825421485708-(+J59/52)</f>
        <v>9.6750980550562894E-3</v>
      </c>
      <c r="L59" s="70">
        <f>-0.021547393788483-(+K59/52)</f>
        <v>-2.1733453366464851E-2</v>
      </c>
      <c r="M59" s="70">
        <f>-0.0313807946363042-(+L59/52)</f>
        <v>-3.096284361002603E-2</v>
      </c>
      <c r="N59" s="70">
        <f>-0.018990056231534-(+M59/52)</f>
        <v>-1.8394616931341191E-2</v>
      </c>
      <c r="P59" s="76" t="s">
        <v>406</v>
      </c>
      <c r="Q59" s="76">
        <v>1.3053760212029781</v>
      </c>
      <c r="R59" s="76">
        <v>0.15861058127471359</v>
      </c>
      <c r="S59" s="76">
        <v>8.2300689570140744</v>
      </c>
      <c r="T59" s="76">
        <v>8.6263051949441508E-16</v>
      </c>
      <c r="U59" s="76">
        <v>0.99398729787213536</v>
      </c>
      <c r="V59" s="76">
        <v>1.6167647445338209</v>
      </c>
      <c r="W59" s="76">
        <v>0.99398729787213536</v>
      </c>
      <c r="X59" s="76">
        <v>1.6167647445338209</v>
      </c>
    </row>
    <row r="60" spans="1:24">
      <c r="A60" s="68">
        <v>0.9</v>
      </c>
      <c r="B60" s="69">
        <f t="shared" si="0"/>
        <v>9.0000000000000011E-3</v>
      </c>
      <c r="C60" s="70">
        <f t="shared" si="1"/>
        <v>1.7307692307692309E-4</v>
      </c>
      <c r="F60" s="71">
        <v>38023</v>
      </c>
      <c r="G60" s="69">
        <v>5.5668042657810767E-3</v>
      </c>
      <c r="H60" s="70">
        <f>0.0109274954661534-(+G60/52)</f>
        <v>1.0820441537965303E-2</v>
      </c>
      <c r="I60" s="70">
        <f>0.0291798807304653-(+H60/52)</f>
        <v>2.8971795316273662E-2</v>
      </c>
      <c r="J60" s="70">
        <f>0.0139541382140799-(+I60/52)</f>
        <v>1.339698830415156E-2</v>
      </c>
      <c r="K60" s="70">
        <f>0.0179127448395761-(+J60/52)</f>
        <v>1.7655110449111649E-2</v>
      </c>
      <c r="L60" s="70">
        <f>0.0368407128144074-(+K60/52)</f>
        <v>3.6501191459616791E-2</v>
      </c>
      <c r="M60" s="70">
        <f>0.0131883434703364-(+L60/52)</f>
        <v>1.2486397480728384E-2</v>
      </c>
      <c r="N60" s="70">
        <f>0.0081770120712128-(+M60/52)</f>
        <v>7.9368890427372538E-3</v>
      </c>
    </row>
    <row r="61" spans="1:24">
      <c r="A61" s="68">
        <v>0.92</v>
      </c>
      <c r="B61" s="69">
        <f t="shared" si="0"/>
        <v>9.1999999999999998E-3</v>
      </c>
      <c r="C61" s="70">
        <f t="shared" si="1"/>
        <v>1.7692307692307693E-4</v>
      </c>
      <c r="F61" s="71">
        <v>38030</v>
      </c>
      <c r="G61" s="69">
        <v>8.4622247312524101E-3</v>
      </c>
      <c r="H61" s="70">
        <f>0.0183512269236753-(+G61/52)</f>
        <v>1.8188491832689679E-2</v>
      </c>
      <c r="I61" s="70">
        <f>0.0217583916824137-(+H61/52)</f>
        <v>2.1408612993323514E-2</v>
      </c>
      <c r="J61" s="70">
        <f>0.0348272417237933-(+I61/52)</f>
        <v>3.4415537627767848E-2</v>
      </c>
      <c r="K61" s="70">
        <f>0.000846977131617472-(+J61/52)</f>
        <v>1.8513986954501332E-4</v>
      </c>
      <c r="L61" s="70">
        <f>-0.00302552559394153-(+K61/52)</f>
        <v>-3.029085976048165E-3</v>
      </c>
      <c r="M61" s="70">
        <f>0.0150446353377126-(+L61/52)</f>
        <v>1.5102886991098142E-2</v>
      </c>
      <c r="N61" s="70">
        <f>0.0119170942847735-(+M61/52)</f>
        <v>1.1626654150329305E-2</v>
      </c>
      <c r="P61" s="63" t="s">
        <v>369</v>
      </c>
    </row>
    <row r="62" spans="1:24" ht="16.5" thickBot="1">
      <c r="A62" s="68">
        <v>0.92</v>
      </c>
      <c r="B62" s="69">
        <f t="shared" si="0"/>
        <v>9.1999999999999998E-3</v>
      </c>
      <c r="C62" s="70">
        <f t="shared" si="1"/>
        <v>1.7692307692307693E-4</v>
      </c>
      <c r="F62" s="71">
        <v>38037</v>
      </c>
      <c r="G62" s="69">
        <v>7.3443389725239331E-4</v>
      </c>
      <c r="H62" s="70">
        <f>0.00934730635796597-(+G62/52)</f>
        <v>9.3331826291726556E-3</v>
      </c>
      <c r="I62" s="70">
        <f>-0.0124163545951254-(+H62/52)</f>
        <v>-1.2595838876455642E-2</v>
      </c>
      <c r="J62" s="70">
        <f>0.0115013315579229-(+I62/52)</f>
        <v>1.1743559228623971E-2</v>
      </c>
      <c r="K62" s="70">
        <f>0.00897315746037974-(+J62/52)</f>
        <v>8.7473197829062016E-3</v>
      </c>
      <c r="L62" s="70">
        <f>-0.0396035380541921-(+K62/52)</f>
        <v>-3.9771755742324916E-2</v>
      </c>
      <c r="M62" s="70">
        <f>-0.00124122184019428-(+L62/52)</f>
        <v>-4.7638038361110858E-4</v>
      </c>
      <c r="N62" s="70">
        <f>-0.00703113220274413-(+M62/52)</f>
        <v>-7.0219710415208398E-3</v>
      </c>
    </row>
    <row r="63" spans="1:24">
      <c r="A63" s="68">
        <v>0.92</v>
      </c>
      <c r="B63" s="69">
        <f t="shared" si="0"/>
        <v>9.1999999999999998E-3</v>
      </c>
      <c r="C63" s="70">
        <f t="shared" si="1"/>
        <v>1.7692307692307693E-4</v>
      </c>
      <c r="F63" s="71">
        <v>38044</v>
      </c>
      <c r="G63" s="69">
        <v>-6.8936657209816704E-3</v>
      </c>
      <c r="H63" s="70">
        <f>0.0130540863030045-(+G63/52)</f>
        <v>1.3186656797638762E-2</v>
      </c>
      <c r="I63" s="70">
        <f>-0.0126035401805834-(+H63/52)</f>
        <v>-1.2857129734384146E-2</v>
      </c>
      <c r="J63" s="70">
        <f>-0.00015632456270265-(+I63/52)</f>
        <v>9.0927932189352814E-5</v>
      </c>
      <c r="K63" s="70">
        <f>0.0293626312688455-(+J63/52)</f>
        <v>2.9360882654764938E-2</v>
      </c>
      <c r="L63" s="70">
        <f>0.000342634158722078-(+K63/52)</f>
        <v>-2.2199820002340154E-4</v>
      </c>
      <c r="M63" s="70">
        <f>0.00832718596938943-(+L63/52)</f>
        <v>8.3314551655437261E-3</v>
      </c>
      <c r="N63" s="70">
        <f>0.0102857142857142-(+M63/52)</f>
        <v>1.0125493994069128E-2</v>
      </c>
      <c r="P63" s="65" t="s">
        <v>379</v>
      </c>
      <c r="Q63" s="65"/>
    </row>
    <row r="64" spans="1:24">
      <c r="A64" s="68">
        <v>0.94</v>
      </c>
      <c r="B64" s="69">
        <f t="shared" si="0"/>
        <v>9.3999999999999986E-3</v>
      </c>
      <c r="C64" s="70">
        <f t="shared" si="1"/>
        <v>1.8076923076923074E-4</v>
      </c>
      <c r="F64" s="71">
        <v>38051</v>
      </c>
      <c r="G64" s="69">
        <v>-1.9604662350920115E-3</v>
      </c>
      <c r="H64" s="70">
        <f>0.0115058715983404-(+G64/52)</f>
        <v>1.154357287209217E-2</v>
      </c>
      <c r="I64" s="70">
        <f>0.0234040543943591-(+H64/52)</f>
        <v>2.318206260835733E-2</v>
      </c>
      <c r="J64" s="70">
        <f>0.00239460842803427-(+I64/52)</f>
        <v>1.9487995317197058E-3</v>
      </c>
      <c r="K64" s="70">
        <f>0.014121117029515-(+J64/52)</f>
        <v>1.4083640115443467E-2</v>
      </c>
      <c r="L64" s="70">
        <f>0.0871990688617341-(+K64/52)</f>
        <v>8.6928229628744802E-2</v>
      </c>
      <c r="M64" s="70">
        <f>0.00478500435000395-(+L64/52)</f>
        <v>3.1133076263742425E-3</v>
      </c>
      <c r="N64" s="70">
        <f>0.0223871151472963-(+M64/52)</f>
        <v>2.2327243846789101E-2</v>
      </c>
      <c r="P64" s="72" t="s">
        <v>380</v>
      </c>
      <c r="Q64" s="72">
        <v>0.20759722822073481</v>
      </c>
    </row>
    <row r="65" spans="1:24">
      <c r="A65" s="68">
        <v>0.94</v>
      </c>
      <c r="B65" s="69">
        <f t="shared" si="0"/>
        <v>9.3999999999999986E-3</v>
      </c>
      <c r="C65" s="70">
        <f t="shared" si="1"/>
        <v>1.8076923076923074E-4</v>
      </c>
      <c r="F65" s="71">
        <v>38058</v>
      </c>
      <c r="G65" s="69">
        <v>6.3114008416992225E-3</v>
      </c>
      <c r="H65" s="70">
        <f>-0.0386176212449056-(+G65/52)</f>
        <v>-3.8738994338015198E-2</v>
      </c>
      <c r="I65" s="70">
        <f>-0.0521738461775065-(+H65/52)</f>
        <v>-5.1428865517160055E-2</v>
      </c>
      <c r="J65" s="70">
        <f>-0.0238067873971793-(+I65/52)</f>
        <v>-2.2817770752618528E-2</v>
      </c>
      <c r="K65" s="70">
        <f>-0.0374905377229445-(+J65/52)</f>
        <v>-3.70517344392403E-2</v>
      </c>
      <c r="L65" s="70">
        <f>-0.066795407341719-(+K65/52)</f>
        <v>-6.6082873987118221E-2</v>
      </c>
      <c r="M65" s="70">
        <f>-0.0273401115119712-(+L65/52)</f>
        <v>-2.6069287012218924E-2</v>
      </c>
      <c r="N65" s="70">
        <f>-0.0221290292629332-(+M65/52)</f>
        <v>-2.1627696820390528E-2</v>
      </c>
      <c r="P65" s="72" t="s">
        <v>382</v>
      </c>
      <c r="Q65" s="72">
        <v>4.3096609164931861E-2</v>
      </c>
      <c r="T65" s="63" t="s">
        <v>376</v>
      </c>
    </row>
    <row r="66" spans="1:24">
      <c r="A66" s="68">
        <v>0.94</v>
      </c>
      <c r="B66" s="69">
        <f t="shared" si="0"/>
        <v>9.3999999999999986E-3</v>
      </c>
      <c r="C66" s="70">
        <f t="shared" si="1"/>
        <v>1.8076923076923074E-4</v>
      </c>
      <c r="F66" s="71">
        <v>38065</v>
      </c>
      <c r="G66" s="69">
        <v>5.1271494183091062E-3</v>
      </c>
      <c r="H66" s="70">
        <f>0.0264478049045041-(+G66/52)</f>
        <v>2.6349205877228922E-2</v>
      </c>
      <c r="I66" s="70">
        <f>-0.000219047387251427-(+H66/52)</f>
        <v>-7.2576288489044469E-4</v>
      </c>
      <c r="J66" s="70">
        <f>0.0172813966395882-(+I66/52)</f>
        <v>1.7295353618143786E-2</v>
      </c>
      <c r="K66" s="70">
        <f>0.0296856890556874-(+J66/52)</f>
        <v>2.9353086101492329E-2</v>
      </c>
      <c r="L66" s="70">
        <f>0.013750742396299-(+K66/52)</f>
        <v>1.3186259971270303E-2</v>
      </c>
      <c r="M66" s="70">
        <f>0.0126043619589701-(+L66/52)</f>
        <v>1.235078003644567E-2</v>
      </c>
      <c r="N66" s="70">
        <f>0.00523017518317492-(+M66/52)</f>
        <v>4.9926601824740414E-3</v>
      </c>
      <c r="P66" s="72" t="s">
        <v>386</v>
      </c>
      <c r="Q66" s="72">
        <v>4.1782181430268302E-2</v>
      </c>
    </row>
    <row r="67" spans="1:24">
      <c r="A67" s="68">
        <v>0.93</v>
      </c>
      <c r="B67" s="69">
        <f t="shared" si="0"/>
        <v>9.300000000000001E-3</v>
      </c>
      <c r="C67" s="70">
        <f t="shared" si="1"/>
        <v>1.7884615384615386E-4</v>
      </c>
      <c r="F67" s="71">
        <v>38072</v>
      </c>
      <c r="G67" s="69">
        <v>-9.4231714921833238E-4</v>
      </c>
      <c r="H67" s="70">
        <f>-0.0182900518673113-(+G67/52)</f>
        <v>-1.8271930383672488E-2</v>
      </c>
      <c r="I67" s="70">
        <f>-0.0213090543194248-(+H67/52)</f>
        <v>-2.0957671042815713E-2</v>
      </c>
      <c r="J67" s="70">
        <f>-0.0283791715232829-(+I67/52)</f>
        <v>-2.7976139387844136E-2</v>
      </c>
      <c r="K67" s="70">
        <f>-0.0270208703226022-(+J67/52)</f>
        <v>-2.6482867642066737E-2</v>
      </c>
      <c r="L67" s="70">
        <f>-0.0375845258688474-(+K67/52)</f>
        <v>-3.7075239952653806E-2</v>
      </c>
      <c r="M67" s="70">
        <f>-0.00981678443700009-(+L67/52)</f>
        <v>-9.1037990532952077E-3</v>
      </c>
      <c r="N67" s="70">
        <f>-0.01581354344592-(+M67/52)</f>
        <v>-1.5638470387202785E-2</v>
      </c>
      <c r="P67" s="72" t="s">
        <v>387</v>
      </c>
      <c r="Q67" s="72">
        <v>3.8234375923308632E-2</v>
      </c>
    </row>
    <row r="68" spans="1:24" ht="16.5" thickBot="1">
      <c r="A68" s="68">
        <v>0.93</v>
      </c>
      <c r="B68" s="69">
        <f t="shared" si="0"/>
        <v>9.300000000000001E-3</v>
      </c>
      <c r="C68" s="70">
        <f t="shared" si="1"/>
        <v>1.7884615384615386E-4</v>
      </c>
      <c r="F68" s="71">
        <v>38079</v>
      </c>
      <c r="G68" s="69">
        <v>2.0252802677551097E-3</v>
      </c>
      <c r="H68" s="70">
        <f>0.022443084982329-(+G68/52)</f>
        <v>2.2404137284872172E-2</v>
      </c>
      <c r="I68" s="70">
        <f>0.0342265853011409-(+H68/52)</f>
        <v>3.3795736507201052E-2</v>
      </c>
      <c r="J68" s="70">
        <f>0.0449479308467194-(+I68/52)</f>
        <v>4.4298012836965536E-2</v>
      </c>
      <c r="K68" s="70">
        <f>0.0248240624698737-(+J68/52)</f>
        <v>2.3972177607624361E-2</v>
      </c>
      <c r="L68" s="70">
        <f>0.065971421248238-(+K68/52)</f>
        <v>6.5510417832706766E-2</v>
      </c>
      <c r="M68" s="70">
        <f>0.0209514585309093-(+L68/52)</f>
        <v>1.9691642803357244E-2</v>
      </c>
      <c r="N68" s="70">
        <f>0.023609578194731-(+M68/52)</f>
        <v>2.32308927562049E-2</v>
      </c>
      <c r="P68" s="76" t="s">
        <v>388</v>
      </c>
      <c r="Q68" s="76">
        <v>730</v>
      </c>
    </row>
    <row r="69" spans="1:24">
      <c r="A69" s="68">
        <v>0.93</v>
      </c>
      <c r="B69" s="69">
        <f t="shared" ref="B69:B132" si="2">+A69/100</f>
        <v>9.300000000000001E-3</v>
      </c>
      <c r="C69" s="70">
        <f t="shared" ref="C69:C132" si="3">+B69/52</f>
        <v>1.7884615384615386E-4</v>
      </c>
      <c r="F69" s="71">
        <v>38086</v>
      </c>
      <c r="G69" s="69">
        <v>-1.290662815169091E-2</v>
      </c>
      <c r="H69" s="70">
        <f>-0.0108787198203255-(+G69/52)</f>
        <v>-1.0630515432792982E-2</v>
      </c>
      <c r="I69" s="70">
        <f>0.00496248075936382-(+H69/52)</f>
        <v>5.1669137484559929E-3</v>
      </c>
      <c r="J69" s="70">
        <f>0.0024833291266009-(+I69/52)</f>
        <v>2.383965400669054E-3</v>
      </c>
      <c r="K69" s="70">
        <f>0.00579195979224208-(+J69/52)</f>
        <v>5.7461143037676752E-3</v>
      </c>
      <c r="L69" s="70">
        <f>0.0634184021568268-(+K69/52)</f>
        <v>6.3307899958677416E-2</v>
      </c>
      <c r="M69" s="70">
        <f>0.0166082533993887-(+L69/52)</f>
        <v>1.5390793784798748E-2</v>
      </c>
      <c r="N69" s="70">
        <f>-0.00588345600300031-(+M69/52)</f>
        <v>-6.179432806554132E-3</v>
      </c>
    </row>
    <row r="70" spans="1:24" ht="16.5" thickBot="1">
      <c r="A70" s="68">
        <v>0.93</v>
      </c>
      <c r="B70" s="69">
        <f t="shared" si="2"/>
        <v>9.300000000000001E-3</v>
      </c>
      <c r="C70" s="70">
        <f t="shared" si="3"/>
        <v>1.7884615384615386E-4</v>
      </c>
      <c r="F70" s="71">
        <v>38093</v>
      </c>
      <c r="G70" s="69">
        <v>-1.1796736346858809E-2</v>
      </c>
      <c r="H70" s="70">
        <f>-0.0153977151777479-(+G70/52)</f>
        <v>-1.5170854863385231E-2</v>
      </c>
      <c r="I70" s="70">
        <f>-0.0240437158469944-(+H70/52)</f>
        <v>-2.3751968638083144E-2</v>
      </c>
      <c r="J70" s="70">
        <f>-0.0067005620350216-(+I70/52)</f>
        <v>-6.2437934073661557E-3</v>
      </c>
      <c r="K70" s="70">
        <f>-0.0209033395907516-(+J70/52)</f>
        <v>-2.0783266640609945E-2</v>
      </c>
      <c r="L70" s="70">
        <f>0.0382746720706818-(+K70/52)</f>
        <v>3.8674350275308918E-2</v>
      </c>
      <c r="M70" s="70">
        <f>-0.0170108804831738-(+L70/52)</f>
        <v>-1.77546179884682E-2</v>
      </c>
      <c r="N70" s="70">
        <f>-0.0291433826130013-(+M70/52)</f>
        <v>-2.8801947651684607E-2</v>
      </c>
      <c r="P70" s="63" t="s">
        <v>389</v>
      </c>
    </row>
    <row r="71" spans="1:24">
      <c r="A71" s="68">
        <v>0.93</v>
      </c>
      <c r="B71" s="69">
        <f t="shared" si="2"/>
        <v>9.300000000000001E-3</v>
      </c>
      <c r="C71" s="70">
        <f t="shared" si="3"/>
        <v>1.7884615384615386E-4</v>
      </c>
      <c r="F71" s="71">
        <v>38100</v>
      </c>
      <c r="G71" s="69">
        <v>-7.8850143795849916E-4</v>
      </c>
      <c r="H71" s="70">
        <f>-0.0121432689535889-(+G71/52)</f>
        <v>-1.212810546439739E-2</v>
      </c>
      <c r="I71" s="70">
        <f>0.0132498508267873-(+H71/52)</f>
        <v>1.3483083624179559E-2</v>
      </c>
      <c r="J71" s="70">
        <f>-0.00475882877210765-(+I71/52)</f>
        <v>-5.0181188418034111E-3</v>
      </c>
      <c r="K71" s="70">
        <f>-0.0571438318777293-(+J71/52)</f>
        <v>-5.704732959231E-2</v>
      </c>
      <c r="L71" s="70">
        <f>0.0464376226681148-(+K71/52)</f>
        <v>4.7534686698736145E-2</v>
      </c>
      <c r="M71" s="70">
        <f>-0.0245108380359686-(+L71/52)</f>
        <v>-2.5424966626328909E-2</v>
      </c>
      <c r="N71" s="70">
        <f>-0.00756122242461034-(+M71/52)</f>
        <v>-7.0722807587194E-3</v>
      </c>
      <c r="P71" s="77"/>
      <c r="Q71" s="77" t="s">
        <v>390</v>
      </c>
      <c r="R71" s="77" t="s">
        <v>391</v>
      </c>
      <c r="S71" s="77" t="s">
        <v>392</v>
      </c>
      <c r="T71" s="77" t="s">
        <v>393</v>
      </c>
      <c r="U71" s="77" t="s">
        <v>394</v>
      </c>
    </row>
    <row r="72" spans="1:24">
      <c r="A72" s="68">
        <v>0.96</v>
      </c>
      <c r="B72" s="69">
        <f t="shared" si="2"/>
        <v>9.5999999999999992E-3</v>
      </c>
      <c r="C72" s="70">
        <f t="shared" si="3"/>
        <v>1.8461538461538461E-4</v>
      </c>
      <c r="F72" s="71">
        <v>38107</v>
      </c>
      <c r="G72" s="69">
        <v>-7.7383050885573125E-3</v>
      </c>
      <c r="H72" s="70">
        <f>-0.0113259164690861-(+G72/52)</f>
        <v>-1.1177102909690767E-2</v>
      </c>
      <c r="I72" s="70">
        <f>-0.0170374792275051-(+H72/52)</f>
        <v>-1.6822534940780277E-2</v>
      </c>
      <c r="J72" s="70">
        <f>-0.00936598831716202-(+I72/52)</f>
        <v>-9.0424780298393216E-3</v>
      </c>
      <c r="K72" s="70">
        <f>-0.00992148207113638-(+J72/52)</f>
        <v>-9.7475882628702392E-3</v>
      </c>
      <c r="L72" s="70">
        <f>-0.0801743962207215-(+K72/52)</f>
        <v>-7.9986942600281691E-2</v>
      </c>
      <c r="M72" s="70">
        <f>-0.0122659998648375-(+L72/52)</f>
        <v>-1.0727789430216699E-2</v>
      </c>
      <c r="N72" s="70">
        <f>-0.0145850837337163-(+M72/52)</f>
        <v>-1.4378780090827518E-2</v>
      </c>
      <c r="P72" s="72" t="s">
        <v>395</v>
      </c>
      <c r="Q72" s="72">
        <v>1</v>
      </c>
      <c r="R72" s="72">
        <v>4.7930769211354862E-2</v>
      </c>
      <c r="S72" s="72">
        <v>4.7930769211354862E-2</v>
      </c>
      <c r="T72" s="72">
        <v>32.787355309390968</v>
      </c>
      <c r="U72" s="72">
        <v>1.5036872236344768E-8</v>
      </c>
    </row>
    <row r="73" spans="1:24">
      <c r="A73" s="68">
        <v>0.96</v>
      </c>
      <c r="B73" s="69">
        <f t="shared" si="2"/>
        <v>9.5999999999999992E-3</v>
      </c>
      <c r="C73" s="70">
        <f t="shared" si="3"/>
        <v>1.8461538461538461E-4</v>
      </c>
      <c r="F73" s="71">
        <v>38114</v>
      </c>
      <c r="G73" s="69">
        <v>6.3475750514031945E-4</v>
      </c>
      <c r="H73" s="70">
        <f>-0.0150159567599476-(+G73/52)</f>
        <v>-1.5028163635046452E-2</v>
      </c>
      <c r="I73" s="70">
        <f>0.001805498563808-(+H73/52)</f>
        <v>2.0945017106358166E-3</v>
      </c>
      <c r="J73" s="70">
        <f>0.0363916833226902-(+I73/52)</f>
        <v>3.6351404443639511E-2</v>
      </c>
      <c r="K73" s="70">
        <f>0.0201733740699051-(+J73/52)</f>
        <v>1.9474308599835108E-2</v>
      </c>
      <c r="L73" s="70">
        <f>0.0349838231634199-(+K73/52)</f>
        <v>3.4609317228807689E-2</v>
      </c>
      <c r="M73" s="70">
        <f>0.0173035476035715-(+L73/52)</f>
        <v>1.6637983810709814E-2</v>
      </c>
      <c r="N73" s="70">
        <f>-0.00261582907709252-(+M73/52)</f>
        <v>-2.9357903042215548E-3</v>
      </c>
      <c r="P73" s="72" t="s">
        <v>397</v>
      </c>
      <c r="Q73" s="72">
        <v>728</v>
      </c>
      <c r="R73" s="72">
        <v>1.0642395416342745</v>
      </c>
      <c r="S73" s="72">
        <v>1.4618675022448826E-3</v>
      </c>
      <c r="T73" s="72"/>
      <c r="U73" s="72"/>
    </row>
    <row r="74" spans="1:24" ht="16.5" thickBot="1">
      <c r="A74" s="68">
        <v>1</v>
      </c>
      <c r="B74" s="69">
        <f t="shared" si="2"/>
        <v>0.01</v>
      </c>
      <c r="C74" s="70">
        <f t="shared" si="3"/>
        <v>1.9230769230769231E-4</v>
      </c>
      <c r="F74" s="71">
        <v>38121</v>
      </c>
      <c r="G74" s="69">
        <v>-1.909084399421828E-2</v>
      </c>
      <c r="H74" s="70">
        <f>-0.0221369042045136-(+G74/52)</f>
        <v>-2.176977258924017E-2</v>
      </c>
      <c r="I74" s="70">
        <f>-0.0100024576062915-(+H74/52)</f>
        <v>-9.583808133421497E-3</v>
      </c>
      <c r="J74" s="70">
        <f>-0.0182371063897893-(+I74/52)</f>
        <v>-1.8052802387223503E-2</v>
      </c>
      <c r="K74" s="70">
        <f>-0.0300127530915501-(+J74/52)</f>
        <v>-2.9665583814872727E-2</v>
      </c>
      <c r="L74" s="70">
        <f>-0.0364409419557221-(+K74/52)</f>
        <v>-3.5870449959282243E-2</v>
      </c>
      <c r="M74" s="70">
        <f>-0.0312071238330956-(+L74/52)</f>
        <v>-3.0517307487724788E-2</v>
      </c>
      <c r="N74" s="70">
        <f>-0.0135035315013238-(+M74/52)</f>
        <v>-1.2916660203482939E-2</v>
      </c>
      <c r="P74" s="76" t="s">
        <v>398</v>
      </c>
      <c r="Q74" s="76">
        <v>729</v>
      </c>
      <c r="R74" s="76">
        <v>1.1121703108456293</v>
      </c>
      <c r="S74" s="76"/>
      <c r="T74" s="76"/>
      <c r="U74" s="76"/>
    </row>
    <row r="75" spans="1:24" ht="16.5" thickBot="1">
      <c r="A75" s="68">
        <v>1.02</v>
      </c>
      <c r="B75" s="69">
        <f t="shared" si="2"/>
        <v>1.0200000000000001E-2</v>
      </c>
      <c r="C75" s="70">
        <f t="shared" si="3"/>
        <v>1.9615384615384617E-4</v>
      </c>
      <c r="F75" s="71">
        <v>38128</v>
      </c>
      <c r="G75" s="69">
        <v>7.1766793491308527E-3</v>
      </c>
      <c r="H75" s="70">
        <f>0.00415605309022649-(+G75/52)</f>
        <v>4.0180400258201278E-3</v>
      </c>
      <c r="I75" s="70">
        <f>0.030749116666253-(+H75/52)</f>
        <v>3.067184666575646E-2</v>
      </c>
      <c r="J75" s="70">
        <f>0.0104820435909559-(+I75/52)</f>
        <v>9.8922003858451998E-3</v>
      </c>
      <c r="K75" s="70">
        <f>0.0154226834582857-(+J75/52)</f>
        <v>1.5232448835480986E-2</v>
      </c>
      <c r="L75" s="70">
        <f>0.0197007594448509-(+K75/52)</f>
        <v>1.9407827736476268E-2</v>
      </c>
      <c r="M75" s="70">
        <f>0.0231873594179555-(+L75/52)</f>
        <v>2.2814131961484803E-2</v>
      </c>
      <c r="N75" s="70">
        <f>-0.00264176341914847-(+M75/52)</f>
        <v>-3.0804967261001009E-3</v>
      </c>
    </row>
    <row r="76" spans="1:24">
      <c r="A76" s="68">
        <v>1.03</v>
      </c>
      <c r="B76" s="69">
        <f t="shared" si="2"/>
        <v>1.03E-2</v>
      </c>
      <c r="C76" s="70">
        <f t="shared" si="3"/>
        <v>1.9807692307692308E-4</v>
      </c>
      <c r="F76" s="71">
        <v>38135</v>
      </c>
      <c r="G76" s="69">
        <v>1.4254840859517526E-2</v>
      </c>
      <c r="H76" s="70">
        <f>0.0393953843219532-(+G76/52)</f>
        <v>3.9121252766962475E-2</v>
      </c>
      <c r="I76" s="70">
        <f>0.0371292096495805-(+H76/52)</f>
        <v>3.6376877865600447E-2</v>
      </c>
      <c r="J76" s="70">
        <f>0.0287887587519763-(+I76/52)</f>
        <v>2.8089203408407058E-2</v>
      </c>
      <c r="K76" s="70">
        <f>0.0156976278978417-(+J76/52)</f>
        <v>1.5157450909218486E-2</v>
      </c>
      <c r="L76" s="70">
        <f>0.0565754380890667-(+K76/52)</f>
        <v>5.6283948648504806E-2</v>
      </c>
      <c r="M76" s="70">
        <f>0.0296775769418662-(+L76/52)</f>
        <v>2.859519331401034E-2</v>
      </c>
      <c r="N76" s="70">
        <f>0.0163565198319639-(+M76/52)</f>
        <v>1.5806612268232934E-2</v>
      </c>
      <c r="P76" s="77"/>
      <c r="Q76" s="77" t="s">
        <v>399</v>
      </c>
      <c r="R76" s="77" t="s">
        <v>387</v>
      </c>
      <c r="S76" s="77" t="s">
        <v>384</v>
      </c>
      <c r="T76" s="77" t="s">
        <v>400</v>
      </c>
      <c r="U76" s="77" t="s">
        <v>401</v>
      </c>
      <c r="V76" s="77" t="s">
        <v>402</v>
      </c>
      <c r="W76" s="77" t="s">
        <v>403</v>
      </c>
      <c r="X76" s="77" t="s">
        <v>404</v>
      </c>
    </row>
    <row r="77" spans="1:24">
      <c r="A77" s="68">
        <v>1.06</v>
      </c>
      <c r="B77" s="69">
        <f t="shared" si="2"/>
        <v>1.06E-2</v>
      </c>
      <c r="C77" s="70">
        <f t="shared" si="3"/>
        <v>2.0384615384615385E-4</v>
      </c>
      <c r="F77" s="71">
        <v>38142</v>
      </c>
      <c r="G77" s="69">
        <v>-4.9760533530946224E-3</v>
      </c>
      <c r="H77" s="70">
        <f>-0.00607389600976238-(+G77/52)</f>
        <v>-5.9782026760490216E-3</v>
      </c>
      <c r="I77" s="70">
        <f>0.00898676368139941-(+H77/52)</f>
        <v>9.1017291174772755E-3</v>
      </c>
      <c r="J77" s="70">
        <f>0.0149442140174532-(+I77/52)</f>
        <v>1.4769180765194021E-2</v>
      </c>
      <c r="K77" s="70">
        <f>0.00781345116772069-(+J77/52)</f>
        <v>7.5294284606977286E-3</v>
      </c>
      <c r="L77" s="70">
        <f>0.0022715547647375-(+K77/52)</f>
        <v>2.1267580635702362E-3</v>
      </c>
      <c r="M77" s="70">
        <f>-0.00133106656650719-(+L77/52)</f>
        <v>-1.3719657600373869E-3</v>
      </c>
      <c r="N77" s="70">
        <f>0.00196704984022917-(+M77/52)</f>
        <v>1.9934337971529658E-3</v>
      </c>
      <c r="P77" s="72" t="s">
        <v>405</v>
      </c>
      <c r="Q77" s="72">
        <v>5.3862683693979129E-4</v>
      </c>
      <c r="R77" s="72">
        <v>1.4231819661799593E-3</v>
      </c>
      <c r="S77" s="72">
        <v>0.37846659790493908</v>
      </c>
      <c r="T77" s="72">
        <v>0.70519434067794773</v>
      </c>
      <c r="U77" s="72">
        <v>-2.2554037501412681E-3</v>
      </c>
      <c r="V77" s="72">
        <v>3.3326574240208507E-3</v>
      </c>
      <c r="W77" s="72">
        <v>-2.2554037501412681E-3</v>
      </c>
      <c r="X77" s="72">
        <v>3.3326574240208507E-3</v>
      </c>
    </row>
    <row r="78" spans="1:24" ht="16.5" thickBot="1">
      <c r="A78" s="68">
        <v>1.1599999999999999</v>
      </c>
      <c r="B78" s="69">
        <f t="shared" si="2"/>
        <v>1.1599999999999999E-2</v>
      </c>
      <c r="C78" s="70">
        <f t="shared" si="3"/>
        <v>2.2307692307692306E-4</v>
      </c>
      <c r="F78" s="71">
        <v>38149</v>
      </c>
      <c r="G78" s="69">
        <v>-2.1718337406928957E-3</v>
      </c>
      <c r="H78" s="70">
        <f>-0.00436632849929383-(+G78/52)</f>
        <v>-4.3245624658189673E-3</v>
      </c>
      <c r="I78" s="70">
        <f>-0.0179131728947226-(+H78/52)</f>
        <v>-1.7830008231918389E-2</v>
      </c>
      <c r="J78" s="70">
        <f>-0.00876034207049983-(+I78/52)</f>
        <v>-8.4174572968090926E-3</v>
      </c>
      <c r="K78" s="70">
        <f>-0.0049317093276105-(+J78/52)</f>
        <v>-4.7698351488257096E-3</v>
      </c>
      <c r="L78" s="70">
        <f>0.0282289727112052-(+K78/52)</f>
        <v>2.8320700310221079E-2</v>
      </c>
      <c r="M78" s="70">
        <f>-0.00135263532951513-(+L78/52)</f>
        <v>-1.8972641816347663E-3</v>
      </c>
      <c r="N78" s="70">
        <f>-0.00325541326353114-(+M78/52)</f>
        <v>-3.2189274138843178E-3</v>
      </c>
      <c r="P78" s="76" t="s">
        <v>406</v>
      </c>
      <c r="Q78" s="76">
        <v>1.4106103008204907</v>
      </c>
      <c r="R78" s="76">
        <v>0.24635073217675793</v>
      </c>
      <c r="S78" s="76">
        <v>5.7260243895210774</v>
      </c>
      <c r="T78" s="76">
        <v>1.5036872236350048E-8</v>
      </c>
      <c r="U78" s="76">
        <v>0.92696766255743679</v>
      </c>
      <c r="V78" s="76">
        <v>1.8942529390835445</v>
      </c>
      <c r="W78" s="76">
        <v>0.92696766255743679</v>
      </c>
      <c r="X78" s="76">
        <v>1.8942529390835445</v>
      </c>
    </row>
    <row r="79" spans="1:24">
      <c r="A79" s="68">
        <v>1.25</v>
      </c>
      <c r="B79" s="69">
        <f t="shared" si="2"/>
        <v>1.2500000000000001E-2</v>
      </c>
      <c r="C79" s="70">
        <f t="shared" si="3"/>
        <v>2.403846153846154E-4</v>
      </c>
      <c r="F79" s="71">
        <v>38156</v>
      </c>
      <c r="G79" s="69">
        <v>2.7142331511115503E-3</v>
      </c>
      <c r="H79" s="70">
        <f>0.0193035157988431-(+G79/52)</f>
        <v>1.9251319007475568E-2</v>
      </c>
      <c r="I79" s="70">
        <f>0.0269575678040245-(+H79/52)</f>
        <v>2.6587350130803818E-2</v>
      </c>
      <c r="J79" s="70">
        <f>0.0000389672129869573-(+I79/52)</f>
        <v>-4.7232798183619311E-4</v>
      </c>
      <c r="K79" s="70">
        <f>-0.0103622132716314-(+J79/52)</f>
        <v>-1.0353130041211474E-2</v>
      </c>
      <c r="L79" s="70">
        <f>0.0204199955047914-(+K79/52)</f>
        <v>2.0619094159430081E-2</v>
      </c>
      <c r="M79" s="70">
        <f>0.00467786800219353-(+L79/52)</f>
        <v>4.2813469606660286E-3</v>
      </c>
      <c r="N79" s="70">
        <f>0.0177097790225132-(+M79/52)</f>
        <v>1.7627445427115779E-2</v>
      </c>
    </row>
    <row r="80" spans="1:24">
      <c r="A80" s="68">
        <v>1.3</v>
      </c>
      <c r="B80" s="69">
        <f t="shared" si="2"/>
        <v>1.3000000000000001E-2</v>
      </c>
      <c r="C80" s="70">
        <f t="shared" si="3"/>
        <v>2.5000000000000001E-4</v>
      </c>
      <c r="F80" s="71">
        <v>38163</v>
      </c>
      <c r="G80" s="69">
        <v>6.5806235427648997E-3</v>
      </c>
      <c r="H80" s="70">
        <f>0.00347468573195795-(+G80/52)</f>
        <v>3.3481352792124712E-3</v>
      </c>
      <c r="I80" s="70">
        <f>-0.0111282679303552-(+H80/52)</f>
        <v>-1.1192655147263132E-2</v>
      </c>
      <c r="J80" s="70">
        <f>-0.00597733755201926-(+I80/52)</f>
        <v>-5.7620941838026612E-3</v>
      </c>
      <c r="K80" s="70">
        <f>-0.0309935992264229-(+J80/52)</f>
        <v>-3.0882789722888236E-2</v>
      </c>
      <c r="L80" s="70">
        <f>0.0314625190539719-(+K80/52)</f>
        <v>3.2056418856335131E-2</v>
      </c>
      <c r="M80" s="70">
        <f>0.0190518154137539-(+L80/52)</f>
        <v>1.8435345820362839E-2</v>
      </c>
      <c r="N80" s="70">
        <f>0.00231095868038556-(+M80/52)</f>
        <v>1.956432799224736E-3</v>
      </c>
      <c r="P80" s="63" t="s">
        <v>369</v>
      </c>
    </row>
    <row r="81" spans="1:24" ht="16.5" thickBot="1">
      <c r="A81" s="68">
        <v>1.29</v>
      </c>
      <c r="B81" s="69">
        <f t="shared" si="2"/>
        <v>1.29E-2</v>
      </c>
      <c r="C81" s="70">
        <f t="shared" si="3"/>
        <v>2.4807692307692307E-4</v>
      </c>
      <c r="F81" s="71">
        <v>38170</v>
      </c>
      <c r="G81" s="69">
        <v>-3.7268289226086886E-4</v>
      </c>
      <c r="H81" s="70">
        <f>-0.00942712110224809-(+G81/52)</f>
        <v>-9.4199541235507663E-3</v>
      </c>
      <c r="I81" s="70">
        <f>0.0292221777791453-(+H81/52)</f>
        <v>2.9403330743059737E-2</v>
      </c>
      <c r="J81" s="70">
        <f>-0.0178752028600324-(+I81/52)</f>
        <v>-1.8440651528168164E-2</v>
      </c>
      <c r="K81" s="70">
        <f>-0.00522035715881502-(+J81/52)</f>
        <v>-4.8657292448117864E-3</v>
      </c>
      <c r="L81" s="70">
        <f>-0.036365577673001-(+K81/52)</f>
        <v>-3.6272005956754616E-2</v>
      </c>
      <c r="M81" s="70">
        <f>0.0326931516043264-(+L81/52)</f>
        <v>3.3390690180417834E-2</v>
      </c>
      <c r="N81" s="70">
        <f>0.00722648134720505-(+M81/52)</f>
        <v>6.5843526898893227E-3</v>
      </c>
    </row>
    <row r="82" spans="1:24">
      <c r="A82" s="68">
        <v>1.3</v>
      </c>
      <c r="B82" s="69">
        <f t="shared" si="2"/>
        <v>1.3000000000000001E-2</v>
      </c>
      <c r="C82" s="70">
        <f t="shared" si="3"/>
        <v>2.5000000000000001E-4</v>
      </c>
      <c r="F82" s="71">
        <v>38177</v>
      </c>
      <c r="G82" s="69">
        <v>8.1475481088520898E-3</v>
      </c>
      <c r="H82" s="70">
        <f>0.00939787701317714-(+G82/52)</f>
        <v>9.2411933956992164E-3</v>
      </c>
      <c r="I82" s="70">
        <f>0.00881893530040429-(+H82/52)</f>
        <v>8.6412200427946895E-3</v>
      </c>
      <c r="J82" s="70">
        <f>0.0229582265648075-(+I82/52)</f>
        <v>2.2792049256292218E-2</v>
      </c>
      <c r="K82" s="70">
        <f>-0.00410237982946678-(+J82/52)</f>
        <v>-4.5406884690108607E-3</v>
      </c>
      <c r="L82" s="70">
        <f>0.00513211804375135-(+K82/52)</f>
        <v>5.2194389758477133E-3</v>
      </c>
      <c r="M82" s="70">
        <f>0.0221094599492569-(+L82/52)</f>
        <v>2.200908612279829E-2</v>
      </c>
      <c r="N82" s="70">
        <f>0.00681064466553431-(+M82/52)</f>
        <v>6.3873930093266505E-3</v>
      </c>
      <c r="P82" s="65" t="s">
        <v>379</v>
      </c>
      <c r="Q82" s="65"/>
    </row>
    <row r="83" spans="1:24">
      <c r="A83" s="68">
        <v>1.28</v>
      </c>
      <c r="B83" s="69">
        <f t="shared" si="2"/>
        <v>1.2800000000000001E-2</v>
      </c>
      <c r="C83" s="70">
        <f t="shared" si="3"/>
        <v>2.4615384615384614E-4</v>
      </c>
      <c r="F83" s="71">
        <v>38184</v>
      </c>
      <c r="G83" s="69">
        <v>-2.5918209189877916E-3</v>
      </c>
      <c r="H83" s="70">
        <f>0.013036344021685-(+G83/52)</f>
        <v>1.3086186731665533E-2</v>
      </c>
      <c r="I83" s="70">
        <f>0.0166983990576591-(+H83/52)</f>
        <v>1.6446741620511685E-2</v>
      </c>
      <c r="J83" s="70">
        <f>0.00952812004963053-(+I83/52)</f>
        <v>9.2118365569283829E-3</v>
      </c>
      <c r="K83" s="70">
        <f>0.0183337968774666-(+J83/52)</f>
        <v>1.8156646174448746E-2</v>
      </c>
      <c r="L83" s="70">
        <f>-0.0173671222237532-(+K83/52)</f>
        <v>-1.7716288496338752E-2</v>
      </c>
      <c r="M83" s="70">
        <f>0.000953778429934075-(+L83/52)</f>
        <v>1.294476285632897E-3</v>
      </c>
      <c r="N83" s="70">
        <f>-0.0030287936242689-(+M83/52)</f>
        <v>-3.0536873989926096E-3</v>
      </c>
      <c r="P83" s="72" t="s">
        <v>380</v>
      </c>
      <c r="Q83" s="72">
        <v>0.14446665426324906</v>
      </c>
    </row>
    <row r="84" spans="1:24">
      <c r="A84" s="68">
        <v>1.32</v>
      </c>
      <c r="B84" s="69">
        <f t="shared" si="2"/>
        <v>1.32E-2</v>
      </c>
      <c r="C84" s="70">
        <f t="shared" si="3"/>
        <v>2.5384615384615387E-4</v>
      </c>
      <c r="F84" s="71">
        <v>38191</v>
      </c>
      <c r="G84" s="69">
        <v>-1.7315642530015901E-3</v>
      </c>
      <c r="H84" s="70">
        <f>-0.0170298447357823-(+G84/52)</f>
        <v>-1.6996545423224575E-2</v>
      </c>
      <c r="I84" s="70">
        <f>-0.0286584521666897-(+H84/52)</f>
        <v>-2.8331595523935382E-2</v>
      </c>
      <c r="J84" s="70">
        <f>-0.0347071918867108-(+I84/52)</f>
        <v>-3.4162353511250507E-2</v>
      </c>
      <c r="K84" s="70">
        <f>-0.0321321010983819-(+J84/52)</f>
        <v>-3.1475132761627084E-2</v>
      </c>
      <c r="L84" s="70">
        <f>-0.0473059281563844-(+K84/52)</f>
        <v>-4.6700637141737729E-2</v>
      </c>
      <c r="M84" s="70">
        <f>-0.0284394927801804-(+L84/52)</f>
        <v>-2.7541403604377752E-2</v>
      </c>
      <c r="N84" s="70">
        <f>-0.0119666384624684-(+M84/52)</f>
        <v>-1.1436996085461136E-2</v>
      </c>
      <c r="P84" s="72" t="s">
        <v>382</v>
      </c>
      <c r="Q84" s="72">
        <v>2.0870614194017135E-2</v>
      </c>
      <c r="T84" s="63" t="s">
        <v>377</v>
      </c>
    </row>
    <row r="85" spans="1:24">
      <c r="A85" s="68">
        <v>1.34</v>
      </c>
      <c r="B85" s="69">
        <f t="shared" si="2"/>
        <v>1.34E-2</v>
      </c>
      <c r="C85" s="70">
        <f t="shared" si="3"/>
        <v>2.5769230769230768E-4</v>
      </c>
      <c r="F85" s="71">
        <v>38198</v>
      </c>
      <c r="G85" s="69">
        <v>-6.289337970382153E-3</v>
      </c>
      <c r="H85" s="70">
        <f>0.00802061142368124-(+G85/52)</f>
        <v>8.141560230803974E-3</v>
      </c>
      <c r="I85" s="70">
        <f>0.0107423633199303-(+H85/52)</f>
        <v>1.0585794853953301E-2</v>
      </c>
      <c r="J85" s="70">
        <f>-0.00593379138038732-(+I85/52)</f>
        <v>-6.13736435834796E-3</v>
      </c>
      <c r="K85" s="70">
        <f>0.00705466027044135-(+J85/52)</f>
        <v>7.1726865081018871E-3</v>
      </c>
      <c r="L85" s="70">
        <f>0.0299899105869255-(+K85/52)</f>
        <v>2.9851974307923541E-2</v>
      </c>
      <c r="M85" s="70">
        <f>-0.00224443606186341-(+L85/52)</f>
        <v>-2.8185124908619397E-3</v>
      </c>
      <c r="N85" s="70">
        <f>-0.00136204224777738-(+M85/52)</f>
        <v>-1.3078400844915735E-3</v>
      </c>
      <c r="P85" s="72" t="s">
        <v>386</v>
      </c>
      <c r="Q85" s="72">
        <v>1.9525656246481445E-2</v>
      </c>
    </row>
    <row r="86" spans="1:24">
      <c r="A86" s="68">
        <v>1.43</v>
      </c>
      <c r="B86" s="69">
        <f t="shared" si="2"/>
        <v>1.43E-2</v>
      </c>
      <c r="C86" s="70">
        <f t="shared" si="3"/>
        <v>2.7500000000000002E-4</v>
      </c>
      <c r="F86" s="71">
        <v>38205</v>
      </c>
      <c r="G86" s="69">
        <v>5.0097493240434804E-3</v>
      </c>
      <c r="H86" s="70">
        <f>0.0221272906261572-(+G86/52)</f>
        <v>2.2030949293002519E-2</v>
      </c>
      <c r="I86" s="70">
        <f>0.0131887543047146-(+H86/52)</f>
        <v>1.276508220292609E-2</v>
      </c>
      <c r="J86" s="70">
        <f>0.0338174758532911-(+I86/52)</f>
        <v>3.3571993503234823E-2</v>
      </c>
      <c r="K86" s="70">
        <f>0.000310502559752699-(+J86/52)</f>
        <v>-3.351126999248938E-4</v>
      </c>
      <c r="L86" s="70">
        <f>-0.0546503319345744-(+K86/52)</f>
        <v>-5.4643887459575845E-2</v>
      </c>
      <c r="M86" s="70">
        <f>0.0242150431938905-(+L86/52)</f>
        <v>2.5265887183497728E-2</v>
      </c>
      <c r="N86" s="70">
        <f>0.0104130085019152-(+M86/52)</f>
        <v>9.9271260560787056E-3</v>
      </c>
      <c r="P86" s="72" t="s">
        <v>387</v>
      </c>
      <c r="Q86" s="72">
        <v>3.5255409499042663E-2</v>
      </c>
    </row>
    <row r="87" spans="1:24" ht="16.5" thickBot="1">
      <c r="A87" s="68">
        <v>1.45</v>
      </c>
      <c r="B87" s="69">
        <f t="shared" si="2"/>
        <v>1.4499999999999999E-2</v>
      </c>
      <c r="C87" s="70">
        <f t="shared" si="3"/>
        <v>2.7884615384615383E-4</v>
      </c>
      <c r="F87" s="71">
        <v>38212</v>
      </c>
      <c r="G87" s="69">
        <v>7.3755279283762394E-3</v>
      </c>
      <c r="H87" s="70">
        <f>-0.00986984528111835-(+G87/52)</f>
        <v>-1.0011682356664046E-2</v>
      </c>
      <c r="I87" s="70">
        <f>-0.0106070484129717-(+H87/52)</f>
        <v>-1.0414516059958929E-2</v>
      </c>
      <c r="J87" s="70">
        <f>0.0231035960571941-(+I87/52)</f>
        <v>2.330387521219331E-2</v>
      </c>
      <c r="K87" s="70">
        <f>0.0123481091721241-(+J87/52)</f>
        <v>1.1899957725735766E-2</v>
      </c>
      <c r="L87" s="70">
        <f>0.0370693067129884-(+K87/52)</f>
        <v>3.6840461372108869E-2</v>
      </c>
      <c r="M87" s="70">
        <f>-0.00482940213847166-(+L87/52)</f>
        <v>-5.5378725494737539E-3</v>
      </c>
      <c r="N87" s="70">
        <f>0.00736352026382572-(+M87/52)</f>
        <v>7.4700178128540616E-3</v>
      </c>
      <c r="P87" s="76" t="s">
        <v>388</v>
      </c>
      <c r="Q87" s="76">
        <v>730</v>
      </c>
    </row>
    <row r="88" spans="1:24">
      <c r="A88" s="68">
        <v>1.44</v>
      </c>
      <c r="B88" s="69">
        <f t="shared" si="2"/>
        <v>1.44E-2</v>
      </c>
      <c r="C88" s="70">
        <f t="shared" si="3"/>
        <v>2.7692307692307689E-4</v>
      </c>
      <c r="F88" s="71">
        <v>38219</v>
      </c>
      <c r="G88" s="69">
        <v>7.4616082251888916E-3</v>
      </c>
      <c r="H88" s="70">
        <f>0.0011779824373529-(+G88/52)</f>
        <v>1.0344899714838829E-3</v>
      </c>
      <c r="I88" s="70">
        <f>-0.00447932476955553-(+H88/52)</f>
        <v>-4.4992188074686815E-3</v>
      </c>
      <c r="J88" s="70">
        <f>-0.0106321401370907-(+I88/52)</f>
        <v>-1.0545616698485532E-2</v>
      </c>
      <c r="K88" s="70">
        <f>0.0139773849053216-(+J88/52)</f>
        <v>1.4180185226446321E-2</v>
      </c>
      <c r="L88" s="70">
        <f>0.0214274923870783-(+K88/52)</f>
        <v>2.1154796517338946E-2</v>
      </c>
      <c r="M88" s="70">
        <f>0.0203510116777221-(+L88/52)</f>
        <v>1.9944188667773272E-2</v>
      </c>
      <c r="N88" s="70">
        <f>0.00848919593353066-(+M88/52)</f>
        <v>8.1056538437657907E-3</v>
      </c>
    </row>
    <row r="89" spans="1:24" ht="16.5" thickBot="1">
      <c r="A89" s="68">
        <v>1.46</v>
      </c>
      <c r="B89" s="69">
        <f t="shared" si="2"/>
        <v>1.46E-2</v>
      </c>
      <c r="C89" s="70">
        <f t="shared" si="3"/>
        <v>2.8076923076923076E-4</v>
      </c>
      <c r="F89" s="71">
        <v>38226</v>
      </c>
      <c r="G89" s="69">
        <v>-2.3196831517279829E-3</v>
      </c>
      <c r="H89" s="70">
        <f>0.00514315256533674-(+G89/52)</f>
        <v>5.1877618567161242E-3</v>
      </c>
      <c r="I89" s="70">
        <f>0.0157890822549457-(+H89/52)</f>
        <v>1.5689317603855005E-2</v>
      </c>
      <c r="J89" s="70">
        <f>0.0128479492548344-(+I89/52)</f>
        <v>1.2546231608606418E-2</v>
      </c>
      <c r="K89" s="70">
        <f>0.00438839104620721-(+J89/52)</f>
        <v>4.1471173614263173E-3</v>
      </c>
      <c r="L89" s="70">
        <f>0.0260687486377931-(+K89/52)</f>
        <v>2.5988996380842594E-2</v>
      </c>
      <c r="M89" s="70">
        <f>-0.00290815677388472-(+L89/52)</f>
        <v>-3.4079451658240007E-3</v>
      </c>
      <c r="N89" s="70">
        <f>-0.00696173828637807-(+M89/52)</f>
        <v>-6.8962008793429933E-3</v>
      </c>
      <c r="P89" s="63" t="s">
        <v>389</v>
      </c>
    </row>
    <row r="90" spans="1:24">
      <c r="A90" s="68">
        <v>1.52</v>
      </c>
      <c r="B90" s="69">
        <f t="shared" si="2"/>
        <v>1.52E-2</v>
      </c>
      <c r="C90" s="70">
        <f t="shared" si="3"/>
        <v>2.923076923076923E-4</v>
      </c>
      <c r="F90" s="71">
        <v>38233</v>
      </c>
      <c r="G90" s="69">
        <v>3.198720993284979E-3</v>
      </c>
      <c r="H90" s="70">
        <f>0.0135857757282844-(+G90/52)</f>
        <v>1.3524261863028918E-2</v>
      </c>
      <c r="I90" s="70">
        <f>-0.0184356764751103-(+H90/52)</f>
        <v>-1.8695758434014702E-2</v>
      </c>
      <c r="J90" s="70">
        <f>0.005213835665372-(+I90/52)</f>
        <v>5.5733694814107436E-3</v>
      </c>
      <c r="K90" s="70">
        <f>-0.000822440887061162-(+J90/52)</f>
        <v>-9.2962106939598391E-4</v>
      </c>
      <c r="L90" s="70">
        <f>-0.00519912707263363-(+K90/52)</f>
        <v>-5.1812497443760146E-3</v>
      </c>
      <c r="M90" s="70">
        <f>0.0112351357756133-(+L90/52)</f>
        <v>1.1334775193774377E-2</v>
      </c>
      <c r="N90" s="70">
        <f>0.0168092811588629-(+M90/52)</f>
        <v>1.659130471282878E-2</v>
      </c>
      <c r="P90" s="77"/>
      <c r="Q90" s="77" t="s">
        <v>390</v>
      </c>
      <c r="R90" s="77" t="s">
        <v>391</v>
      </c>
      <c r="S90" s="77" t="s">
        <v>392</v>
      </c>
      <c r="T90" s="77" t="s">
        <v>393</v>
      </c>
      <c r="U90" s="77" t="s">
        <v>394</v>
      </c>
    </row>
    <row r="91" spans="1:24">
      <c r="A91" s="68">
        <v>1.58</v>
      </c>
      <c r="B91" s="69">
        <f t="shared" si="2"/>
        <v>1.5800000000000002E-2</v>
      </c>
      <c r="C91" s="70">
        <f t="shared" si="3"/>
        <v>3.0384615384615389E-4</v>
      </c>
      <c r="F91" s="71">
        <v>38240</v>
      </c>
      <c r="G91" s="69">
        <v>1.0708061380983365E-3</v>
      </c>
      <c r="H91" s="70">
        <f>-0.00265098821491375-(+G91/52)</f>
        <v>-2.6715806406464103E-3</v>
      </c>
      <c r="I91" s="70">
        <f>0.0130906649759445-(+H91/52)</f>
        <v>1.3142041526726163E-2</v>
      </c>
      <c r="J91" s="70">
        <f>0.000718287602356018-(+I91/52)</f>
        <v>4.6555603453436105E-4</v>
      </c>
      <c r="K91" s="70">
        <f>0.0413175765058647-(+J91/52)</f>
        <v>4.1308623505200578E-2</v>
      </c>
      <c r="L91" s="70">
        <f>0.0258061236162127-(+K91/52)</f>
        <v>2.5011727010343456E-2</v>
      </c>
      <c r="M91" s="70">
        <f>0.0292990109480718-(+L91/52)</f>
        <v>2.8818016197872887E-2</v>
      </c>
      <c r="N91" s="70">
        <f>0.0179497281538099-(+M91/52)</f>
        <v>1.7395535534620036E-2</v>
      </c>
      <c r="P91" s="72" t="s">
        <v>395</v>
      </c>
      <c r="Q91" s="72">
        <v>1</v>
      </c>
      <c r="R91" s="72">
        <v>1.9287593807094883E-2</v>
      </c>
      <c r="S91" s="72">
        <v>1.9287593807094883E-2</v>
      </c>
      <c r="T91" s="72">
        <v>15.51767044631951</v>
      </c>
      <c r="U91" s="72">
        <v>8.9601400168640911E-5</v>
      </c>
    </row>
    <row r="92" spans="1:24">
      <c r="A92" s="68">
        <v>1.63</v>
      </c>
      <c r="B92" s="69">
        <f t="shared" si="2"/>
        <v>1.6299999999999999E-2</v>
      </c>
      <c r="C92" s="70">
        <f t="shared" si="3"/>
        <v>3.1346153846153845E-4</v>
      </c>
      <c r="F92" s="71">
        <v>38247</v>
      </c>
      <c r="G92" s="69">
        <v>4.6382773399114086E-3</v>
      </c>
      <c r="H92" s="70">
        <f>0.00640384581644644-(+G92/52)</f>
        <v>6.3146481752942973E-3</v>
      </c>
      <c r="I92" s="70">
        <f>-0.00286408481814173-(+H92/52)</f>
        <v>-2.9855203599743127E-3</v>
      </c>
      <c r="J92" s="70">
        <f>7.55549511158779E-06-(+I92/52)</f>
        <v>6.4969348188016879E-5</v>
      </c>
      <c r="K92" s="70">
        <f>-0.00311948620227262-(+J92/52)</f>
        <v>-3.1207356128146973E-3</v>
      </c>
      <c r="L92" s="70">
        <f>0.00400696820940314-(+K92/52)</f>
        <v>4.0669823558034226E-3</v>
      </c>
      <c r="M92" s="70">
        <f>-0.00309402328106572-(+L92/52)</f>
        <v>-3.1722344802157859E-3</v>
      </c>
      <c r="N92" s="70">
        <f>0.00512431495185303-(+M92/52)</f>
        <v>5.1853194610879489E-3</v>
      </c>
      <c r="P92" s="72" t="s">
        <v>397</v>
      </c>
      <c r="Q92" s="72">
        <v>728</v>
      </c>
      <c r="R92" s="72">
        <v>0.90486315843209664</v>
      </c>
      <c r="S92" s="72">
        <v>1.2429438989451876E-3</v>
      </c>
      <c r="T92" s="72"/>
      <c r="U92" s="72"/>
    </row>
    <row r="93" spans="1:24" ht="16.5" thickBot="1">
      <c r="A93" s="68">
        <v>1.65</v>
      </c>
      <c r="B93" s="69">
        <f t="shared" si="2"/>
        <v>1.6500000000000001E-2</v>
      </c>
      <c r="C93" s="70">
        <f t="shared" si="3"/>
        <v>3.1730769230769231E-4</v>
      </c>
      <c r="F93" s="71">
        <v>38254</v>
      </c>
      <c r="G93" s="69">
        <v>1.7289065170030969E-3</v>
      </c>
      <c r="H93" s="70">
        <f>-0.0118894041351418-(+G93/52)</f>
        <v>-1.192265233739186E-2</v>
      </c>
      <c r="I93" s="70">
        <f>0.00454844164186935-(+H93/52)</f>
        <v>4.7777234175884241E-3</v>
      </c>
      <c r="J93" s="70">
        <f>0.0120433682142723-(+I93/52)</f>
        <v>1.1951488917780214E-2</v>
      </c>
      <c r="K93" s="70">
        <f>0.00480714771182598-(+J93/52)</f>
        <v>4.5773113864840519E-3</v>
      </c>
      <c r="L93" s="70">
        <f>-0.00785607803259913-(+K93/52)</f>
        <v>-7.9441032515699776E-3</v>
      </c>
      <c r="M93" s="70">
        <f>0.0176731003466691-(+L93/52)</f>
        <v>1.7825871563045447E-2</v>
      </c>
      <c r="N93" s="70">
        <f>-0.00219484020023097-(+M93/52)</f>
        <v>-2.5376454225972283E-3</v>
      </c>
      <c r="P93" s="76" t="s">
        <v>398</v>
      </c>
      <c r="Q93" s="76">
        <v>729</v>
      </c>
      <c r="R93" s="76">
        <v>0.92415075223919152</v>
      </c>
      <c r="S93" s="76"/>
      <c r="T93" s="76"/>
      <c r="U93" s="76"/>
    </row>
    <row r="94" spans="1:24" ht="16.5" thickBot="1">
      <c r="A94" s="68">
        <v>1.69</v>
      </c>
      <c r="B94" s="69">
        <f t="shared" si="2"/>
        <v>1.6899999999999998E-2</v>
      </c>
      <c r="C94" s="70">
        <f t="shared" si="3"/>
        <v>3.2499999999999999E-4</v>
      </c>
      <c r="F94" s="71">
        <v>38261</v>
      </c>
      <c r="G94" s="69">
        <v>7.1721873739326899E-4</v>
      </c>
      <c r="H94" s="70">
        <f>0.0231651376146789-(+G94/52)</f>
        <v>2.3151344946652108E-2</v>
      </c>
      <c r="I94" s="70">
        <f>0.0192801017295494-(+H94/52)</f>
        <v>1.8834883557498398E-2</v>
      </c>
      <c r="J94" s="70">
        <f>0.0185593024210706-(+I94/52)</f>
        <v>1.8197093121887938E-2</v>
      </c>
      <c r="K94" s="70">
        <f>0.00282539615436104-(+J94/52)</f>
        <v>2.4754520558631951E-3</v>
      </c>
      <c r="L94" s="70">
        <f>0.0332627661506391-(+K94/52)</f>
        <v>3.3215161303410956E-2</v>
      </c>
      <c r="M94" s="70">
        <f>0.0104323708469037-(+L94/52)</f>
        <v>9.7936177449150282E-3</v>
      </c>
      <c r="N94" s="70">
        <f>0.0241500405202022-(+M94/52)</f>
        <v>2.3961701717415372E-2</v>
      </c>
    </row>
    <row r="95" spans="1:24">
      <c r="A95" s="68">
        <v>1.69</v>
      </c>
      <c r="B95" s="69">
        <f t="shared" si="2"/>
        <v>1.6899999999999998E-2</v>
      </c>
      <c r="C95" s="70">
        <f t="shared" si="3"/>
        <v>3.2499999999999999E-4</v>
      </c>
      <c r="F95" s="71">
        <v>38268</v>
      </c>
      <c r="G95" s="69">
        <v>-5.6322497848113199E-3</v>
      </c>
      <c r="H95" s="70">
        <f>0.00305209249392185-(+G95/52)</f>
        <v>3.1604049897836065E-3</v>
      </c>
      <c r="I95" s="70">
        <f>0.000901420638926949-(+H95/52)</f>
        <v>8.406436198926489E-4</v>
      </c>
      <c r="J95" s="70">
        <f>-0.00553377066002122-(+I95/52)</f>
        <v>-5.5499368834806941E-3</v>
      </c>
      <c r="K95" s="70">
        <f>0.0217947276712945-(+J95/52)</f>
        <v>2.1901457226746052E-2</v>
      </c>
      <c r="L95" s="70">
        <f>0.0271336119724956-(+K95/52)</f>
        <v>2.6712430102750484E-2</v>
      </c>
      <c r="M95" s="70">
        <f>0.00921987027260978-(+L95/52)</f>
        <v>8.7061696937107327E-3</v>
      </c>
      <c r="N95" s="70">
        <f>-0.00184635326390044-(+M95/52)</f>
        <v>-2.0137796041641079E-3</v>
      </c>
      <c r="P95" s="77"/>
      <c r="Q95" s="77" t="s">
        <v>399</v>
      </c>
      <c r="R95" s="77" t="s">
        <v>387</v>
      </c>
      <c r="S95" s="77" t="s">
        <v>384</v>
      </c>
      <c r="T95" s="77" t="s">
        <v>400</v>
      </c>
      <c r="U95" s="77" t="s">
        <v>401</v>
      </c>
      <c r="V95" s="77" t="s">
        <v>402</v>
      </c>
      <c r="W95" s="77" t="s">
        <v>403</v>
      </c>
      <c r="X95" s="77" t="s">
        <v>404</v>
      </c>
    </row>
    <row r="96" spans="1:24">
      <c r="A96" s="68">
        <v>1.68</v>
      </c>
      <c r="B96" s="69">
        <f t="shared" si="2"/>
        <v>1.6799999999999999E-2</v>
      </c>
      <c r="C96" s="70">
        <f t="shared" si="3"/>
        <v>3.2307692307692305E-4</v>
      </c>
      <c r="F96" s="71">
        <v>38275</v>
      </c>
      <c r="G96" s="69">
        <v>1.0058454798547436E-2</v>
      </c>
      <c r="H96" s="70">
        <f>0.00440089393157976-(+G96/52)</f>
        <v>4.2074621085307707E-3</v>
      </c>
      <c r="I96" s="70">
        <f>0.00964011671890189-(+H96/52)</f>
        <v>9.5592039860455287E-3</v>
      </c>
      <c r="J96" s="70">
        <f>0.0123452240566038-(+I96/52)</f>
        <v>1.2161393210718309E-2</v>
      </c>
      <c r="K96" s="70">
        <f>0.00977102386027645-(+J96/52)</f>
        <v>9.5371509139164819E-3</v>
      </c>
      <c r="L96" s="70">
        <f>0.0181097083600938-(+K96/52)</f>
        <v>1.7926301611749254E-2</v>
      </c>
      <c r="M96" s="70">
        <f>0.00438443047545959-(+L96/52)</f>
        <v>4.0396939060028739E-3</v>
      </c>
      <c r="N96" s="70">
        <f>-0.00213667147354825-(+M96/52)</f>
        <v>-2.2143578948175357E-3</v>
      </c>
      <c r="P96" s="72" t="s">
        <v>405</v>
      </c>
      <c r="Q96" s="72">
        <v>4.3280733523756078E-3</v>
      </c>
      <c r="R96" s="72">
        <v>1.3122971618516547E-3</v>
      </c>
      <c r="S96" s="72">
        <v>3.2980893948354542</v>
      </c>
      <c r="T96" s="72">
        <v>1.0207589376658912E-3</v>
      </c>
      <c r="U96" s="72">
        <v>1.7517349102894528E-3</v>
      </c>
      <c r="V96" s="72">
        <v>6.9044117944617629E-3</v>
      </c>
      <c r="W96" s="72">
        <v>1.7517349102894528E-3</v>
      </c>
      <c r="X96" s="72">
        <v>6.9044117944617629E-3</v>
      </c>
    </row>
    <row r="97" spans="1:24" ht="16.5" thickBot="1">
      <c r="A97" s="68">
        <v>1.7</v>
      </c>
      <c r="B97" s="69">
        <f t="shared" si="2"/>
        <v>1.7000000000000001E-2</v>
      </c>
      <c r="C97" s="70">
        <f t="shared" si="3"/>
        <v>3.2692307692307697E-4</v>
      </c>
      <c r="F97" s="71">
        <v>38282</v>
      </c>
      <c r="G97" s="69">
        <v>4.6221104420604625E-3</v>
      </c>
      <c r="H97" s="70">
        <f>-0.00144627391914563-(+G97/52)</f>
        <v>-1.5351606584160233E-3</v>
      </c>
      <c r="I97" s="70">
        <f>0.0123454147131655-(+H97/52)</f>
        <v>1.2374937033519653E-2</v>
      </c>
      <c r="J97" s="70">
        <f>0.0211714171307926-(+I97/52)</f>
        <v>2.0933437572455683E-2</v>
      </c>
      <c r="K97" s="70">
        <f>0.0332582004889309-(+J97/52)</f>
        <v>3.2855634381768285E-2</v>
      </c>
      <c r="L97" s="70">
        <f>0.00223093003766577-(+K97/52)</f>
        <v>1.5990909149394569E-3</v>
      </c>
      <c r="M97" s="70">
        <f>0.0187701901738812-(+L97/52)</f>
        <v>1.873943842551698E-2</v>
      </c>
      <c r="N97" s="70">
        <f>0.00553092323290403-(+M97/52)</f>
        <v>5.1705494170287041E-3</v>
      </c>
      <c r="P97" s="76" t="s">
        <v>406</v>
      </c>
      <c r="Q97" s="76">
        <v>0.89482658255668457</v>
      </c>
      <c r="R97" s="76">
        <v>0.22715673352957422</v>
      </c>
      <c r="S97" s="76">
        <v>3.9392474466982264</v>
      </c>
      <c r="T97" s="76">
        <v>8.9601400168691801E-5</v>
      </c>
      <c r="U97" s="76">
        <v>0.44886613854779994</v>
      </c>
      <c r="V97" s="76">
        <v>1.3407870265655693</v>
      </c>
      <c r="W97" s="76">
        <v>0.44886613854779994</v>
      </c>
      <c r="X97" s="76">
        <v>1.3407870265655693</v>
      </c>
    </row>
    <row r="98" spans="1:24">
      <c r="A98" s="68">
        <v>1.8</v>
      </c>
      <c r="B98" s="69">
        <f t="shared" si="2"/>
        <v>1.8000000000000002E-2</v>
      </c>
      <c r="C98" s="70">
        <f t="shared" si="3"/>
        <v>3.4615384615384619E-4</v>
      </c>
      <c r="F98" s="71">
        <v>38289</v>
      </c>
      <c r="G98" s="69">
        <v>2.5669619471884991E-3</v>
      </c>
      <c r="H98" s="70">
        <f>0.0118611965753367-(+G98/52)</f>
        <v>1.1811831922506151E-2</v>
      </c>
      <c r="I98" s="70">
        <f>0.024213501758739-(+H98/52)</f>
        <v>2.3986351144844653E-2</v>
      </c>
      <c r="J98" s="70">
        <f>0.0222795747987709-(+I98/52)</f>
        <v>2.1818298815216196E-2</v>
      </c>
      <c r="K98" s="70">
        <f>-0.00061950110389813-(+J98/52)</f>
        <v>-1.0390837734215183E-3</v>
      </c>
      <c r="L98" s="70">
        <f>0.0267368377527182-(+K98/52)</f>
        <v>2.6756820132976304E-2</v>
      </c>
      <c r="M98" s="70">
        <f>-0.00687673710680714-(+L98/52)</f>
        <v>-7.3912913401336074E-3</v>
      </c>
      <c r="N98" s="70">
        <f>0.0271337953452673-(+M98/52)</f>
        <v>2.7275935563346791E-2</v>
      </c>
    </row>
    <row r="99" spans="1:24">
      <c r="A99" s="68">
        <v>1.87</v>
      </c>
      <c r="B99" s="69">
        <f t="shared" si="2"/>
        <v>1.8700000000000001E-2</v>
      </c>
      <c r="C99" s="70">
        <f t="shared" si="3"/>
        <v>3.5961538461538466E-4</v>
      </c>
      <c r="F99" s="71">
        <v>38296</v>
      </c>
      <c r="G99" s="69">
        <v>4.6514497733065397E-3</v>
      </c>
      <c r="H99" s="70">
        <f>0.0294409106693657-(+G99/52)</f>
        <v>2.9351459712186726E-2</v>
      </c>
      <c r="I99" s="70">
        <f>0.0290575231593002-(+H99/52)</f>
        <v>2.8493072010988916E-2</v>
      </c>
      <c r="J99" s="70">
        <f>0.0155940525009066-(+I99/52)</f>
        <v>1.5046108808387582E-2</v>
      </c>
      <c r="K99" s="70">
        <f>0.0266880329198568-(+J99/52)</f>
        <v>2.6398684673541652E-2</v>
      </c>
      <c r="L99" s="70">
        <f>0.0261860227852406-(+K99/52)</f>
        <v>2.5678355772287876E-2</v>
      </c>
      <c r="M99" s="70">
        <f>0.0283248838074508-(+L99/52)</f>
        <v>2.7831069273368342E-2</v>
      </c>
      <c r="N99" s="70">
        <f>0.00996315099301857-(+M99/52)</f>
        <v>9.4279381223768711E-3</v>
      </c>
      <c r="P99" s="63" t="s">
        <v>369</v>
      </c>
    </row>
    <row r="100" spans="1:24" ht="16.5" thickBot="1">
      <c r="A100" s="68">
        <v>1.95</v>
      </c>
      <c r="B100" s="69">
        <f t="shared" si="2"/>
        <v>1.95E-2</v>
      </c>
      <c r="C100" s="70">
        <f t="shared" si="3"/>
        <v>3.7500000000000001E-4</v>
      </c>
      <c r="F100" s="71">
        <v>38303</v>
      </c>
      <c r="G100" s="69">
        <v>-2.4160026165780269E-3</v>
      </c>
      <c r="H100" s="70">
        <f>-0.008433229392067-(+G100/52)</f>
        <v>-8.386767803286654E-3</v>
      </c>
      <c r="I100" s="70">
        <f>0.00959069020866768-(+H100/52)</f>
        <v>9.7519742048847308E-3</v>
      </c>
      <c r="J100" s="70">
        <f>-0.0309289677525682-(+I100/52)</f>
        <v>-3.1116505718046753E-2</v>
      </c>
      <c r="K100" s="70">
        <f>0.0306767380915677-(+J100/52)</f>
        <v>3.1275132432299367E-2</v>
      </c>
      <c r="L100" s="70">
        <f>0.0570945798630794-(+K100/52)</f>
        <v>5.6493135008612104E-2</v>
      </c>
      <c r="M100" s="70">
        <f>0.0108861169609589-(+L100/52)</f>
        <v>9.7997105184855909E-3</v>
      </c>
      <c r="N100" s="70">
        <f>0.0172417544954048-(+M100/52)</f>
        <v>1.705329852389546E-2</v>
      </c>
    </row>
    <row r="101" spans="1:24">
      <c r="A101" s="68">
        <v>2.04</v>
      </c>
      <c r="B101" s="69">
        <f t="shared" si="2"/>
        <v>2.0400000000000001E-2</v>
      </c>
      <c r="C101" s="70">
        <f t="shared" si="3"/>
        <v>3.9230769230769234E-4</v>
      </c>
      <c r="F101" s="71">
        <v>38310</v>
      </c>
      <c r="G101" s="69">
        <v>7.2885601611160358E-3</v>
      </c>
      <c r="H101" s="70">
        <f>-0.000389983239018261-(+G101/52)</f>
        <v>-5.3014785750126175E-4</v>
      </c>
      <c r="I101" s="70">
        <f>0.0118777905852114-(+H101/52)</f>
        <v>1.1887985736317193E-2</v>
      </c>
      <c r="J101" s="70">
        <f>-0.000666099773242669-(+I101/52)</f>
        <v>-8.9471488355646108E-4</v>
      </c>
      <c r="K101" s="70">
        <f>0.00708570146574926-(+J101/52)</f>
        <v>7.1029075212022692E-3</v>
      </c>
      <c r="L101" s="70">
        <f>-0.0257235787784601-(+K101/52)</f>
        <v>-2.5860173153867835E-2</v>
      </c>
      <c r="M101" s="70">
        <f>0.01554437357777-(+L101/52)</f>
        <v>1.6041684599959766E-2</v>
      </c>
      <c r="N101" s="70">
        <f>0.000713063320022818-(+M101/52)</f>
        <v>4.0456938540820716E-4</v>
      </c>
      <c r="P101" s="65" t="s">
        <v>379</v>
      </c>
      <c r="Q101" s="65"/>
    </row>
    <row r="102" spans="1:24">
      <c r="A102" s="68">
        <v>2.09</v>
      </c>
      <c r="B102" s="69">
        <f t="shared" si="2"/>
        <v>2.0899999999999998E-2</v>
      </c>
      <c r="C102" s="70">
        <f t="shared" si="3"/>
        <v>4.019230769230769E-4</v>
      </c>
      <c r="F102" s="71">
        <v>38317</v>
      </c>
      <c r="G102" s="69">
        <v>2.9708768069535772E-3</v>
      </c>
      <c r="H102" s="70">
        <f>0.0280233417170937-(+G102/52)</f>
        <v>2.7966209470806132E-2</v>
      </c>
      <c r="I102" s="70">
        <f>0.019542118666815-(+H102/52)</f>
        <v>1.9004306946222575E-2</v>
      </c>
      <c r="J102" s="70">
        <f>0.0427297094152851-(+I102/52)</f>
        <v>4.2364241974011591E-2</v>
      </c>
      <c r="K102" s="70">
        <f>0.0275617106329787-(+J102/52)</f>
        <v>2.6747013671940018E-2</v>
      </c>
      <c r="L102" s="70">
        <f>0.0182990209050012-(+K102/52)</f>
        <v>1.7784655257463894E-2</v>
      </c>
      <c r="M102" s="70">
        <f>0.0358570556923141-(+L102/52)</f>
        <v>3.5515043091209023E-2</v>
      </c>
      <c r="N102" s="70">
        <f>0.0318084651560495-(+M102/52)</f>
        <v>3.1125483558141636E-2</v>
      </c>
      <c r="P102" s="72" t="s">
        <v>380</v>
      </c>
      <c r="Q102" s="72">
        <v>0.4007976141581695</v>
      </c>
    </row>
    <row r="103" spans="1:24">
      <c r="A103" s="68">
        <v>2.15</v>
      </c>
      <c r="B103" s="69">
        <f t="shared" si="2"/>
        <v>2.1499999999999998E-2</v>
      </c>
      <c r="C103" s="70">
        <f t="shared" si="3"/>
        <v>4.1346153846153844E-4</v>
      </c>
      <c r="F103" s="71">
        <v>38324</v>
      </c>
      <c r="G103" s="69">
        <v>-3.1458861425143281E-3</v>
      </c>
      <c r="H103" s="70">
        <f>-0.00867199043981688-(+G103/52)</f>
        <v>-8.6114926293839114E-3</v>
      </c>
      <c r="I103" s="70">
        <f>0.0229561040762335-(+H103/52)</f>
        <v>2.3121709703721651E-2</v>
      </c>
      <c r="J103" s="70">
        <f>0.068193564181378-(+I103/52)</f>
        <v>6.774891591784489E-2</v>
      </c>
      <c r="K103" s="70">
        <f>0.0368853693053506-(+J103/52)</f>
        <v>3.5582505537699739E-2</v>
      </c>
      <c r="L103" s="70">
        <f>0.0441541810198766-(+K103/52)</f>
        <v>4.3469902067228526E-2</v>
      </c>
      <c r="M103" s="70">
        <f>0.0118923694860689-(+L103/52)</f>
        <v>1.1056409830929891E-2</v>
      </c>
      <c r="N103" s="70">
        <f>-0.00517250904671142-(+M103/52)</f>
        <v>-5.385132312690841E-3</v>
      </c>
      <c r="P103" s="72" t="s">
        <v>382</v>
      </c>
      <c r="Q103" s="72">
        <v>0.16063872751488092</v>
      </c>
      <c r="T103" s="63" t="s">
        <v>378</v>
      </c>
    </row>
    <row r="104" spans="1:24">
      <c r="A104" s="68">
        <v>2.19</v>
      </c>
      <c r="B104" s="69">
        <f t="shared" si="2"/>
        <v>2.1899999999999999E-2</v>
      </c>
      <c r="C104" s="70">
        <f t="shared" si="3"/>
        <v>4.2115384615384617E-4</v>
      </c>
      <c r="F104" s="71">
        <v>38331</v>
      </c>
      <c r="G104" s="69">
        <v>5.5313070155468894E-3</v>
      </c>
      <c r="H104" s="70">
        <f>-0.0148322513907781-(+G104/52)</f>
        <v>-1.4938622679538617E-2</v>
      </c>
      <c r="I104" s="70">
        <f>-0.0325723288995461-(+H104/52)</f>
        <v>-3.2285047694170357E-2</v>
      </c>
      <c r="J104" s="70">
        <f>0.0119429590017825-(+I104/52)</f>
        <v>1.2563825303593469E-2</v>
      </c>
      <c r="K104" s="70">
        <f>-0.00382738994075962-(+J104/52)</f>
        <v>-4.0690019658287252E-3</v>
      </c>
      <c r="L104" s="70">
        <f>-0.0527457999673475-(+K104/52)</f>
        <v>-5.2667549929543096E-2</v>
      </c>
      <c r="M104" s="70">
        <f>-0.0252967005394556-(+L104/52)</f>
        <v>-2.4283863040810542E-2</v>
      </c>
      <c r="N104" s="70">
        <f>-0.00855923084932833-(+M104/52)</f>
        <v>-8.0922334831588956E-3</v>
      </c>
      <c r="P104" s="72" t="s">
        <v>386</v>
      </c>
      <c r="Q104" s="72">
        <v>0.15948575873399476</v>
      </c>
    </row>
    <row r="105" spans="1:24">
      <c r="A105" s="68">
        <v>2.21</v>
      </c>
      <c r="B105" s="69">
        <f t="shared" si="2"/>
        <v>2.2099999999999998E-2</v>
      </c>
      <c r="C105" s="70">
        <f t="shared" si="3"/>
        <v>4.2499999999999998E-4</v>
      </c>
      <c r="F105" s="71">
        <v>38338</v>
      </c>
      <c r="G105" s="69">
        <v>1.6196434418527313E-3</v>
      </c>
      <c r="H105" s="70">
        <f>0.0292512732323567-(+G105/52)</f>
        <v>2.9220126243090304E-2</v>
      </c>
      <c r="I105" s="70">
        <f>0.0122373765556261-(+H105/52)</f>
        <v>1.1675451050951286E-2</v>
      </c>
      <c r="J105" s="70">
        <f>0.0187158710586577-(+I105/52)</f>
        <v>1.8491343153831712E-2</v>
      </c>
      <c r="K105" s="70">
        <f>0.00394120836515645-(+J105/52)</f>
        <v>3.585605612198148E-3</v>
      </c>
      <c r="L105" s="70">
        <f>0.0272528932290243-(+K105/52)</f>
        <v>2.7183939274943565E-2</v>
      </c>
      <c r="M105" s="70">
        <f>0.021407168672838-(+L105/52)</f>
        <v>2.0884400609858318E-2</v>
      </c>
      <c r="N105" s="70">
        <f>0.0257383316295809-(+M105/52)</f>
        <v>2.533670854092978E-2</v>
      </c>
      <c r="P105" s="72" t="s">
        <v>387</v>
      </c>
      <c r="Q105" s="72">
        <v>2.5942452319213306E-2</v>
      </c>
    </row>
    <row r="106" spans="1:24" ht="16.5" thickBot="1">
      <c r="A106" s="68">
        <v>2.1800000000000002</v>
      </c>
      <c r="B106" s="69">
        <f t="shared" si="2"/>
        <v>2.18E-2</v>
      </c>
      <c r="C106" s="70">
        <f t="shared" si="3"/>
        <v>4.1923076923076923E-4</v>
      </c>
      <c r="F106" s="71">
        <v>38345</v>
      </c>
      <c r="G106" s="69">
        <v>2.4419788222148253E-4</v>
      </c>
      <c r="H106" s="70">
        <f>0.0189894770664309-(+G106/52)</f>
        <v>1.8984780953311256E-2</v>
      </c>
      <c r="I106" s="70">
        <f>0.0119035409348478-(+H106/52)</f>
        <v>1.1538448993437969E-2</v>
      </c>
      <c r="J106" s="70">
        <f>0.0064533659398139-(+I106/52)</f>
        <v>6.231472689940093E-3</v>
      </c>
      <c r="K106" s="70">
        <f>0.00171896142209216-(+J106/52)</f>
        <v>1.5991254088240812E-3</v>
      </c>
      <c r="L106" s="70">
        <f>-0.00866323465621243-(+K106/52)</f>
        <v>-8.6939870679205861E-3</v>
      </c>
      <c r="M106" s="70">
        <f>0.0306413565063107-(+L106/52)</f>
        <v>3.0808548565309173E-2</v>
      </c>
      <c r="N106" s="70">
        <f>0.0172220781171074-(+M106/52)</f>
        <v>1.6629606029312991E-2</v>
      </c>
      <c r="P106" s="76" t="s">
        <v>388</v>
      </c>
      <c r="Q106" s="76">
        <v>730</v>
      </c>
    </row>
    <row r="107" spans="1:24">
      <c r="A107" s="68">
        <v>2.17</v>
      </c>
      <c r="B107" s="69">
        <f t="shared" si="2"/>
        <v>2.1700000000000001E-2</v>
      </c>
      <c r="C107" s="70">
        <f t="shared" si="3"/>
        <v>4.173076923076923E-4</v>
      </c>
      <c r="F107" s="71">
        <v>38352</v>
      </c>
      <c r="G107" s="69">
        <v>1.0127995805431607E-4</v>
      </c>
      <c r="H107" s="70">
        <f>-0.00059911394201207-(+G107/52)</f>
        <v>-6.0106163351311454E-4</v>
      </c>
      <c r="I107" s="70">
        <f>0.00853915786673087-(+H107/52)</f>
        <v>8.5507167442984301E-3</v>
      </c>
      <c r="J107" s="70">
        <f>0.00460190457490673-(+I107/52)</f>
        <v>4.4374677144394525E-3</v>
      </c>
      <c r="K107" s="70">
        <f>0.00962937626454401-(+J107/52)</f>
        <v>9.5440403469586356E-3</v>
      </c>
      <c r="L107" s="70">
        <f>0.0135294676139014-(+K107/52)</f>
        <v>1.3345928376459888E-2</v>
      </c>
      <c r="M107" s="70">
        <f>0.00909175384284331-(+L107/52)</f>
        <v>8.8351013740652351E-3</v>
      </c>
      <c r="N107" s="70">
        <f>0.00738150998852511-(+M107/52)</f>
        <v>7.2116041928700098E-3</v>
      </c>
    </row>
    <row r="108" spans="1:24" ht="16.5" thickBot="1">
      <c r="A108" s="68">
        <v>2.2000000000000002</v>
      </c>
      <c r="B108" s="69">
        <f t="shared" si="2"/>
        <v>2.2000000000000002E-2</v>
      </c>
      <c r="C108" s="70">
        <f t="shared" si="3"/>
        <v>4.230769230769231E-4</v>
      </c>
      <c r="F108" s="71">
        <v>38359</v>
      </c>
      <c r="G108" s="69">
        <v>-4.9075645260064681E-3</v>
      </c>
      <c r="H108" s="70">
        <f>-0.0261322942466358-(+G108/52)</f>
        <v>-2.603791800575106E-2</v>
      </c>
      <c r="I108" s="70">
        <f>-0.0249483383477065-(+H108/52)</f>
        <v>-2.4447609155288211E-2</v>
      </c>
      <c r="J108" s="70">
        <f>-0.0281873373807459-(+I108/52)</f>
        <v>-2.7717191050836511E-2</v>
      </c>
      <c r="K108" s="70">
        <f>-0.0349403401587101-(+J108/52)</f>
        <v>-3.4407317253886321E-2</v>
      </c>
      <c r="L108" s="70">
        <f>0.00173097404964434-(+K108/52)</f>
        <v>2.3926532276036922E-3</v>
      </c>
      <c r="M108" s="70">
        <f>-0.0199243929627297-(+L108/52)</f>
        <v>-1.9970405524799003E-2</v>
      </c>
      <c r="N108" s="70">
        <f>-0.0393948881235804-(+M108/52)</f>
        <v>-3.9010841863488112E-2</v>
      </c>
      <c r="P108" s="63" t="s">
        <v>389</v>
      </c>
    </row>
    <row r="109" spans="1:24">
      <c r="A109" s="68">
        <v>2.29</v>
      </c>
      <c r="B109" s="69">
        <f t="shared" si="2"/>
        <v>2.29E-2</v>
      </c>
      <c r="C109" s="70">
        <f t="shared" si="3"/>
        <v>4.4038461538461538E-4</v>
      </c>
      <c r="F109" s="71">
        <v>38366</v>
      </c>
      <c r="G109" s="69">
        <v>6.4980523729034683E-3</v>
      </c>
      <c r="H109" s="70">
        <f>0.00750010124326731-(+G109/52)</f>
        <v>7.3751386976345515E-3</v>
      </c>
      <c r="I109" s="70">
        <f>0.0198341890142171-(+H109/52)</f>
        <v>1.9692359423877974E-2</v>
      </c>
      <c r="J109" s="70">
        <f>0.00264595156840196-(+I109/52)</f>
        <v>2.2672523487119994E-3</v>
      </c>
      <c r="K109" s="70">
        <f>0.0150771409361631-(+J109/52)</f>
        <v>1.50335399294571E-2</v>
      </c>
      <c r="L109" s="70">
        <f>0.0187130389528017-(+K109/52)</f>
        <v>1.8423932415696755E-2</v>
      </c>
      <c r="M109" s="70">
        <f>0.0288301297108579-(+L109/52)</f>
        <v>2.8475823318248345E-2</v>
      </c>
      <c r="N109" s="70">
        <f>0.018535854708856-(+M109/52)</f>
        <v>1.798824272196661E-2</v>
      </c>
      <c r="P109" s="77"/>
      <c r="Q109" s="77" t="s">
        <v>390</v>
      </c>
      <c r="R109" s="77" t="s">
        <v>391</v>
      </c>
      <c r="S109" s="77" t="s">
        <v>392</v>
      </c>
      <c r="T109" s="77" t="s">
        <v>393</v>
      </c>
      <c r="U109" s="77" t="s">
        <v>394</v>
      </c>
    </row>
    <row r="110" spans="1:24">
      <c r="A110" s="68">
        <v>2.31</v>
      </c>
      <c r="B110" s="69">
        <f t="shared" si="2"/>
        <v>2.3099999999999999E-2</v>
      </c>
      <c r="C110" s="70">
        <f t="shared" si="3"/>
        <v>4.4423076923076919E-4</v>
      </c>
      <c r="F110" s="71">
        <v>38373</v>
      </c>
      <c r="G110" s="69">
        <v>-3.5628381253467326E-3</v>
      </c>
      <c r="H110" s="70">
        <f>0.00623035428608179-(+G110/52)</f>
        <v>6.2988704038769196E-3</v>
      </c>
      <c r="I110" s="70">
        <f>0.00532479345107244-(+H110/52)</f>
        <v>5.2036613279209613E-3</v>
      </c>
      <c r="J110" s="70">
        <f>0.00392397763458114-(+I110/52)</f>
        <v>3.8239072244288137E-3</v>
      </c>
      <c r="K110" s="70">
        <f>0.0202399723334291-(+J110/52)</f>
        <v>2.0166435656036236E-2</v>
      </c>
      <c r="L110" s="70">
        <f>-0.0020494584001851-(+K110/52)</f>
        <v>-2.4372744704934893E-3</v>
      </c>
      <c r="M110" s="70">
        <f>0.00987748078577652-(+L110/52)</f>
        <v>9.9243514486706246E-3</v>
      </c>
      <c r="N110" s="70">
        <f>0.00300925925925931-(+M110/52)</f>
        <v>2.818406346784875E-3</v>
      </c>
      <c r="P110" s="72" t="s">
        <v>395</v>
      </c>
      <c r="Q110" s="72">
        <v>1</v>
      </c>
      <c r="R110" s="72">
        <v>9.3768023473174367E-2</v>
      </c>
      <c r="S110" s="72">
        <v>9.3768023473174367E-2</v>
      </c>
      <c r="T110" s="72">
        <v>139.32617272725864</v>
      </c>
      <c r="U110" s="72">
        <v>1.5210891509510519E-29</v>
      </c>
    </row>
    <row r="111" spans="1:24">
      <c r="A111" s="68">
        <v>2.33</v>
      </c>
      <c r="B111" s="69">
        <f t="shared" si="2"/>
        <v>2.3300000000000001E-2</v>
      </c>
      <c r="C111" s="70">
        <f t="shared" si="3"/>
        <v>4.4807692307692311E-4</v>
      </c>
      <c r="F111" s="71">
        <v>38380</v>
      </c>
      <c r="G111" s="69">
        <v>3.0332734367559557E-4</v>
      </c>
      <c r="H111" s="70">
        <f>0.0141012735087802-(+G111/52)</f>
        <v>1.4095440290632592E-2</v>
      </c>
      <c r="I111" s="70">
        <f>0.0302087849257662-(+H111/52)</f>
        <v>2.9937718766330956E-2</v>
      </c>
      <c r="J111" s="70">
        <f>-0.0144919392100301-(+I111/52)</f>
        <v>-1.5067664570921079E-2</v>
      </c>
      <c r="K111" s="70">
        <f>-0.0148975042515052-(+J111/52)</f>
        <v>-1.4607741471295179E-2</v>
      </c>
      <c r="L111" s="70">
        <f>-0.0199307712150632-(+K111/52)</f>
        <v>-1.9649853109845985E-2</v>
      </c>
      <c r="M111" s="70">
        <f>0.0282098389369074-(+L111/52)</f>
        <v>2.858772072748136E-2</v>
      </c>
      <c r="N111" s="70">
        <f>0.0100120823773774-(+M111/52)</f>
        <v>9.4623185172335277E-3</v>
      </c>
      <c r="P111" s="72" t="s">
        <v>397</v>
      </c>
      <c r="Q111" s="72">
        <v>728</v>
      </c>
      <c r="R111" s="72">
        <v>0.48995188593962946</v>
      </c>
      <c r="S111" s="72">
        <v>6.7301083233465588E-4</v>
      </c>
      <c r="T111" s="72"/>
      <c r="U111" s="72"/>
    </row>
    <row r="112" spans="1:24" ht="16.5" thickBot="1">
      <c r="A112" s="68">
        <v>2.38</v>
      </c>
      <c r="B112" s="69">
        <f t="shared" si="2"/>
        <v>2.3799999999999998E-2</v>
      </c>
      <c r="C112" s="70">
        <f t="shared" si="3"/>
        <v>4.5769230769230766E-4</v>
      </c>
      <c r="F112" s="71">
        <v>38387</v>
      </c>
      <c r="G112" s="69">
        <v>1.5747574705505224E-3</v>
      </c>
      <c r="H112" s="70">
        <f>0.0366813465583663-(+G112/52)</f>
        <v>3.6651062760855717E-2</v>
      </c>
      <c r="I112" s="70">
        <f>0.0111851775052297-(+H112/52)</f>
        <v>1.0480349375213244E-2</v>
      </c>
      <c r="J112" s="70">
        <f>0.0344532650772633-(+I112/52)</f>
        <v>3.4251719896970734E-2</v>
      </c>
      <c r="K112" s="70">
        <f>0.050354887060182-(+J112/52)</f>
        <v>4.9696200139086405E-2</v>
      </c>
      <c r="L112" s="70">
        <f>-0.00338492677213876-(+K112/52)</f>
        <v>-4.3406229286596524E-3</v>
      </c>
      <c r="M112" s="70">
        <f>0.0344256148423142-(+L112/52)</f>
        <v>3.4509088360173037E-2</v>
      </c>
      <c r="N112" s="70">
        <f>0.0303164714342358-(+M112/52)</f>
        <v>2.9652835119617089E-2</v>
      </c>
      <c r="P112" s="76" t="s">
        <v>398</v>
      </c>
      <c r="Q112" s="76">
        <v>729</v>
      </c>
      <c r="R112" s="76">
        <v>0.58371990941280383</v>
      </c>
      <c r="S112" s="76"/>
      <c r="T112" s="76"/>
      <c r="U112" s="76"/>
    </row>
    <row r="113" spans="1:24" ht="16.5" thickBot="1">
      <c r="A113" s="68">
        <v>2.46</v>
      </c>
      <c r="B113" s="69">
        <f t="shared" si="2"/>
        <v>2.46E-2</v>
      </c>
      <c r="C113" s="70">
        <f t="shared" si="3"/>
        <v>4.7307692307692307E-4</v>
      </c>
      <c r="F113" s="71">
        <v>38394</v>
      </c>
      <c r="G113" s="69">
        <v>2.4157384773106734E-3</v>
      </c>
      <c r="H113" s="70">
        <f>0.00176309209876368-(+G113/52)</f>
        <v>1.7166355895846285E-3</v>
      </c>
      <c r="I113" s="70">
        <f>0.00696618235113175-(+H113/52)</f>
        <v>6.9331701282551225E-3</v>
      </c>
      <c r="J113" s="70">
        <f>-0.00738018680140864-(+I113/52)</f>
        <v>-7.5135169961827774E-3</v>
      </c>
      <c r="K113" s="70">
        <f>-0.0112605984552769-(+J113/52)</f>
        <v>-1.1116107743811846E-2</v>
      </c>
      <c r="L113" s="70">
        <f>-0.0113644040904485-(+K113/52)</f>
        <v>-1.1150632787682887E-2</v>
      </c>
      <c r="M113" s="70">
        <f>0.00035799309073343-(+L113/52)</f>
        <v>5.7242833665040855E-4</v>
      </c>
      <c r="N113" s="70">
        <f>-0.0018263887076995-(+M113/52)</f>
        <v>-1.8373969449427773E-3</v>
      </c>
    </row>
    <row r="114" spans="1:24">
      <c r="A114" s="68">
        <v>2.48</v>
      </c>
      <c r="B114" s="69">
        <f t="shared" si="2"/>
        <v>2.4799999999999999E-2</v>
      </c>
      <c r="C114" s="70">
        <f t="shared" si="3"/>
        <v>4.7692307692307693E-4</v>
      </c>
      <c r="F114" s="71">
        <v>38401</v>
      </c>
      <c r="G114" s="69">
        <v>-1.4608265465646674E-3</v>
      </c>
      <c r="H114" s="70">
        <f>0.00738133349517142-(+G114/52)</f>
        <v>7.4094263133745869E-3</v>
      </c>
      <c r="I114" s="70">
        <f>0.00625913414312756-(+H114/52)</f>
        <v>6.1166451755626638E-3</v>
      </c>
      <c r="J114" s="70">
        <f>0.00444869500832976-(+I114/52)</f>
        <v>4.3310672164920171E-3</v>
      </c>
      <c r="K114" s="70">
        <f>0.0041219976525953-(+J114/52)</f>
        <v>4.0387078984319928E-3</v>
      </c>
      <c r="L114" s="70">
        <f>0.0383388830906351-(+K114/52)</f>
        <v>3.8261215631049873E-2</v>
      </c>
      <c r="M114" s="70">
        <f>-0.0143548589117327-(+L114/52)</f>
        <v>-1.5090651520022121E-2</v>
      </c>
      <c r="N114" s="70">
        <f>-0.000941004260658216-(+M114/52)</f>
        <v>-6.5079942373471363E-4</v>
      </c>
      <c r="P114" s="77"/>
      <c r="Q114" s="77" t="s">
        <v>399</v>
      </c>
      <c r="R114" s="77" t="s">
        <v>387</v>
      </c>
      <c r="S114" s="77" t="s">
        <v>384</v>
      </c>
      <c r="T114" s="77" t="s">
        <v>400</v>
      </c>
      <c r="U114" s="77" t="s">
        <v>401</v>
      </c>
      <c r="V114" s="77" t="s">
        <v>402</v>
      </c>
      <c r="W114" s="77" t="s">
        <v>403</v>
      </c>
      <c r="X114" s="77" t="s">
        <v>404</v>
      </c>
    </row>
    <row r="115" spans="1:24">
      <c r="A115" s="68">
        <v>2.54</v>
      </c>
      <c r="B115" s="69">
        <f t="shared" si="2"/>
        <v>2.5399999999999999E-2</v>
      </c>
      <c r="C115" s="70">
        <f t="shared" si="3"/>
        <v>4.8846153846153842E-4</v>
      </c>
      <c r="F115" s="71">
        <v>38408</v>
      </c>
      <c r="G115" s="69">
        <v>-2.0003093854655037E-3</v>
      </c>
      <c r="H115" s="70">
        <f>-0.0299792156153986-(+G115/52)</f>
        <v>-2.994074812721657E-2</v>
      </c>
      <c r="I115" s="70">
        <f>-0.00975589431015298-(+H115/52)</f>
        <v>-9.1801106923218925E-3</v>
      </c>
      <c r="J115" s="70">
        <f>-0.0209409611096437-(+I115/52)</f>
        <v>-2.0764420519406742E-2</v>
      </c>
      <c r="K115" s="70">
        <f>-0.00848419769243249-(+J115/52)</f>
        <v>-8.0848819132131305E-3</v>
      </c>
      <c r="L115" s="70">
        <f>-0.0133282012213363-(+K115/52)</f>
        <v>-1.3172722723005278E-2</v>
      </c>
      <c r="M115" s="70">
        <f>-0.0183989216616214-(+L115/52)</f>
        <v>-1.8145600070794375E-2</v>
      </c>
      <c r="N115" s="70">
        <f>-0.00838544255775617-(+M115/52)</f>
        <v>-8.0364887102408935E-3</v>
      </c>
      <c r="P115" s="72" t="s">
        <v>405</v>
      </c>
      <c r="Q115" s="72">
        <v>3.0130994095880809E-4</v>
      </c>
      <c r="R115" s="72">
        <v>9.6564490481666212E-4</v>
      </c>
      <c r="S115" s="72">
        <v>0.31202975281686485</v>
      </c>
      <c r="T115" s="72">
        <v>0.75510725731412554</v>
      </c>
      <c r="U115" s="72">
        <v>-1.5944711077279549E-3</v>
      </c>
      <c r="V115" s="72">
        <v>2.1970909896455709E-3</v>
      </c>
      <c r="W115" s="72">
        <v>-1.5944711077279549E-3</v>
      </c>
      <c r="X115" s="72">
        <v>2.1970909896455709E-3</v>
      </c>
    </row>
    <row r="116" spans="1:24" ht="16.5" thickBot="1">
      <c r="A116" s="68">
        <v>2.65</v>
      </c>
      <c r="B116" s="69">
        <f t="shared" si="2"/>
        <v>2.6499999999999999E-2</v>
      </c>
      <c r="C116" s="70">
        <f t="shared" si="3"/>
        <v>5.0961538461538462E-4</v>
      </c>
      <c r="F116" s="71">
        <v>38415</v>
      </c>
      <c r="G116" s="69">
        <v>2.1401694695191101E-3</v>
      </c>
      <c r="H116" s="70">
        <f>0.00111791694808677-(+G116/52)</f>
        <v>1.0767598429037102E-3</v>
      </c>
      <c r="I116" s="70">
        <f>-0.00506726295668472-(+H116/52)</f>
        <v>-5.0879698767405598E-3</v>
      </c>
      <c r="J116" s="70">
        <f>0.00216461080925076-(+I116/52)</f>
        <v>2.2624563838034633E-3</v>
      </c>
      <c r="K116" s="70">
        <f>0.0162054533352888-(+J116/52)</f>
        <v>1.6161944558677192E-2</v>
      </c>
      <c r="L116" s="70">
        <f>-0.00385458882027765-(+K116/52)</f>
        <v>-4.1653954464060576E-3</v>
      </c>
      <c r="M116" s="70">
        <f>-0.00607531728968716-(+L116/52)</f>
        <v>-5.9952135311024278E-3</v>
      </c>
      <c r="N116" s="70">
        <f>0.0191949974274745-(+M116/52)</f>
        <v>1.9310289995380314E-2</v>
      </c>
      <c r="P116" s="76" t="s">
        <v>406</v>
      </c>
      <c r="Q116" s="76">
        <v>1.9730006682526371</v>
      </c>
      <c r="R116" s="76">
        <v>0.16715173110495973</v>
      </c>
      <c r="S116" s="76">
        <v>11.803650821981192</v>
      </c>
      <c r="T116" s="76">
        <v>1.521089150951923E-29</v>
      </c>
      <c r="U116" s="76">
        <v>1.6448437210111124</v>
      </c>
      <c r="V116" s="76">
        <v>2.3011576154941618</v>
      </c>
      <c r="W116" s="76">
        <v>1.6448437210111124</v>
      </c>
      <c r="X116" s="76">
        <v>2.3011576154941618</v>
      </c>
    </row>
    <row r="117" spans="1:24">
      <c r="A117" s="68">
        <v>2.7</v>
      </c>
      <c r="B117" s="69">
        <f t="shared" si="2"/>
        <v>2.7000000000000003E-2</v>
      </c>
      <c r="C117" s="70">
        <f t="shared" si="3"/>
        <v>5.1923076923076933E-4</v>
      </c>
      <c r="F117" s="71">
        <v>38422</v>
      </c>
      <c r="G117" s="69">
        <v>-4.4080747638051655E-3</v>
      </c>
      <c r="H117" s="70">
        <f>-0.0194796634484897-(+G117/52)</f>
        <v>-1.9394892779954986E-2</v>
      </c>
      <c r="I117" s="70">
        <f>-0.0118838320676177-(+H117/52)</f>
        <v>-1.1510853360310873E-2</v>
      </c>
      <c r="J117" s="70">
        <f>-0.0199340124086722-(+I117/52)</f>
        <v>-1.9712649844050838E-2</v>
      </c>
      <c r="K117" s="70">
        <f>-0.00984685749809891-(+J117/52)</f>
        <v>-9.4677680780210095E-3</v>
      </c>
      <c r="L117" s="70">
        <f>0.020487878123808-(+K117/52)</f>
        <v>2.0669950586846866E-2</v>
      </c>
      <c r="M117" s="70">
        <f>-0.0174256062445632-(+L117/52)</f>
        <v>-1.7823105294310256E-2</v>
      </c>
      <c r="N117" s="70">
        <f>-0.0151444547996271-(+M117/52)</f>
        <v>-1.4801702774736518E-2</v>
      </c>
    </row>
    <row r="118" spans="1:24">
      <c r="A118" s="68">
        <v>2.7</v>
      </c>
      <c r="B118" s="69">
        <f t="shared" si="2"/>
        <v>2.7000000000000003E-2</v>
      </c>
      <c r="C118" s="70">
        <f t="shared" si="3"/>
        <v>5.1923076923076933E-4</v>
      </c>
      <c r="F118" s="71">
        <v>38429</v>
      </c>
      <c r="G118" s="69">
        <v>-3.8988143405272865E-3</v>
      </c>
      <c r="H118" s="70">
        <f>-0.00321093298956856-(+G118/52)</f>
        <v>-3.1359557907122662E-3</v>
      </c>
      <c r="I118" s="70">
        <f>-0.00163862257875175-(+H118/52)</f>
        <v>-1.5783157366226681E-3</v>
      </c>
      <c r="J118" s="70">
        <f>-0.00129038027890099-(+I118/52)</f>
        <v>-1.2600280531967079E-3</v>
      </c>
      <c r="K118" s="70">
        <f>0.0100288701404267-(+J118/52)</f>
        <v>1.0053101449142022E-2</v>
      </c>
      <c r="L118" s="70">
        <f>-0.0156285728488344-(+K118/52)</f>
        <v>-1.5821901722856361E-2</v>
      </c>
      <c r="M118" s="70">
        <f>0.0123186175878802-(+L118/52)</f>
        <v>1.2622884928704361E-2</v>
      </c>
      <c r="N118" s="70">
        <f>0.000571721473069875-(+M118/52)</f>
        <v>3.2897368597940651E-4</v>
      </c>
    </row>
    <row r="119" spans="1:24">
      <c r="A119" s="68">
        <v>2.74</v>
      </c>
      <c r="B119" s="69">
        <f t="shared" si="2"/>
        <v>2.7400000000000001E-2</v>
      </c>
      <c r="C119" s="70">
        <f t="shared" si="3"/>
        <v>5.2692307692307695E-4</v>
      </c>
      <c r="F119" s="71">
        <v>38436</v>
      </c>
      <c r="G119" s="69">
        <v>-9.6938058205796648E-3</v>
      </c>
      <c r="H119" s="70">
        <f>-0.0148607155041772-(+G119/52)</f>
        <v>-1.4674296161473746E-2</v>
      </c>
      <c r="I119" s="70">
        <f>-0.0318586021900492-(+H119/52)</f>
        <v>-3.1576404186943935E-2</v>
      </c>
      <c r="J119" s="70">
        <f>-0.00186131596957937-(+I119/52)</f>
        <v>-1.2540774275227558E-3</v>
      </c>
      <c r="K119" s="70">
        <f>-0.0335620011766404-(+J119/52)</f>
        <v>-3.3537884303034192E-2</v>
      </c>
      <c r="L119" s="70">
        <f>-0.0286507832304847-(+K119/52)</f>
        <v>-2.8005823916964812E-2</v>
      </c>
      <c r="M119" s="70">
        <f>-0.0390081701562477-(+L119/52)</f>
        <v>-3.8469596619382991E-2</v>
      </c>
      <c r="N119" s="70">
        <f>-0.0230790954886081-(+M119/52)</f>
        <v>-2.2339295553619964E-2</v>
      </c>
      <c r="P119" s="63" t="s">
        <v>369</v>
      </c>
    </row>
    <row r="120" spans="1:24" ht="16.5" thickBot="1">
      <c r="A120" s="68">
        <v>2.8</v>
      </c>
      <c r="B120" s="69">
        <f t="shared" si="2"/>
        <v>2.7999999999999997E-2</v>
      </c>
      <c r="C120" s="70">
        <f t="shared" si="3"/>
        <v>5.3846153846153844E-4</v>
      </c>
      <c r="F120" s="71">
        <v>38443</v>
      </c>
      <c r="G120" s="69">
        <v>3.9728839807986914E-3</v>
      </c>
      <c r="H120" s="70">
        <f>0.00575851293450587-(+G120/52)</f>
        <v>5.6821113194905105E-3</v>
      </c>
      <c r="I120" s="70">
        <f>0.00387773434040568-(+H120/52)</f>
        <v>3.7684629688770166E-3</v>
      </c>
      <c r="J120" s="70">
        <f>0.0207369432874078-(+I120/52)</f>
        <v>2.0664472845698625E-2</v>
      </c>
      <c r="K120" s="70">
        <f>0.000844211408914199-(+J120/52)</f>
        <v>4.4681770034307164E-4</v>
      </c>
      <c r="L120" s="70">
        <f>0.00962608212842678-(+K120/52)</f>
        <v>9.6174894803432599E-3</v>
      </c>
      <c r="M120" s="70">
        <f>0.0111394450230185-(+L120/52)</f>
        <v>1.0954493302242668E-2</v>
      </c>
      <c r="N120" s="70">
        <f>0.0118793909038958-(+M120/52)</f>
        <v>1.1668727571160364E-2</v>
      </c>
    </row>
    <row r="121" spans="1:24">
      <c r="A121" s="68">
        <v>2.76</v>
      </c>
      <c r="B121" s="69">
        <f t="shared" si="2"/>
        <v>2.76E-2</v>
      </c>
      <c r="C121" s="70">
        <f t="shared" si="3"/>
        <v>5.3076923076923071E-4</v>
      </c>
      <c r="F121" s="71">
        <v>38450</v>
      </c>
      <c r="G121" s="69">
        <v>-1.5768182633159402E-3</v>
      </c>
      <c r="H121" s="70">
        <f>0.00794368949142776-(+G121/52)</f>
        <v>7.9740129195684517E-3</v>
      </c>
      <c r="I121" s="70">
        <f>0.00258987365701497-(+H121/52)</f>
        <v>2.4365272547155767E-3</v>
      </c>
      <c r="J121" s="70">
        <f>0.0300465828760846-(+I121/52)</f>
        <v>2.9999726582724685E-2</v>
      </c>
      <c r="K121" s="70">
        <f>0.00978918255161409-(+J121/52)</f>
        <v>9.2122647327155388E-3</v>
      </c>
      <c r="L121" s="70">
        <f>0.00873308479742943-(+K121/52)</f>
        <v>8.5559258602618243E-3</v>
      </c>
      <c r="M121" s="70">
        <f>0.0142124894717845-(+L121/52)</f>
        <v>1.4047952436010234E-2</v>
      </c>
      <c r="N121" s="70">
        <f>0.00599952163282675-(+M121/52)</f>
        <v>5.729368701365015E-3</v>
      </c>
      <c r="P121" s="65" t="s">
        <v>379</v>
      </c>
      <c r="Q121" s="65"/>
    </row>
    <row r="122" spans="1:24">
      <c r="A122" s="68">
        <v>2.73</v>
      </c>
      <c r="B122" s="69">
        <f t="shared" si="2"/>
        <v>2.7300000000000001E-2</v>
      </c>
      <c r="C122" s="70">
        <f t="shared" si="3"/>
        <v>5.2500000000000008E-4</v>
      </c>
      <c r="F122" s="71">
        <v>38457</v>
      </c>
      <c r="G122" s="69">
        <v>3.3970036122378377E-3</v>
      </c>
      <c r="H122" s="70">
        <f>0.00125525339434812-(+G122/52)</f>
        <v>1.1899264018050847E-3</v>
      </c>
      <c r="I122" s="70">
        <f>-0.00550576345329528-(+H122/52)</f>
        <v>-5.5286466533299933E-3</v>
      </c>
      <c r="J122" s="70">
        <f>0.0117021795309377-(+I122/52)</f>
        <v>1.1808499658886354E-2</v>
      </c>
      <c r="K122" s="70">
        <f>-0.0168826002954881-(+J122/52)</f>
        <v>-1.710968682738976E-2</v>
      </c>
      <c r="L122" s="70">
        <f>-0.0330781010719755-(+K122/52)</f>
        <v>-3.2749068632987238E-2</v>
      </c>
      <c r="M122" s="70">
        <f>-0.011521961960442-(+L122/52)</f>
        <v>-1.0892172179038399E-2</v>
      </c>
      <c r="N122" s="70">
        <f>-0.0163259914803685-(+M122/52)</f>
        <v>-1.6116526630771608E-2</v>
      </c>
      <c r="P122" s="72" t="s">
        <v>380</v>
      </c>
      <c r="Q122" s="72">
        <v>0.2930952398125159</v>
      </c>
    </row>
    <row r="123" spans="1:24">
      <c r="A123" s="68">
        <v>2.72</v>
      </c>
      <c r="B123" s="69">
        <f t="shared" si="2"/>
        <v>2.7200000000000002E-2</v>
      </c>
      <c r="C123" s="70">
        <f t="shared" si="3"/>
        <v>5.2307692307692309E-4</v>
      </c>
      <c r="F123" s="71">
        <v>38464</v>
      </c>
      <c r="G123" s="69">
        <v>5.2187935658598106E-3</v>
      </c>
      <c r="H123" s="70">
        <f>0.00811717937934921-(+G123/52)</f>
        <v>8.0168179646211372E-3</v>
      </c>
      <c r="I123" s="70">
        <f>0.00576376161284214-(+H123/52)</f>
        <v>5.6095920365994258E-3</v>
      </c>
      <c r="J123" s="70">
        <f>0.00272904718299675-(+I123/52)</f>
        <v>2.621170413062146E-3</v>
      </c>
      <c r="K123" s="70">
        <f>-0.00930009421475179-(+J123/52)</f>
        <v>-9.3505013380799067E-3</v>
      </c>
      <c r="L123" s="70">
        <f>0.00467532467532474-(+K123/52)</f>
        <v>4.8551420087493543E-3</v>
      </c>
      <c r="M123" s="70">
        <f>0.0124243879020644-(+L123/52)</f>
        <v>1.2331019786511526E-2</v>
      </c>
      <c r="N123" s="70">
        <f>0.0116420375579919-(+M123/52)</f>
        <v>1.1404902562097448E-2</v>
      </c>
      <c r="P123" s="72" t="s">
        <v>382</v>
      </c>
      <c r="Q123" s="72">
        <v>8.5904819600756216E-2</v>
      </c>
    </row>
    <row r="124" spans="1:24">
      <c r="A124" s="68">
        <v>2.84</v>
      </c>
      <c r="B124" s="69">
        <f t="shared" si="2"/>
        <v>2.8399999999999998E-2</v>
      </c>
      <c r="C124" s="70">
        <f t="shared" si="3"/>
        <v>5.4615384615384617E-4</v>
      </c>
      <c r="F124" s="71">
        <v>38471</v>
      </c>
      <c r="G124" s="69">
        <v>2.1459112749813583E-4</v>
      </c>
      <c r="H124" s="70">
        <f>0.01157006579983-(+G124/52)</f>
        <v>1.1565939047378113E-2</v>
      </c>
      <c r="I124" s="70">
        <f>-0.0045808146183911-(+H124/52)</f>
        <v>-4.8032365231483716E-3</v>
      </c>
      <c r="J124" s="70">
        <f>0.0078284117876776-(+I124/52)</f>
        <v>7.9207817208150691E-3</v>
      </c>
      <c r="K124" s="70">
        <f>-0.0254784130688448-(+J124/52)</f>
        <v>-2.5630735794245088E-2</v>
      </c>
      <c r="L124" s="70">
        <f>0.00285225447911143-(+K124/52)</f>
        <v>3.3451532443853739E-3</v>
      </c>
      <c r="M124" s="70">
        <f>-0.0220306513409962-(+L124/52)</f>
        <v>-2.2094981211080531E-2</v>
      </c>
      <c r="N124" s="70">
        <f>-0.00899274607272507-(+M124/52)</f>
        <v>-8.5678425878965986E-3</v>
      </c>
      <c r="P124" s="72" t="s">
        <v>386</v>
      </c>
      <c r="Q124" s="72">
        <v>8.4649194352955065E-2</v>
      </c>
    </row>
    <row r="125" spans="1:24">
      <c r="A125" s="68">
        <v>2.85</v>
      </c>
      <c r="B125" s="69">
        <f t="shared" si="2"/>
        <v>2.8500000000000001E-2</v>
      </c>
      <c r="C125" s="70">
        <f t="shared" si="3"/>
        <v>5.4807692307692305E-4</v>
      </c>
      <c r="F125" s="71">
        <v>38478</v>
      </c>
      <c r="G125" s="69">
        <v>3.4259396920413173E-3</v>
      </c>
      <c r="H125" s="70">
        <f>0.0000544653833584416-(+G125/52)</f>
        <v>-1.1418072257737579E-5</v>
      </c>
      <c r="I125" s="70">
        <f>0.0135784310631072-(+H125/52)</f>
        <v>1.3578650641419849E-2</v>
      </c>
      <c r="J125" s="70">
        <f>0.00640842215704509-(+I125/52)</f>
        <v>6.1472942600947081E-3</v>
      </c>
      <c r="K125" s="70">
        <f>-0.002718025779337-(+J125/52)</f>
        <v>-2.8362429766465138E-3</v>
      </c>
      <c r="L125" s="70">
        <f>0.0283533946315504-(+K125/52)</f>
        <v>2.8407937765716679E-2</v>
      </c>
      <c r="M125" s="70">
        <f>0.00190552845686128-(+L125/52)</f>
        <v>1.3592219613667285E-3</v>
      </c>
      <c r="N125" s="70">
        <f>0.0154029546885255-(+M125/52)</f>
        <v>1.5376815804653063E-2</v>
      </c>
      <c r="P125" s="72" t="s">
        <v>387</v>
      </c>
      <c r="Q125" s="72">
        <v>2.1206413631192102E-2</v>
      </c>
    </row>
    <row r="126" spans="1:24" ht="16.5" thickBot="1">
      <c r="A126" s="68">
        <v>2.82</v>
      </c>
      <c r="B126" s="69">
        <f t="shared" si="2"/>
        <v>2.8199999999999999E-2</v>
      </c>
      <c r="C126" s="70">
        <f t="shared" si="3"/>
        <v>5.423076923076923E-4</v>
      </c>
      <c r="F126" s="71">
        <v>38485</v>
      </c>
      <c r="G126" s="69">
        <v>-7.1852967684721972E-3</v>
      </c>
      <c r="H126" s="70">
        <f>0.00396019575348765-(+G126/52)</f>
        <v>4.0983745374967313E-3</v>
      </c>
      <c r="I126" s="70">
        <f>-0.0115343414464016-(+H126/52)</f>
        <v>-1.1613156341353461E-2</v>
      </c>
      <c r="J126" s="70">
        <f>-0.0177345503870918-(+I126/52)</f>
        <v>-1.7511220457450388E-2</v>
      </c>
      <c r="K126" s="70">
        <f>-0.0273563894608564-(+J126/52)</f>
        <v>-2.7019635221290045E-2</v>
      </c>
      <c r="L126" s="70">
        <f>-0.00758994719239207-(+K126/52)</f>
        <v>-7.0703388227518768E-3</v>
      </c>
      <c r="M126" s="70">
        <f>-0.0108742468604059-(+L126/52)</f>
        <v>-1.0738278806122209E-2</v>
      </c>
      <c r="N126" s="70">
        <f>-0.0106185118254608-(+M126/52)</f>
        <v>-1.0412006463804604E-2</v>
      </c>
      <c r="P126" s="76" t="s">
        <v>388</v>
      </c>
      <c r="Q126" s="76">
        <v>730</v>
      </c>
    </row>
    <row r="127" spans="1:24">
      <c r="A127" s="68">
        <v>2.82</v>
      </c>
      <c r="B127" s="69">
        <f t="shared" si="2"/>
        <v>2.8199999999999999E-2</v>
      </c>
      <c r="C127" s="70">
        <f t="shared" si="3"/>
        <v>5.423076923076923E-4</v>
      </c>
      <c r="F127" s="71">
        <v>38492</v>
      </c>
      <c r="G127" s="69">
        <v>-3.8056308290813651E-4</v>
      </c>
      <c r="H127" s="70">
        <f>0.0015344317177884-(+G127/52)</f>
        <v>1.5417502386135566E-3</v>
      </c>
      <c r="I127" s="70">
        <f>0.00802081758153134-(+H127/52)</f>
        <v>7.9911685384810791E-3</v>
      </c>
      <c r="J127" s="70">
        <f>-0.00386542763931511-(+I127/52)</f>
        <v>-4.0191039573628231E-3</v>
      </c>
      <c r="K127" s="70">
        <f>0.00883213390774089-(+J127/52)</f>
        <v>8.9094243684594062E-3</v>
      </c>
      <c r="L127" s="70">
        <f>0.0252153822457257-(+K127/52)</f>
        <v>2.5044047161716865E-2</v>
      </c>
      <c r="M127" s="70">
        <f>0.00691821437657782-(+L127/52)</f>
        <v>6.4365980850063413E-3</v>
      </c>
      <c r="N127" s="70">
        <f>0.0149588032957364-(+M127/52)</f>
        <v>1.4835022563332433E-2</v>
      </c>
    </row>
    <row r="128" spans="1:24" ht="16.5" thickBot="1">
      <c r="A128" s="68">
        <v>2.82</v>
      </c>
      <c r="B128" s="69">
        <f t="shared" si="2"/>
        <v>2.8199999999999999E-2</v>
      </c>
      <c r="C128" s="70">
        <f t="shared" si="3"/>
        <v>5.423076923076923E-4</v>
      </c>
      <c r="F128" s="71">
        <v>38499</v>
      </c>
      <c r="G128" s="69">
        <v>3.6628337962158922E-3</v>
      </c>
      <c r="H128" s="70">
        <f>0.0170385960568264-(+G128/52)</f>
        <v>1.6968156945360711E-2</v>
      </c>
      <c r="I128" s="70">
        <f>0.0240835078288591-(+H128/52)</f>
        <v>2.3757197118371393E-2</v>
      </c>
      <c r="J128" s="70">
        <f>0.0226590309223429-(+I128/52)</f>
        <v>2.2202161746989604E-2</v>
      </c>
      <c r="K128" s="70">
        <f>0.00592830966699911-(+J128/52)</f>
        <v>5.501345018018541E-3</v>
      </c>
      <c r="L128" s="70">
        <f>0.031938910623534-(+K128/52)</f>
        <v>3.1833115527033648E-2</v>
      </c>
      <c r="M128" s="70">
        <f>0.0121864704910545-(+L128/52)</f>
        <v>1.1574295192457699E-2</v>
      </c>
      <c r="N128" s="70">
        <f>0.00698823034888615-(+M128/52)</f>
        <v>6.7656477490311943E-3</v>
      </c>
      <c r="P128" s="63" t="s">
        <v>389</v>
      </c>
    </row>
    <row r="129" spans="1:24">
      <c r="A129" s="68">
        <v>2.89</v>
      </c>
      <c r="B129" s="69">
        <f t="shared" si="2"/>
        <v>2.8900000000000002E-2</v>
      </c>
      <c r="C129" s="70">
        <f t="shared" si="3"/>
        <v>5.5576923076923078E-4</v>
      </c>
      <c r="F129" s="71">
        <v>38506</v>
      </c>
      <c r="G129" s="69">
        <v>2.1629305300805766E-3</v>
      </c>
      <c r="H129" s="70">
        <f>0.0110166009829728-(+G129/52)</f>
        <v>1.0975006165086634E-2</v>
      </c>
      <c r="I129" s="70">
        <f>-0.0078614240896496-(+H129/52)</f>
        <v>-8.072481900516652E-3</v>
      </c>
      <c r="J129" s="70">
        <f>-0.00352806767260008-(+I129/52)</f>
        <v>-3.3728276360516828E-3</v>
      </c>
      <c r="K129" s="70">
        <f>0.00407488049044535-(+J129/52)</f>
        <v>4.1397425603694202E-3</v>
      </c>
      <c r="L129" s="70">
        <f>0.0280036572085248-(+K129/52)</f>
        <v>2.792404677467154E-2</v>
      </c>
      <c r="M129" s="70">
        <f>0.0180740242907206-(+L129/52)</f>
        <v>1.7537023391207687E-2</v>
      </c>
      <c r="N129" s="70">
        <f>0.0034503000260892-(+M129/52)</f>
        <v>3.113049576258283E-3</v>
      </c>
      <c r="P129" s="77"/>
      <c r="Q129" s="77" t="s">
        <v>390</v>
      </c>
      <c r="R129" s="77" t="s">
        <v>391</v>
      </c>
      <c r="S129" s="77" t="s">
        <v>392</v>
      </c>
      <c r="T129" s="77" t="s">
        <v>393</v>
      </c>
      <c r="U129" s="77" t="s">
        <v>394</v>
      </c>
    </row>
    <row r="130" spans="1:24">
      <c r="A130" s="68">
        <v>2.92</v>
      </c>
      <c r="B130" s="69">
        <f t="shared" si="2"/>
        <v>2.92E-2</v>
      </c>
      <c r="C130" s="70">
        <f t="shared" si="3"/>
        <v>5.6153846153846152E-4</v>
      </c>
      <c r="F130" s="71">
        <v>38513</v>
      </c>
      <c r="G130" s="69">
        <v>-3.8888355789612472E-3</v>
      </c>
      <c r="H130" s="70">
        <f>-0.00938398326385007-(+G130/52)</f>
        <v>-9.3091979642546622E-3</v>
      </c>
      <c r="I130" s="70">
        <f>-0.0149984620116888-(+H130/52)</f>
        <v>-1.4819438973914672E-2</v>
      </c>
      <c r="J130" s="70">
        <f>0.0076573499272285-(+I130/52)</f>
        <v>7.9423391382653207E-3</v>
      </c>
      <c r="K130" s="70">
        <f>0.0332905289172098-(+J130/52)</f>
        <v>3.3137791626089312E-2</v>
      </c>
      <c r="L130" s="70">
        <f>-0.00566494137729831-(+K130/52)</f>
        <v>-6.3022066008769509E-3</v>
      </c>
      <c r="M130" s="70">
        <f>0.00743604856772367-(+L130/52)</f>
        <v>7.5572448485097653E-3</v>
      </c>
      <c r="N130" s="70">
        <f>-0.00237245610956203-(+M130/52)</f>
        <v>-2.5177877412641408E-3</v>
      </c>
      <c r="P130" s="72" t="s">
        <v>395</v>
      </c>
      <c r="Q130" s="72">
        <v>1</v>
      </c>
      <c r="R130" s="72">
        <v>3.0767481383715156E-2</v>
      </c>
      <c r="S130" s="72">
        <v>3.0767481383715156E-2</v>
      </c>
      <c r="T130" s="72">
        <v>68.415970251627272</v>
      </c>
      <c r="U130" s="72">
        <v>6.2874937300984408E-16</v>
      </c>
    </row>
    <row r="131" spans="1:24">
      <c r="A131" s="68">
        <v>2.95</v>
      </c>
      <c r="B131" s="69">
        <f t="shared" si="2"/>
        <v>2.9500000000000002E-2</v>
      </c>
      <c r="C131" s="70">
        <f t="shared" si="3"/>
        <v>5.6730769230769237E-4</v>
      </c>
      <c r="F131" s="71">
        <v>38520</v>
      </c>
      <c r="G131" s="69">
        <v>-1.324315685769622E-3</v>
      </c>
      <c r="H131" s="70">
        <f>0.00080523249189066-(+G131/52)</f>
        <v>8.3070010123238345E-4</v>
      </c>
      <c r="I131" s="70">
        <f>0.0147459278505047-(+H131/52)</f>
        <v>1.4729952848557925E-2</v>
      </c>
      <c r="J131" s="70">
        <f>0.00139131255011077-(+I131/52)</f>
        <v>1.1080442261000409E-3</v>
      </c>
      <c r="K131" s="70">
        <f>-0.000164138157432059-(+J131/52)</f>
        <v>-1.8544670024167519E-4</v>
      </c>
      <c r="L131" s="70">
        <f>0.0336762424203293-(+K131/52)</f>
        <v>3.3679808703026254E-2</v>
      </c>
      <c r="M131" s="70">
        <f>0.0123284593638254-(+L131/52)</f>
        <v>1.1680770734921049E-2</v>
      </c>
      <c r="N131" s="70">
        <f>0.0218785019936933-(+M131/52)</f>
        <v>2.1653871787252511E-2</v>
      </c>
      <c r="P131" s="72" t="s">
        <v>397</v>
      </c>
      <c r="Q131" s="72">
        <v>728</v>
      </c>
      <c r="R131" s="72">
        <v>0.32739032078276903</v>
      </c>
      <c r="S131" s="72">
        <v>4.497119790972102E-4</v>
      </c>
      <c r="T131" s="72"/>
      <c r="U131" s="72"/>
    </row>
    <row r="132" spans="1:24" ht="16.5" thickBot="1">
      <c r="A132" s="68">
        <v>2.94</v>
      </c>
      <c r="B132" s="69">
        <f t="shared" si="2"/>
        <v>2.9399999999999999E-2</v>
      </c>
      <c r="C132" s="70">
        <f t="shared" si="3"/>
        <v>5.6538461538461538E-4</v>
      </c>
      <c r="F132" s="71">
        <v>38527</v>
      </c>
      <c r="G132" s="69">
        <v>4.8069711618334565E-3</v>
      </c>
      <c r="H132" s="70">
        <f>0.00390906675775161-(+G132/52)</f>
        <v>3.8166250046394279E-3</v>
      </c>
      <c r="I132" s="70">
        <f>-0.0171228450265582-(+H132/52)</f>
        <v>-1.7196241661262806E-2</v>
      </c>
      <c r="J132" s="70">
        <f>-0.00712351348169075-(+I132/52)</f>
        <v>-6.7928165266664658E-3</v>
      </c>
      <c r="K132" s="70">
        <f>-0.0125996716697936-(+J132/52)</f>
        <v>-1.2469040582742322E-2</v>
      </c>
      <c r="L132" s="70">
        <f>0.0582062295840942-(+K132/52)</f>
        <v>5.8446018826070013E-2</v>
      </c>
      <c r="M132" s="70">
        <f>-0.00650989893012027-(+L132/52)</f>
        <v>-7.6338608306216159E-3</v>
      </c>
      <c r="N132" s="70">
        <f>-0.00227617602427932-(+M132/52)</f>
        <v>-2.1293710083058271E-3</v>
      </c>
      <c r="P132" s="76" t="s">
        <v>398</v>
      </c>
      <c r="Q132" s="76">
        <v>729</v>
      </c>
      <c r="R132" s="76">
        <v>0.35815780216648418</v>
      </c>
      <c r="S132" s="76"/>
      <c r="T132" s="76"/>
      <c r="U132" s="76"/>
    </row>
    <row r="133" spans="1:24" ht="16.5" thickBot="1">
      <c r="A133" s="68">
        <v>2.98</v>
      </c>
      <c r="B133" s="69">
        <f t="shared" ref="B133:B196" si="4">+A133/100</f>
        <v>2.98E-2</v>
      </c>
      <c r="C133" s="70">
        <f t="shared" ref="C133:C196" si="5">+B133/52</f>
        <v>5.7307692307692311E-4</v>
      </c>
      <c r="F133" s="71">
        <v>38534</v>
      </c>
      <c r="G133" s="69">
        <v>-7.0420668342888598E-3</v>
      </c>
      <c r="H133" s="70">
        <f>0.0113639800393166-(+G133/52)</f>
        <v>1.1499404401514462E-2</v>
      </c>
      <c r="I133" s="70">
        <f>0.00490948143602327-(+H133/52)</f>
        <v>4.6883390436864535E-3</v>
      </c>
      <c r="J133" s="70">
        <f>0.000498072932107867-(+I133/52)</f>
        <v>4.0791256588312754E-4</v>
      </c>
      <c r="K133" s="70">
        <f>-0.0190308234022718-(+J133/52)</f>
        <v>-1.903866787469263E-2</v>
      </c>
      <c r="L133" s="70">
        <f>0.0119446932922214-(+K133/52)</f>
        <v>1.2310821520580873E-2</v>
      </c>
      <c r="M133" s="70">
        <f>0.0245208909241521-(+L133/52)</f>
        <v>2.4284144356448621E-2</v>
      </c>
      <c r="N133" s="70">
        <f>0.0236188772086782-(+M133/52)</f>
        <v>2.3151874432592649E-2</v>
      </c>
    </row>
    <row r="134" spans="1:24">
      <c r="A134" s="68">
        <v>3.08</v>
      </c>
      <c r="B134" s="69">
        <f t="shared" si="4"/>
        <v>3.0800000000000001E-2</v>
      </c>
      <c r="C134" s="70">
        <f t="shared" si="5"/>
        <v>5.9230769230769233E-4</v>
      </c>
      <c r="F134" s="71">
        <v>38541</v>
      </c>
      <c r="G134" s="69">
        <v>-2.4935382434651005E-3</v>
      </c>
      <c r="H134" s="70">
        <f>-0.0198410621771343-(+G134/52)</f>
        <v>-1.9793109518606126E-2</v>
      </c>
      <c r="I134" s="70">
        <f>-0.033176507244119-(+H134/52)</f>
        <v>-3.2795870522607337E-2</v>
      </c>
      <c r="J134" s="70">
        <f>-0.0344803062808917-(+I134/52)</f>
        <v>-3.3849616463149254E-2</v>
      </c>
      <c r="K134" s="70">
        <f>-0.0236371560354951-(+J134/52)</f>
        <v>-2.298620187274223E-2</v>
      </c>
      <c r="L134" s="70">
        <f>0.0366000535284147-(+K134/52)</f>
        <v>3.7042095872121282E-2</v>
      </c>
      <c r="M134" s="70">
        <f>-0.0162118947793972-(+L134/52)</f>
        <v>-1.6924242776937996E-2</v>
      </c>
      <c r="N134" s="70">
        <f>0.00869016924604046-(+M134/52)</f>
        <v>9.0156354532892682E-3</v>
      </c>
      <c r="P134" s="77"/>
      <c r="Q134" s="77" t="s">
        <v>399</v>
      </c>
      <c r="R134" s="77" t="s">
        <v>387</v>
      </c>
      <c r="S134" s="77" t="s">
        <v>384</v>
      </c>
      <c r="T134" s="77" t="s">
        <v>400</v>
      </c>
      <c r="U134" s="77" t="s">
        <v>401</v>
      </c>
      <c r="V134" s="77" t="s">
        <v>402</v>
      </c>
      <c r="W134" s="77" t="s">
        <v>403</v>
      </c>
      <c r="X134" s="77" t="s">
        <v>404</v>
      </c>
    </row>
    <row r="135" spans="1:24">
      <c r="A135" s="68">
        <v>3.11</v>
      </c>
      <c r="B135" s="69">
        <f t="shared" si="4"/>
        <v>3.1099999999999999E-2</v>
      </c>
      <c r="C135" s="70">
        <f t="shared" si="5"/>
        <v>5.9807692307692307E-4</v>
      </c>
      <c r="F135" s="71">
        <v>38548</v>
      </c>
      <c r="G135" s="69">
        <v>2.2871489772559805E-4</v>
      </c>
      <c r="H135" s="70">
        <f>0.00184579243225108-(+G135/52)</f>
        <v>1.8413940688332799E-3</v>
      </c>
      <c r="I135" s="70">
        <f>0.0133869585113857-(+H135/52)</f>
        <v>1.335154708698506E-2</v>
      </c>
      <c r="J135" s="70">
        <f>-0.0100051560313291-(+I135/52)</f>
        <v>-1.0261916552232658E-2</v>
      </c>
      <c r="K135" s="70">
        <f>-0.013657695860534-(+J135/52)</f>
        <v>-1.3460351311452602E-2</v>
      </c>
      <c r="L135" s="70">
        <f>-0.0163720351340034-(+K135/52)</f>
        <v>-1.6113182224167771E-2</v>
      </c>
      <c r="M135" s="70">
        <f>0.0168114951657139-(+L135/52)</f>
        <v>1.7121364054640202E-2</v>
      </c>
      <c r="N135" s="70">
        <f>-0.00593539762212741-(+M135/52)</f>
        <v>-6.2646546231781832E-3</v>
      </c>
      <c r="P135" s="72" t="s">
        <v>405</v>
      </c>
      <c r="Q135" s="72">
        <v>1.0902986761201783E-3</v>
      </c>
      <c r="R135" s="72">
        <v>7.8935734449549699E-4</v>
      </c>
      <c r="S135" s="72">
        <v>1.381248535562841</v>
      </c>
      <c r="T135" s="72">
        <v>0.16762635646369023</v>
      </c>
      <c r="U135" s="72">
        <v>-4.5938971023379749E-4</v>
      </c>
      <c r="V135" s="72">
        <v>2.6399870624741542E-3</v>
      </c>
      <c r="W135" s="72">
        <v>-4.5938971023379749E-4</v>
      </c>
      <c r="X135" s="72">
        <v>2.6399870624741542E-3</v>
      </c>
    </row>
    <row r="136" spans="1:24" ht="16.5" thickBot="1">
      <c r="A136" s="68">
        <v>3.15</v>
      </c>
      <c r="B136" s="69">
        <f t="shared" si="4"/>
        <v>3.15E-2</v>
      </c>
      <c r="C136" s="70">
        <f t="shared" si="5"/>
        <v>6.057692307692308E-4</v>
      </c>
      <c r="F136" s="71">
        <v>38555</v>
      </c>
      <c r="G136" s="69">
        <v>1.6844197010096652E-3</v>
      </c>
      <c r="H136" s="70">
        <f>0.00116481793058292-(+G136/52)</f>
        <v>1.1324252440250418E-3</v>
      </c>
      <c r="I136" s="70">
        <f>-0.00179357366372398-(+H136/52)</f>
        <v>-1.8153510722629231E-3</v>
      </c>
      <c r="J136" s="70">
        <f>-0.00332328906414686-(+I136/52)</f>
        <v>-3.2883784666033421E-3</v>
      </c>
      <c r="K136" s="70">
        <f>-0.00588945178443482-(+J136/52)</f>
        <v>-5.82621373700014E-3</v>
      </c>
      <c r="L136" s="70">
        <f>0.00914507436367268-(+K136/52)</f>
        <v>9.2571169355380682E-3</v>
      </c>
      <c r="M136" s="70">
        <f>0.0153074893628615-(+L136/52)</f>
        <v>1.5129467883331922E-2</v>
      </c>
      <c r="N136" s="70">
        <f>0.00376056881716411-(+M136/52)</f>
        <v>3.4696175117154191E-3</v>
      </c>
      <c r="P136" s="76" t="s">
        <v>406</v>
      </c>
      <c r="Q136" s="76">
        <v>1.1301753343880521</v>
      </c>
      <c r="R136" s="76">
        <v>0.13663661034683039</v>
      </c>
      <c r="S136" s="76">
        <v>8.2713946980921218</v>
      </c>
      <c r="T136" s="76">
        <v>6.2874937301007088E-16</v>
      </c>
      <c r="U136" s="76">
        <v>0.86192652454060736</v>
      </c>
      <c r="V136" s="76">
        <v>1.3984241442354968</v>
      </c>
      <c r="W136" s="76">
        <v>0.86192652454060736</v>
      </c>
      <c r="X136" s="76">
        <v>1.3984241442354968</v>
      </c>
    </row>
    <row r="137" spans="1:24">
      <c r="A137" s="68">
        <v>3.25</v>
      </c>
      <c r="B137" s="69">
        <f t="shared" si="4"/>
        <v>3.2500000000000001E-2</v>
      </c>
      <c r="C137" s="70">
        <f t="shared" si="5"/>
        <v>6.2500000000000001E-4</v>
      </c>
      <c r="F137" s="71">
        <v>38562</v>
      </c>
      <c r="G137" s="69">
        <v>-1.7878610878585147E-3</v>
      </c>
      <c r="H137" s="70">
        <f>0.00835716023847184-(+G137/52)</f>
        <v>8.3915421824691198E-3</v>
      </c>
      <c r="I137" s="70">
        <f>-0.000783709046423622-(+H137/52)</f>
        <v>-9.4508485762495121E-4</v>
      </c>
      <c r="J137" s="70">
        <f>0.029244167962675-(+I137/52)</f>
        <v>2.926234267147548E-2</v>
      </c>
      <c r="K137" s="70">
        <f>0.0130626387035995-(+J137/52)</f>
        <v>1.2499901344532664E-2</v>
      </c>
      <c r="L137" s="70">
        <f>0.0539580220894249-(+K137/52)</f>
        <v>5.3717639371260811E-2</v>
      </c>
      <c r="M137" s="70">
        <f>-0.0190303680844403-(+L137/52)</f>
        <v>-2.00633996108107E-2</v>
      </c>
      <c r="N137" s="70">
        <f>0.00840476869828428-(+M137/52)</f>
        <v>8.790603306184485E-3</v>
      </c>
    </row>
    <row r="138" spans="1:24">
      <c r="A138" s="68">
        <v>3.35</v>
      </c>
      <c r="B138" s="69">
        <f t="shared" si="4"/>
        <v>3.3500000000000002E-2</v>
      </c>
      <c r="C138" s="70">
        <f t="shared" si="5"/>
        <v>6.4423076923076923E-4</v>
      </c>
      <c r="F138" s="71">
        <v>38569</v>
      </c>
      <c r="G138" s="69">
        <v>-3.1657017216303266E-3</v>
      </c>
      <c r="H138" s="70">
        <f>0.00223222702352137-(+G138/52)</f>
        <v>2.2931059027834918E-3</v>
      </c>
      <c r="I138" s="70">
        <f>0.00350713862124816-(+H138/52)</f>
        <v>3.4630404308100158E-3</v>
      </c>
      <c r="J138" s="70">
        <f>0.0000664849411607666-(+I138/52)</f>
        <v>-1.1199020096447658E-7</v>
      </c>
      <c r="K138" s="70">
        <f>0.0169447096931229-(+J138/52)</f>
        <v>1.6944711846780612E-2</v>
      </c>
      <c r="L138" s="70">
        <f>-0.0210930146099145-(+K138/52)</f>
        <v>-2.1418874453121822E-2</v>
      </c>
      <c r="M138" s="70">
        <f>0.0174527549182758-(+L138/52)</f>
        <v>1.7864656350066604E-2</v>
      </c>
      <c r="N138" s="70">
        <f>-0.000184532486944299-(+M138/52)</f>
        <v>-5.2808357059942594E-4</v>
      </c>
    </row>
    <row r="139" spans="1:24">
      <c r="A139" s="68">
        <v>3.41</v>
      </c>
      <c r="B139" s="69">
        <f t="shared" si="4"/>
        <v>3.4099999999999998E-2</v>
      </c>
      <c r="C139" s="70">
        <f t="shared" si="5"/>
        <v>6.5576923076923071E-4</v>
      </c>
      <c r="F139" s="71">
        <v>38576</v>
      </c>
      <c r="G139" s="69">
        <v>9.8310518341104842E-3</v>
      </c>
      <c r="H139" s="70">
        <f>-0.00872090835897931-(+G139/52)</f>
        <v>-8.9099670480968177E-3</v>
      </c>
      <c r="I139" s="70">
        <f>0.0219669193571959-(+H139/52)</f>
        <v>2.2138264877351606E-2</v>
      </c>
      <c r="J139" s="70">
        <f>0.0202100784470151-(+I139/52)</f>
        <v>1.978434258398911E-2</v>
      </c>
      <c r="K139" s="70">
        <f>0.010040382467381-(+J139/52)</f>
        <v>9.6599143407658256E-3</v>
      </c>
      <c r="L139" s="70">
        <f>-0.00181165275739691-(+K139/52)</f>
        <v>-1.9974203408731758E-3</v>
      </c>
      <c r="M139" s="70">
        <f>0.0179868526592669-(+L139/52)</f>
        <v>1.8025264588899075E-2</v>
      </c>
      <c r="N139" s="70">
        <f>0.0000307610909113001-(+M139/52)</f>
        <v>-3.1587861272137441E-4</v>
      </c>
    </row>
    <row r="140" spans="1:24">
      <c r="A140" s="68">
        <v>3.44</v>
      </c>
      <c r="B140" s="69">
        <f t="shared" si="4"/>
        <v>3.44E-2</v>
      </c>
      <c r="C140" s="70">
        <f t="shared" si="5"/>
        <v>6.6153846153846156E-4</v>
      </c>
      <c r="F140" s="71">
        <v>38583</v>
      </c>
      <c r="G140" s="69">
        <v>-4.1513253664745842E-3</v>
      </c>
      <c r="H140" s="70">
        <f>-0.0121071808106878-(+G140/52)</f>
        <v>-1.202734763056329E-2</v>
      </c>
      <c r="I140" s="70">
        <f>-0.0114779580923957-(+H140/52)</f>
        <v>-1.1246662945654099E-2</v>
      </c>
      <c r="J140" s="70">
        <f>-0.0228664857884198-(+I140/52)</f>
        <v>-2.2650203808695684E-2</v>
      </c>
      <c r="K140" s="70">
        <f>-0.00637995357824254-(+J140/52)</f>
        <v>-5.9443727357676229E-3</v>
      </c>
      <c r="L140" s="70">
        <f>0.0274151583985131-(+K140/52)</f>
        <v>2.7529473258816321E-2</v>
      </c>
      <c r="M140" s="70">
        <f>-0.0189587854404276-(+L140/52)</f>
        <v>-1.9488198387712527E-2</v>
      </c>
      <c r="N140" s="70">
        <f>-0.0202524792676625-(+M140/52)</f>
        <v>-1.9877706221744951E-2</v>
      </c>
    </row>
    <row r="141" spans="1:24">
      <c r="A141" s="68">
        <v>3.45</v>
      </c>
      <c r="B141" s="69">
        <f t="shared" si="4"/>
        <v>3.4500000000000003E-2</v>
      </c>
      <c r="C141" s="70">
        <f t="shared" si="5"/>
        <v>6.6346153846153855E-4</v>
      </c>
      <c r="F141" s="71">
        <v>38590</v>
      </c>
      <c r="G141" s="69">
        <v>3.1487160449230689E-3</v>
      </c>
      <c r="H141" s="70">
        <f>0.0164969841330823-(+G141/52)</f>
        <v>1.6436431901449167E-2</v>
      </c>
      <c r="I141" s="70">
        <f>0.00693151512101846-(+H141/52)</f>
        <v>6.6154298921444372E-3</v>
      </c>
      <c r="J141" s="70">
        <f>0.0137499545305737-(+I141/52)</f>
        <v>1.3622734724955537E-2</v>
      </c>
      <c r="K141" s="70">
        <f>0.00129641406976183-(+J141/52)</f>
        <v>1.0344384019742236E-3</v>
      </c>
      <c r="L141" s="70">
        <f>0.0224320184561854-(+K141/52)</f>
        <v>2.2412125409993589E-2</v>
      </c>
      <c r="M141" s="70">
        <f>0.0183066361556065-(+L141/52)</f>
        <v>1.7875633743875855E-2</v>
      </c>
      <c r="N141" s="70">
        <f>0.00477219068669321-(+M141/52)</f>
        <v>4.4284284993109822E-3</v>
      </c>
    </row>
    <row r="142" spans="1:24">
      <c r="A142" s="68">
        <v>3.46</v>
      </c>
      <c r="B142" s="69">
        <f t="shared" si="4"/>
        <v>3.4599999999999999E-2</v>
      </c>
      <c r="C142" s="70">
        <f t="shared" si="5"/>
        <v>6.6538461538461532E-4</v>
      </c>
      <c r="F142" s="71">
        <v>38597</v>
      </c>
      <c r="G142" s="69">
        <v>9.9830154952831422E-3</v>
      </c>
      <c r="H142" s="70">
        <f>0.0346203852084782-(+G142/52)</f>
        <v>3.4428404141261214E-2</v>
      </c>
      <c r="I142" s="70">
        <f>0.0218195220069213-(+H142/52)</f>
        <v>2.1157437311897048E-2</v>
      </c>
      <c r="J142" s="70">
        <f>0.0403016493834248-(+I142/52)</f>
        <v>3.9894775588965245E-2</v>
      </c>
      <c r="K142" s="70">
        <f>0.0202638329058262-(+J142/52)</f>
        <v>1.9496625682961486E-2</v>
      </c>
      <c r="L142" s="70">
        <f>0.0290651167737074-(+K142/52)</f>
        <v>2.8690181664419678E-2</v>
      </c>
      <c r="M142" s="70">
        <f>0.0327957699933905-(+L142/52)</f>
        <v>3.2244035730613199E-2</v>
      </c>
      <c r="N142" s="70">
        <f>0.0375399960003999-(+M142/52)</f>
        <v>3.6919918390195802E-2</v>
      </c>
    </row>
    <row r="143" spans="1:24">
      <c r="A143" s="68">
        <v>3.43</v>
      </c>
      <c r="B143" s="69">
        <f t="shared" si="4"/>
        <v>3.4300000000000004E-2</v>
      </c>
      <c r="C143" s="70">
        <f t="shared" si="5"/>
        <v>6.5961538461538469E-4</v>
      </c>
      <c r="F143" s="71">
        <v>38604</v>
      </c>
      <c r="G143" s="69">
        <v>-2.5783122525158174E-3</v>
      </c>
      <c r="H143" s="70">
        <f>0.0116166929686129-(+G143/52)</f>
        <v>1.1666275896545897E-2</v>
      </c>
      <c r="I143" s="70">
        <f>0.00868082088776679-(+H143/52)</f>
        <v>8.4564694282178304E-3</v>
      </c>
      <c r="J143" s="70">
        <f>0.0292090392232384-(+I143/52)</f>
        <v>2.9046414811157287E-2</v>
      </c>
      <c r="K143" s="70">
        <f>0.0185564295035257-(+J143/52)</f>
        <v>1.7997844603311136E-2</v>
      </c>
      <c r="L143" s="70">
        <f>0.0304338774587113-(+K143/52)</f>
        <v>3.0087765062493776E-2</v>
      </c>
      <c r="M143" s="70">
        <f>0.00302910069839985-(+L143/52)</f>
        <v>2.4504898318134312E-3</v>
      </c>
      <c r="N143" s="70">
        <f>0.00752907729651916-(+M143/52)</f>
        <v>7.4819524920612095E-3</v>
      </c>
    </row>
    <row r="144" spans="1:24">
      <c r="A144" s="68">
        <v>3.42</v>
      </c>
      <c r="B144" s="69">
        <f t="shared" si="4"/>
        <v>3.4200000000000001E-2</v>
      </c>
      <c r="C144" s="70">
        <f t="shared" si="5"/>
        <v>6.576923076923077E-4</v>
      </c>
      <c r="F144" s="71">
        <v>38611</v>
      </c>
      <c r="G144" s="69">
        <v>-9.0488674435875646E-3</v>
      </c>
      <c r="H144" s="70">
        <f>0.00111944071297553-(+G144/52)</f>
        <v>1.2934573945829831E-3</v>
      </c>
      <c r="I144" s="70">
        <f>-0.0015394032691107-(+H144/52)</f>
        <v>-1.5642774497757574E-3</v>
      </c>
      <c r="J144" s="70">
        <f>-0.0225264474904208-(+I144/52)</f>
        <v>-2.2496365231771266E-2</v>
      </c>
      <c r="K144" s="70">
        <f>0.00706402284935177-(+J144/52)</f>
        <v>7.4966452576550636E-3</v>
      </c>
      <c r="L144" s="70">
        <f>-0.00800730235742309-(+K144/52)</f>
        <v>-8.1514686123779958E-3</v>
      </c>
      <c r="M144" s="70">
        <f>0.00850265628256542-(+L144/52)</f>
        <v>8.6594152943419191E-3</v>
      </c>
      <c r="N144" s="70">
        <f>-0.000914672421729731-(+M144/52)</f>
        <v>-1.0811996389286141E-3</v>
      </c>
    </row>
    <row r="145" spans="1:14">
      <c r="A145" s="68">
        <v>3.4</v>
      </c>
      <c r="B145" s="69">
        <f t="shared" si="4"/>
        <v>3.4000000000000002E-2</v>
      </c>
      <c r="C145" s="70">
        <f t="shared" si="5"/>
        <v>6.5384615384615394E-4</v>
      </c>
      <c r="F145" s="71">
        <v>38618</v>
      </c>
      <c r="G145" s="69">
        <v>-3.0695507899056455E-3</v>
      </c>
      <c r="H145" s="70">
        <f>-0.0164409848719854-(+G145/52)</f>
        <v>-1.6381955049102597E-2</v>
      </c>
      <c r="I145" s="70">
        <f>-0.0251054660232481-(+H145/52)</f>
        <v>-2.4790428426149973E-2</v>
      </c>
      <c r="J145" s="70">
        <f>-0.012205644539174-(+I145/52)</f>
        <v>-1.1728905530978809E-2</v>
      </c>
      <c r="K145" s="70">
        <f>-0.00929621848739486-(+J145/52)</f>
        <v>-9.070662611799115E-3</v>
      </c>
      <c r="L145" s="70">
        <f>-0.0423509277818804-(+K145/52)</f>
        <v>-4.2176491962422721E-2</v>
      </c>
      <c r="M145" s="70">
        <f>-0.0184097983146494-(+L145/52)</f>
        <v>-1.7598711930756655E-2</v>
      </c>
      <c r="N145" s="70">
        <f>-0.00648635710866452-(+M145/52)</f>
        <v>-6.1479203407653537E-3</v>
      </c>
    </row>
    <row r="146" spans="1:14">
      <c r="A146" s="68">
        <v>3.44</v>
      </c>
      <c r="B146" s="69">
        <f t="shared" si="4"/>
        <v>3.44E-2</v>
      </c>
      <c r="C146" s="70">
        <f t="shared" si="5"/>
        <v>6.6153846153846156E-4</v>
      </c>
      <c r="F146" s="71">
        <v>38625</v>
      </c>
      <c r="G146" s="69">
        <v>-3.3882191261031245E-3</v>
      </c>
      <c r="H146" s="70">
        <f>-0.00855960920653088-(+G146/52)</f>
        <v>-8.4944511464135116E-3</v>
      </c>
      <c r="I146" s="70">
        <f>0.011942045588977-(+H146/52)</f>
        <v>1.2105400418715721E-2</v>
      </c>
      <c r="J146" s="70">
        <f>-0.000971856651143993-(+I146/52)</f>
        <v>-1.2046528130423722E-3</v>
      </c>
      <c r="K146" s="70">
        <f>0.0247221191397622-(+J146/52)</f>
        <v>2.4745285540013012E-2</v>
      </c>
      <c r="L146" s="70">
        <f>0.0454616392078142-(+K146/52)</f>
        <v>4.498576833204472E-2</v>
      </c>
      <c r="M146" s="70">
        <f>0.00901017027803927-(+L146/52)</f>
        <v>8.1450593485768719E-3</v>
      </c>
      <c r="N146" s="70">
        <f>0.0104194271121926-(+M146/52)</f>
        <v>1.0262791355489197E-2</v>
      </c>
    </row>
    <row r="147" spans="1:14">
      <c r="A147" s="68">
        <v>3.44</v>
      </c>
      <c r="B147" s="69">
        <f t="shared" si="4"/>
        <v>3.44E-2</v>
      </c>
      <c r="C147" s="70">
        <f t="shared" si="5"/>
        <v>6.6153846153846156E-4</v>
      </c>
      <c r="F147" s="71">
        <v>38632</v>
      </c>
      <c r="G147" s="69">
        <v>-3.3393823427819548E-3</v>
      </c>
      <c r="H147" s="70">
        <f>-0.0241323952622975-(+G147/52)</f>
        <v>-2.4068176371090155E-2</v>
      </c>
      <c r="I147" s="70">
        <f>-0.017683215711851-(+H147/52)</f>
        <v>-1.7220366166253113E-2</v>
      </c>
      <c r="J147" s="70">
        <f>-0.0190391263310886-(+I147/52)</f>
        <v>-1.8707965443276041E-2</v>
      </c>
      <c r="K147" s="70">
        <f>-0.0142960612540526-(+J147/52)</f>
        <v>-1.3936292687835753E-2</v>
      </c>
      <c r="L147" s="70">
        <f>-0.0208050086565578-(+K147/52)</f>
        <v>-2.0537003027945575E-2</v>
      </c>
      <c r="M147" s="70">
        <f>-0.0409523322857849-(+L147/52)</f>
        <v>-4.0557389919862866E-2</v>
      </c>
      <c r="N147" s="70">
        <f>-0.0384344861294899-(+M147/52)</f>
        <v>-3.7654536323338691E-2</v>
      </c>
    </row>
    <row r="148" spans="1:14">
      <c r="A148" s="68">
        <v>3.53</v>
      </c>
      <c r="B148" s="69">
        <f t="shared" si="4"/>
        <v>3.5299999999999998E-2</v>
      </c>
      <c r="C148" s="70">
        <f t="shared" si="5"/>
        <v>6.7884615384615379E-4</v>
      </c>
      <c r="F148" s="71">
        <v>38639</v>
      </c>
      <c r="G148" s="69">
        <v>-7.5738151580942194E-3</v>
      </c>
      <c r="H148" s="70">
        <f>-0.0330606706138322-(+G148/52)</f>
        <v>-3.2915020322330388E-2</v>
      </c>
      <c r="I148" s="70">
        <f>-0.0309233149392745-(+H148/52)</f>
        <v>-3.0290333779229683E-2</v>
      </c>
      <c r="J148" s="70">
        <f>-0.0368162258203519-(+I148/52)</f>
        <v>-3.6233719401520557E-2</v>
      </c>
      <c r="K148" s="70">
        <f>-0.0334330551619167-(+J148/52)</f>
        <v>-3.273625286573361E-2</v>
      </c>
      <c r="L148" s="70">
        <f>-0.0213905341804656-(+K148/52)</f>
        <v>-2.0760990856124571E-2</v>
      </c>
      <c r="M148" s="70">
        <f>-0.0179249346186122-(+L148/52)</f>
        <v>-1.7525684794455959E-2</v>
      </c>
      <c r="N148" s="70">
        <f>-0.0272939163639519-(+M148/52)</f>
        <v>-2.6956883964058518E-2</v>
      </c>
    </row>
    <row r="149" spans="1:14">
      <c r="A149" s="68">
        <v>3.66</v>
      </c>
      <c r="B149" s="69">
        <f t="shared" si="4"/>
        <v>3.6600000000000001E-2</v>
      </c>
      <c r="C149" s="70">
        <f t="shared" si="5"/>
        <v>7.0384615384615386E-4</v>
      </c>
      <c r="F149" s="71">
        <v>38646</v>
      </c>
      <c r="G149" s="69">
        <v>6.4067034366392184E-4</v>
      </c>
      <c r="H149" s="70">
        <f>-0.013304795057547-(+G149/52)</f>
        <v>-1.3317115641078998E-2</v>
      </c>
      <c r="I149" s="70">
        <f>-0.0201789084516146-(+H149/52)</f>
        <v>-1.992281007390154E-2</v>
      </c>
      <c r="J149" s="70">
        <f>-0.0118096242002304-(+I149/52)</f>
        <v>-1.1426493237270754E-2</v>
      </c>
      <c r="K149" s="70">
        <f>0.0167487209190076-(+J149/52)</f>
        <v>1.6968461173570499E-2</v>
      </c>
      <c r="L149" s="70">
        <f>-0.000213815864831664-(+K149/52)</f>
        <v>-5.4013242586186587E-4</v>
      </c>
      <c r="M149" s="70">
        <f>-0.0424450673659463-(+L149/52)</f>
        <v>-4.2434680203910495E-2</v>
      </c>
      <c r="N149" s="70">
        <f>-0.0150973456967148-(+M149/52)</f>
        <v>-1.4281294154331907E-2</v>
      </c>
    </row>
    <row r="150" spans="1:14">
      <c r="A150" s="68">
        <v>3.77</v>
      </c>
      <c r="B150" s="69">
        <f t="shared" si="4"/>
        <v>3.7699999999999997E-2</v>
      </c>
      <c r="C150" s="70">
        <f t="shared" si="5"/>
        <v>7.2499999999999995E-4</v>
      </c>
      <c r="F150" s="71">
        <v>38653</v>
      </c>
      <c r="G150" s="69">
        <v>-5.1008507149863649E-3</v>
      </c>
      <c r="H150" s="70">
        <f>0.0131425256851356-(+G150/52)</f>
        <v>1.3240618968116107E-2</v>
      </c>
      <c r="I150" s="70">
        <f>0.0110558465374619-(+H150/52)</f>
        <v>1.0801219249613515E-2</v>
      </c>
      <c r="J150" s="70">
        <f>0.0135135973208471-(+I150/52)</f>
        <v>1.330588156604684E-2</v>
      </c>
      <c r="K150" s="70">
        <f>0.00699620223118915-(+J150/52)</f>
        <v>6.7403198933805569E-3</v>
      </c>
      <c r="L150" s="70">
        <f>-0.00436735922178824-(+K150/52)</f>
        <v>-4.4969807581994046E-3</v>
      </c>
      <c r="M150" s="70">
        <f>0.00177532673566507-(+L150/52)</f>
        <v>1.8618071348612123E-3</v>
      </c>
      <c r="N150" s="70">
        <f>0.0169399402119758-(+M150/52)</f>
        <v>1.6904136228613083E-2</v>
      </c>
    </row>
    <row r="151" spans="1:14">
      <c r="A151" s="68">
        <v>3.82</v>
      </c>
      <c r="B151" s="69">
        <f t="shared" si="4"/>
        <v>3.8199999999999998E-2</v>
      </c>
      <c r="C151" s="70">
        <f t="shared" si="5"/>
        <v>7.3461538461538456E-4</v>
      </c>
      <c r="F151" s="71">
        <v>38660</v>
      </c>
      <c r="G151" s="69">
        <v>-7.7319284802468691E-3</v>
      </c>
      <c r="H151" s="70">
        <f>-0.00019607074232383-(+G151/52)</f>
        <v>-4.7379810011390192E-5</v>
      </c>
      <c r="I151" s="70">
        <f>0.0151693090624388-(+H151/52)</f>
        <v>1.5170220212631326E-2</v>
      </c>
      <c r="J151" s="70">
        <f>0.00370814568239668-(+I151/52)</f>
        <v>3.4164106783076157E-3</v>
      </c>
      <c r="K151" s="70">
        <f>0.0538247131686103-(+J151/52)</f>
        <v>5.3759012963258232E-2</v>
      </c>
      <c r="L151" s="70">
        <f>0.0612792856375716-(+K151/52)</f>
        <v>6.0245458465201254E-2</v>
      </c>
      <c r="M151" s="70">
        <f>-0.0112787979337128-(+L151/52)</f>
        <v>-1.2437364442658978E-2</v>
      </c>
      <c r="N151" s="70">
        <f>0.00176885291797102-(+M151/52)</f>
        <v>2.0080330034067694E-3</v>
      </c>
    </row>
    <row r="152" spans="1:14">
      <c r="A152" s="68">
        <v>3.87</v>
      </c>
      <c r="B152" s="69">
        <f t="shared" si="4"/>
        <v>3.8699999999999998E-2</v>
      </c>
      <c r="C152" s="70">
        <f t="shared" si="5"/>
        <v>7.4423076923076916E-4</v>
      </c>
      <c r="F152" s="71">
        <v>38667</v>
      </c>
      <c r="G152" s="69">
        <v>3.2312559704955127E-3</v>
      </c>
      <c r="H152" s="70">
        <f>0.00608722936931283-(+G152/52)</f>
        <v>6.0250898314186856E-3</v>
      </c>
      <c r="I152" s="70">
        <f>-0.00221086795848199-(+H152/52)</f>
        <v>-2.3267350706246571E-3</v>
      </c>
      <c r="J152" s="70">
        <f>0.0230140827897336-(+I152/52)</f>
        <v>2.305882769493792E-2</v>
      </c>
      <c r="K152" s="70">
        <f>-0.00228145812014557-(+J152/52)</f>
        <v>-2.7248971142789912E-3</v>
      </c>
      <c r="L152" s="70">
        <f>0.0496494195544375-(+K152/52)</f>
        <v>4.9701821422019794E-2</v>
      </c>
      <c r="M152" s="70">
        <f>0.026857347157669-(+L152/52)</f>
        <v>2.5901542899553234E-2</v>
      </c>
      <c r="N152" s="70">
        <f>-0.0154406066996101-(+M152/52)</f>
        <v>-1.5938713293832278E-2</v>
      </c>
    </row>
    <row r="153" spans="1:14">
      <c r="A153" s="68">
        <v>3.88</v>
      </c>
      <c r="B153" s="69">
        <f t="shared" si="4"/>
        <v>3.8800000000000001E-2</v>
      </c>
      <c r="C153" s="70">
        <f t="shared" si="5"/>
        <v>7.4615384615384615E-4</v>
      </c>
      <c r="F153" s="71">
        <v>38674</v>
      </c>
      <c r="G153" s="69">
        <v>1.002658625353239E-3</v>
      </c>
      <c r="H153" s="70">
        <f>0.0134964446107784-(+G153/52)</f>
        <v>1.3477162714136992E-2</v>
      </c>
      <c r="I153" s="70">
        <f>-0.00546856380957289-(+H153/52)</f>
        <v>-5.7277400156139861E-3</v>
      </c>
      <c r="J153" s="70">
        <f>-0.00355174160483897-(+I153/52)</f>
        <v>-3.4415927583848547E-3</v>
      </c>
      <c r="K153" s="70">
        <f>-0.016998738965952-(+J153/52)</f>
        <v>-1.6932554489829214E-2</v>
      </c>
      <c r="L153" s="70">
        <f>-0.0180813246415895-(+K153/52)</f>
        <v>-1.775569859370817E-2</v>
      </c>
      <c r="M153" s="70">
        <f>0.00192192526774641-(+L153/52)</f>
        <v>2.2633810099331056E-3</v>
      </c>
      <c r="N153" s="70">
        <f>0.00174181187141561-(+M153/52)</f>
        <v>1.698285313532281E-3</v>
      </c>
    </row>
    <row r="154" spans="1:14">
      <c r="A154" s="68">
        <v>3.92</v>
      </c>
      <c r="B154" s="69">
        <f t="shared" si="4"/>
        <v>3.9199999999999999E-2</v>
      </c>
      <c r="C154" s="70">
        <f t="shared" si="5"/>
        <v>7.5384615384615377E-4</v>
      </c>
      <c r="F154" s="71">
        <v>38681</v>
      </c>
      <c r="G154" s="69">
        <v>5.0199764724642229E-3</v>
      </c>
      <c r="H154" s="70">
        <f>0.0173248094040175-(+G154/52)</f>
        <v>1.722827139493165E-2</v>
      </c>
      <c r="I154" s="70">
        <f>0.00296628282017068-(+H154/52)</f>
        <v>2.6349699087296866E-3</v>
      </c>
      <c r="J154" s="70">
        <f>0.0218110269184075-(+I154/52)</f>
        <v>2.1760354420162699E-2</v>
      </c>
      <c r="K154" s="70">
        <f>0.00706987775953285-(+J154/52)</f>
        <v>6.651409405298952E-3</v>
      </c>
      <c r="L154" s="70">
        <f>0.0060427113651506-(+K154/52)</f>
        <v>5.9147996458179279E-3</v>
      </c>
      <c r="M154" s="70">
        <f>0.00635242768379646-(+L154/52)</f>
        <v>6.2386815367615001E-3</v>
      </c>
      <c r="N154" s="70">
        <f>0.0245297235334652-(+M154/52)</f>
        <v>2.4409748888527479E-2</v>
      </c>
    </row>
    <row r="155" spans="1:14">
      <c r="A155" s="68">
        <v>3.87</v>
      </c>
      <c r="B155" s="69">
        <f t="shared" si="4"/>
        <v>3.8699999999999998E-2</v>
      </c>
      <c r="C155" s="70">
        <f t="shared" si="5"/>
        <v>7.4423076923076916E-4</v>
      </c>
      <c r="F155" s="71">
        <v>38688</v>
      </c>
      <c r="G155" s="69">
        <v>-3.8564958492248074E-3</v>
      </c>
      <c r="H155" s="70">
        <f>-0.00716883823985361-(+G155/52)</f>
        <v>-7.0946748581377488E-3</v>
      </c>
      <c r="I155" s="70">
        <f>0.0163373369495029-(+H155/52)</f>
        <v>1.6473773004467087E-2</v>
      </c>
      <c r="J155" s="70">
        <f>0.0116647937444398-(+I155/52)</f>
        <v>1.1347990417430818E-2</v>
      </c>
      <c r="K155" s="70">
        <f>0.0755752072104715-(+J155/52)</f>
        <v>7.5356976625520919E-2</v>
      </c>
      <c r="L155" s="70">
        <f>0.053437306983923-(+K155/52)</f>
        <v>5.198813435650914E-2</v>
      </c>
      <c r="M155" s="70">
        <f>0.000230208937631795-(+L155/52)</f>
        <v>-7.6956287691645764E-4</v>
      </c>
      <c r="N155" s="70">
        <f>-0.00732918473819856-(+M155/52)</f>
        <v>-7.3143854521040127E-3</v>
      </c>
    </row>
    <row r="156" spans="1:14">
      <c r="A156" s="68">
        <v>3.88</v>
      </c>
      <c r="B156" s="69">
        <f t="shared" si="4"/>
        <v>3.8800000000000001E-2</v>
      </c>
      <c r="C156" s="70">
        <f t="shared" si="5"/>
        <v>7.4615384615384615E-4</v>
      </c>
      <c r="F156" s="71">
        <v>38695</v>
      </c>
      <c r="G156" s="69">
        <v>1.2218154008504858E-3</v>
      </c>
      <c r="H156" s="70">
        <f>0.0092085519951862-(+G156/52)</f>
        <v>9.1850555451698443E-3</v>
      </c>
      <c r="I156" s="70">
        <f>0.000991168435097494-(+H156/52)</f>
        <v>8.1453275153653545E-4</v>
      </c>
      <c r="J156" s="70">
        <f>0.0226787542884252-(+I156/52)</f>
        <v>2.2663090197049495E-2</v>
      </c>
      <c r="K156" s="70">
        <f>-0.00140540369826448-(+J156/52)</f>
        <v>-1.8412323559000472E-3</v>
      </c>
      <c r="L156" s="70">
        <f>-0.0125231616284611-(+K156/52)</f>
        <v>-1.2487753313924561E-2</v>
      </c>
      <c r="M156" s="70">
        <f>0.0147483935114433-(+L156/52)</f>
        <v>1.4988542613634156E-2</v>
      </c>
      <c r="N156" s="70">
        <f>-0.00650946024670093-(+M156/52)</f>
        <v>-6.7977014508092794E-3</v>
      </c>
    </row>
    <row r="157" spans="1:14">
      <c r="A157" s="68">
        <v>3.91</v>
      </c>
      <c r="B157" s="69">
        <f t="shared" si="4"/>
        <v>3.9100000000000003E-2</v>
      </c>
      <c r="C157" s="70">
        <f t="shared" si="5"/>
        <v>7.51923076923077E-4</v>
      </c>
      <c r="F157" s="71">
        <v>38702</v>
      </c>
      <c r="G157" s="69">
        <v>1.0654407375670333E-2</v>
      </c>
      <c r="H157" s="70">
        <f>0.0246188679245282-(+G157/52)</f>
        <v>2.4413975474996078E-2</v>
      </c>
      <c r="I157" s="70">
        <f>0.015735086895256-(+H157/52)</f>
        <v>1.526558736689069E-2</v>
      </c>
      <c r="J157" s="70">
        <f>0.0212763550169995-(+I157/52)</f>
        <v>2.098278602917468E-2</v>
      </c>
      <c r="K157" s="70">
        <f>0.0103735095986589-(+J157/52)</f>
        <v>9.9699944827132334E-3</v>
      </c>
      <c r="L157" s="70">
        <f>-0.0155891049165122-(+K157/52)</f>
        <v>-1.57808355796413E-2</v>
      </c>
      <c r="M157" s="70">
        <f>0.00366979968065038-(+L157/52)</f>
        <v>3.9732772879511741E-3</v>
      </c>
      <c r="N157" s="70">
        <f>0.0216066693860901-(+M157/52)</f>
        <v>2.1530260207475654E-2</v>
      </c>
    </row>
    <row r="158" spans="1:14">
      <c r="A158" s="68">
        <v>3.83</v>
      </c>
      <c r="B158" s="69">
        <f t="shared" si="4"/>
        <v>3.8300000000000001E-2</v>
      </c>
      <c r="C158" s="70">
        <f t="shared" si="5"/>
        <v>7.3653846153846154E-4</v>
      </c>
      <c r="F158" s="71">
        <v>38709</v>
      </c>
      <c r="G158" s="69">
        <v>-1.4702007982482198E-5</v>
      </c>
      <c r="H158" s="70">
        <f>-0.0048319853861905-(+G158/52)</f>
        <v>-4.8317026552677604E-3</v>
      </c>
      <c r="I158" s="70">
        <f>-0.0205217934697703-(+H158/52)</f>
        <v>-2.0428876111015151E-2</v>
      </c>
      <c r="J158" s="70">
        <f>-0.0183736775051237-(+I158/52)</f>
        <v>-1.7980814502988794E-2</v>
      </c>
      <c r="K158" s="70">
        <f>-0.0179620412975657-(+J158/52)</f>
        <v>-1.7616256403277453E-2</v>
      </c>
      <c r="L158" s="70">
        <f>0.00184215220016689-(+K158/52)</f>
        <v>2.1809263617683793E-3</v>
      </c>
      <c r="M158" s="70">
        <f>-0.00743479302349768-(+L158/52)</f>
        <v>-7.4767339150701483E-3</v>
      </c>
      <c r="N158" s="70">
        <f>-0.0146238598505171-(+M158/52)</f>
        <v>-1.448007650599652E-2</v>
      </c>
    </row>
    <row r="159" spans="1:14">
      <c r="A159" s="68">
        <v>3.89</v>
      </c>
      <c r="B159" s="69">
        <f t="shared" si="4"/>
        <v>3.8900000000000004E-2</v>
      </c>
      <c r="C159" s="70">
        <f t="shared" si="5"/>
        <v>7.4807692307692314E-4</v>
      </c>
      <c r="F159" s="71">
        <v>38716</v>
      </c>
      <c r="G159" s="69">
        <v>-2.9352068121941905E-3</v>
      </c>
      <c r="H159" s="70">
        <f>-0.00509229789942703-(+G159/52)</f>
        <v>-5.0358516145771418E-3</v>
      </c>
      <c r="I159" s="70">
        <f>-0.00655859028588562-(+H159/52)</f>
        <v>-6.4617469856052909E-3</v>
      </c>
      <c r="J159" s="70">
        <f>-0.00422655222810968-(+I159/52)</f>
        <v>-4.1022878630018866E-3</v>
      </c>
      <c r="K159" s="70">
        <f>0.00313431329320697-(+J159/52)</f>
        <v>3.2132034444185449E-3</v>
      </c>
      <c r="L159" s="70">
        <f>-0.00355521730858088-(+K159/52)</f>
        <v>-3.6170096825120057E-3</v>
      </c>
      <c r="M159" s="70">
        <f>-0.00684388831211398-(+L159/52)</f>
        <v>-6.7743304336041338E-3</v>
      </c>
      <c r="N159" s="70">
        <f>-0.0100923123678313-(+M159/52)</f>
        <v>-9.9620367825696814E-3</v>
      </c>
    </row>
    <row r="160" spans="1:14">
      <c r="A160" s="68">
        <v>3.92</v>
      </c>
      <c r="B160" s="69">
        <f t="shared" si="4"/>
        <v>3.9199999999999999E-2</v>
      </c>
      <c r="C160" s="70">
        <f t="shared" si="5"/>
        <v>7.5384615384615377E-4</v>
      </c>
      <c r="F160" s="71">
        <v>38723</v>
      </c>
      <c r="G160" s="69">
        <v>1.2198503993324453E-2</v>
      </c>
      <c r="H160" s="70">
        <f>0.0168653007781695-(+G160/52)</f>
        <v>1.6630714162913261E-2</v>
      </c>
      <c r="I160" s="70">
        <f>0.0562766114582597-(+H160/52)</f>
        <v>5.5956790032049827E-2</v>
      </c>
      <c r="J160" s="70">
        <f>0.0100700426149243-(+I160/52)</f>
        <v>8.9939504989233424E-3</v>
      </c>
      <c r="K160" s="70">
        <f>0.0155219802043118-(+J160/52)</f>
        <v>1.5349019617794044E-2</v>
      </c>
      <c r="L160" s="70">
        <f>0.0478693515038107-(+K160/52)</f>
        <v>4.757417804962235E-2</v>
      </c>
      <c r="M160" s="70">
        <f>0.0426025519350417-(+L160/52)</f>
        <v>4.1687663895625886E-2</v>
      </c>
      <c r="N160" s="70">
        <f>0.0211387417811548-(+M160/52)</f>
        <v>2.0337055937008148E-2</v>
      </c>
    </row>
    <row r="161" spans="1:14">
      <c r="A161" s="68">
        <v>4.0999999999999996</v>
      </c>
      <c r="B161" s="69">
        <f t="shared" si="4"/>
        <v>4.0999999999999995E-2</v>
      </c>
      <c r="C161" s="70">
        <f t="shared" si="5"/>
        <v>7.8846153846153834E-4</v>
      </c>
      <c r="F161" s="71">
        <v>38730</v>
      </c>
      <c r="G161" s="69">
        <v>4.4583139622593048E-4</v>
      </c>
      <c r="H161" s="70">
        <f>-0.0156344880564801-(+G161/52)</f>
        <v>-1.5643061737176753E-2</v>
      </c>
      <c r="I161" s="70">
        <f>0.00791604854203652-(+H161/52)</f>
        <v>8.2168766523668425E-3</v>
      </c>
      <c r="J161" s="70">
        <f>0.0120903720243939-(+I161/52)</f>
        <v>1.1932355165694538E-2</v>
      </c>
      <c r="K161" s="70">
        <f>0.0363944513975804-(+J161/52)</f>
        <v>3.6164983029009348E-2</v>
      </c>
      <c r="L161" s="70">
        <f>0.0198034106380043-(+K161/52)</f>
        <v>1.9107930195138734E-2</v>
      </c>
      <c r="M161" s="70">
        <f>0.00263851082449066-(+L161/52)</f>
        <v>2.2710506284302997E-3</v>
      </c>
      <c r="N161" s="70">
        <f>-0.00489812280383077-(+M161/52)</f>
        <v>-4.9417968543775063E-3</v>
      </c>
    </row>
    <row r="162" spans="1:14">
      <c r="A162" s="68">
        <v>4.2</v>
      </c>
      <c r="B162" s="69">
        <f t="shared" si="4"/>
        <v>4.2000000000000003E-2</v>
      </c>
      <c r="C162" s="70">
        <f t="shared" si="5"/>
        <v>8.0769230769230777E-4</v>
      </c>
      <c r="F162" s="71">
        <v>38737</v>
      </c>
      <c r="G162" s="69">
        <v>-3.8363128670555057E-3</v>
      </c>
      <c r="H162" s="70">
        <f>0.0177185837024704-(+G162/52)</f>
        <v>1.7792358949913777E-2</v>
      </c>
      <c r="I162" s="70">
        <f>-0.0203887126156667-(+H162/52)</f>
        <v>-2.0730873364703504E-2</v>
      </c>
      <c r="J162" s="70">
        <f>0.0122286525200115-(+I162/52)</f>
        <v>1.2627323161640414E-2</v>
      </c>
      <c r="K162" s="70">
        <f>-0.00850864701945772-(+J162/52)</f>
        <v>-8.751480157181574E-3</v>
      </c>
      <c r="L162" s="70">
        <f>0.0017919202774158-(+K162/52)</f>
        <v>1.960217972746215E-3</v>
      </c>
      <c r="M162" s="70">
        <f>0.000618418340270374-(+L162/52)</f>
        <v>5.8072184079448522E-4</v>
      </c>
      <c r="N162" s="70">
        <f>0.000994517564564916-(+M162/52)</f>
        <v>9.8334983685732964E-4</v>
      </c>
    </row>
    <row r="163" spans="1:14">
      <c r="A163" s="68">
        <v>4.26</v>
      </c>
      <c r="B163" s="69">
        <f t="shared" si="4"/>
        <v>4.2599999999999999E-2</v>
      </c>
      <c r="C163" s="70">
        <f t="shared" si="5"/>
        <v>8.1923076923076925E-4</v>
      </c>
      <c r="F163" s="71">
        <v>38744</v>
      </c>
      <c r="G163" s="69">
        <v>-3.9941410633297239E-3</v>
      </c>
      <c r="H163" s="70">
        <f>0.00228580609353556-(+G163/52)</f>
        <v>2.3626164985995931E-3</v>
      </c>
      <c r="I163" s="70">
        <f>0.00497543073190552-(+H163/52)</f>
        <v>4.9299957992401432E-3</v>
      </c>
      <c r="J163" s="70">
        <f>0.0153010372285079-(+I163/52)</f>
        <v>1.5206229616984051E-2</v>
      </c>
      <c r="K163" s="70">
        <f>0.00955604725752097-(+J163/52)</f>
        <v>9.2636197648866617E-3</v>
      </c>
      <c r="L163" s="70">
        <f>0.0227284019665673-(+K163/52)</f>
        <v>2.2550255432627172E-2</v>
      </c>
      <c r="M163" s="70">
        <f>0.0100551410963348-(+L163/52)</f>
        <v>9.6214823380150472E-3</v>
      </c>
      <c r="N163" s="70">
        <f>0.0115953693980344-(+M163/52)</f>
        <v>1.141034089153411E-2</v>
      </c>
    </row>
    <row r="164" spans="1:14">
      <c r="A164" s="68">
        <v>4.32</v>
      </c>
      <c r="B164" s="69">
        <f t="shared" si="4"/>
        <v>4.3200000000000002E-2</v>
      </c>
      <c r="C164" s="70">
        <f t="shared" si="5"/>
        <v>8.3076923076923085E-4</v>
      </c>
      <c r="F164" s="71">
        <v>38751</v>
      </c>
      <c r="G164" s="69">
        <v>-5.3703864612389051E-3</v>
      </c>
      <c r="H164" s="70">
        <f>0.00429159532223387-(+G164/52)</f>
        <v>4.3948719849500033E-3</v>
      </c>
      <c r="I164" s="70">
        <f>0.015440608801147-(+H164/52)</f>
        <v>1.5356092032205653E-2</v>
      </c>
      <c r="J164" s="70">
        <f>0.00384042805670019-(+I164/52)</f>
        <v>3.5451185945423892E-3</v>
      </c>
      <c r="K164" s="70">
        <f>-0.0100286028824065-(+J164/52)</f>
        <v>-1.0096778239993854E-2</v>
      </c>
      <c r="L164" s="70">
        <f>0.0212317240125018-(+K164/52)</f>
        <v>2.1425892824809372E-2</v>
      </c>
      <c r="M164" s="70">
        <f>-0.0157657657657657-(+L164/52)</f>
        <v>-1.6177802166242802E-2</v>
      </c>
      <c r="N164" s="70">
        <f>-0.0120343376452233-(+M164/52)</f>
        <v>-1.1723226065103245E-2</v>
      </c>
    </row>
    <row r="165" spans="1:14">
      <c r="A165" s="68">
        <v>4.37</v>
      </c>
      <c r="B165" s="69">
        <f t="shared" si="4"/>
        <v>4.3700000000000003E-2</v>
      </c>
      <c r="C165" s="70">
        <f t="shared" si="5"/>
        <v>8.4038461538461545E-4</v>
      </c>
      <c r="F165" s="71">
        <v>38758</v>
      </c>
      <c r="G165" s="69">
        <v>-2.486485500258092E-3</v>
      </c>
      <c r="H165" s="70">
        <f>-0.00624664451441582-(+G165/52)</f>
        <v>-6.1988274855647027E-3</v>
      </c>
      <c r="I165" s="70">
        <f>0.102892726548641-(+H165/52)</f>
        <v>0.10301193476951724</v>
      </c>
      <c r="J165" s="70">
        <f>0.00249317600533029-(+I165/52)</f>
        <v>5.12177259762651E-4</v>
      </c>
      <c r="K165" s="70">
        <f>0.0406071007840111-(+J165/52)</f>
        <v>4.0597251221323356E-2</v>
      </c>
      <c r="L165" s="70">
        <f>0.00707241356176181-(+K165/52)</f>
        <v>6.2916971921209769E-3</v>
      </c>
      <c r="M165" s="70">
        <f>-0.00533943554538526-(+L165/52)</f>
        <v>-5.460429722156818E-3</v>
      </c>
      <c r="N165" s="70">
        <f>-0.00948803614010578-(+M165/52)</f>
        <v>-9.3830278762181488E-3</v>
      </c>
    </row>
    <row r="166" spans="1:14">
      <c r="A166" s="68">
        <v>4.4000000000000004</v>
      </c>
      <c r="B166" s="69">
        <f t="shared" si="4"/>
        <v>4.4000000000000004E-2</v>
      </c>
      <c r="C166" s="70">
        <f t="shared" si="5"/>
        <v>8.461538461538462E-4</v>
      </c>
      <c r="F166" s="71">
        <v>38765</v>
      </c>
      <c r="G166" s="69">
        <v>2.4281187268204614E-3</v>
      </c>
      <c r="H166" s="70">
        <f>-0.00211720558066195-(+G166/52)</f>
        <v>-2.1639001715623436E-3</v>
      </c>
      <c r="I166" s="70">
        <f>0.0331659171235051-(+H166/52)</f>
        <v>3.3207530588342839E-2</v>
      </c>
      <c r="J166" s="70">
        <f>-0.000310871942199219-(+I166/52)</f>
        <v>-9.4947829966735052E-4</v>
      </c>
      <c r="K166" s="70">
        <f>0.00447951281638403-(+J166/52)</f>
        <v>4.4977720144545562E-3</v>
      </c>
      <c r="L166" s="70">
        <f>0.00330788526688971-(+K166/52)</f>
        <v>3.2213896512271224E-3</v>
      </c>
      <c r="M166" s="70">
        <f>0.00760665271818143-(+L166/52)</f>
        <v>7.5447029171962932E-3</v>
      </c>
      <c r="N166" s="70">
        <f>0.0187004935558252-(+M166/52)</f>
        <v>1.8555403115109888E-2</v>
      </c>
    </row>
    <row r="167" spans="1:14">
      <c r="A167" s="68">
        <v>4.4400000000000004</v>
      </c>
      <c r="B167" s="69">
        <f t="shared" si="4"/>
        <v>4.4400000000000002E-2</v>
      </c>
      <c r="C167" s="70">
        <f t="shared" si="5"/>
        <v>8.5384615384615393E-4</v>
      </c>
      <c r="F167" s="71">
        <v>38772</v>
      </c>
      <c r="G167" s="69">
        <v>4.2913994910589971E-4</v>
      </c>
      <c r="H167" s="70">
        <f>0.0328936297857086-(+G167/52)</f>
        <v>3.2885377094379643E-2</v>
      </c>
      <c r="I167" s="70">
        <f>0.0142872272823554-(+H167/52)</f>
        <v>1.3654816184386562E-2</v>
      </c>
      <c r="J167" s="70">
        <f>0.0138756340006648-(+I167/52)</f>
        <v>1.3613041381734289E-2</v>
      </c>
      <c r="K167" s="70">
        <f>-0.00785033835152625-(+J167/52)</f>
        <v>-8.1121276088672936E-3</v>
      </c>
      <c r="L167" s="70">
        <f>0.0200704063819667-(+K167/52)</f>
        <v>2.0226408835983378E-2</v>
      </c>
      <c r="M167" s="70">
        <f>0.00785278124835022-(+L167/52)</f>
        <v>7.4638118476582326E-3</v>
      </c>
      <c r="N167" s="70">
        <f>0.0148778160912372-(+M167/52)</f>
        <v>1.4734281248013004E-2</v>
      </c>
    </row>
    <row r="168" spans="1:14">
      <c r="A168" s="68">
        <v>4.47</v>
      </c>
      <c r="B168" s="69">
        <f t="shared" si="4"/>
        <v>4.4699999999999997E-2</v>
      </c>
      <c r="C168" s="70">
        <f t="shared" si="5"/>
        <v>8.5961538461538456E-4</v>
      </c>
      <c r="F168" s="71">
        <v>38779</v>
      </c>
      <c r="G168" s="69">
        <v>-2.9367157094213484E-3</v>
      </c>
      <c r="H168" s="70">
        <f>-0.0213558673740428-(+G168/52)</f>
        <v>-2.1299392071938546E-2</v>
      </c>
      <c r="I168" s="70">
        <f>0.0135221209368375-(+H168/52)</f>
        <v>1.3931724630528625E-2</v>
      </c>
      <c r="J168" s="70">
        <f>-0.00597032289452251-(+I168/52)</f>
        <v>-6.2382406758788294E-3</v>
      </c>
      <c r="K168" s="70">
        <f>-0.00489632041520797-(+J168/52)</f>
        <v>-4.7763542483641461E-3</v>
      </c>
      <c r="L168" s="70">
        <f>-0.0263551249232212-(+K168/52)</f>
        <v>-2.6263271956906507E-2</v>
      </c>
      <c r="M168" s="70">
        <f>-0.00524241247004481-(+L168/52)</f>
        <v>-4.7373495477966076E-3</v>
      </c>
      <c r="N168" s="70">
        <f>-0.0121713699396039-(+M168/52)</f>
        <v>-1.2080267063684733E-2</v>
      </c>
    </row>
    <row r="169" spans="1:14">
      <c r="A169" s="68">
        <v>4.5</v>
      </c>
      <c r="B169" s="69">
        <f t="shared" si="4"/>
        <v>4.4999999999999998E-2</v>
      </c>
      <c r="C169" s="70">
        <f t="shared" si="5"/>
        <v>8.653846153846153E-4</v>
      </c>
      <c r="F169" s="71">
        <v>38786</v>
      </c>
      <c r="G169" s="69">
        <v>-7.3872827748536207E-3</v>
      </c>
      <c r="H169" s="70">
        <f>-0.00991575229437483-(+G169/52)</f>
        <v>-9.7736891640891835E-3</v>
      </c>
      <c r="I169" s="70">
        <f>-0.0256995384488584-(+H169/52)</f>
        <v>-2.5511582888010531E-2</v>
      </c>
      <c r="J169" s="70">
        <f>-0.0266953232645114-(+I169/52)</f>
        <v>-2.6204715901280429E-2</v>
      </c>
      <c r="K169" s="70">
        <f>-0.014825202351957-(+J169/52)</f>
        <v>-1.4321265507701606E-2</v>
      </c>
      <c r="L169" s="70">
        <f>-0.012652396406909-(+K169/52)</f>
        <v>-1.2376987454837814E-2</v>
      </c>
      <c r="M169" s="70">
        <f>-0.00519983149913113-(+L169/52)</f>
        <v>-4.9618125096150181E-3</v>
      </c>
      <c r="N169" s="70">
        <f>-0.0197290674097203-(+M169/52)</f>
        <v>-1.963364793838155E-2</v>
      </c>
    </row>
    <row r="170" spans="1:14">
      <c r="A170" s="68">
        <v>4.49</v>
      </c>
      <c r="B170" s="69">
        <f t="shared" si="4"/>
        <v>4.4900000000000002E-2</v>
      </c>
      <c r="C170" s="70">
        <f t="shared" si="5"/>
        <v>8.6346153846153853E-4</v>
      </c>
      <c r="F170" s="71">
        <v>38793</v>
      </c>
      <c r="G170" s="69">
        <v>1.0597911150269959E-2</v>
      </c>
      <c r="H170" s="70">
        <f>0.0136921209994591-(+G170/52)</f>
        <v>1.3488315015800062E-2</v>
      </c>
      <c r="I170" s="70">
        <f>0.0316804043586991-(+H170/52)</f>
        <v>3.1421013685318328E-2</v>
      </c>
      <c r="J170" s="70">
        <f>0.0377469869640075-(+I170/52)</f>
        <v>3.7142736700828301E-2</v>
      </c>
      <c r="K170" s="70">
        <f>0.0349611930756859-(+J170/52)</f>
        <v>3.4246909677593043E-2</v>
      </c>
      <c r="L170" s="70">
        <f>0.0146710313302908-(+K170/52)</f>
        <v>1.4012436913414011E-2</v>
      </c>
      <c r="M170" s="70">
        <f>0.0176703851226473-(+L170/52)</f>
        <v>1.7400915182004723E-2</v>
      </c>
      <c r="N170" s="70">
        <f>0.0234826085301321-(+M170/52)</f>
        <v>2.314797554586278E-2</v>
      </c>
    </row>
    <row r="171" spans="1:14">
      <c r="A171" s="68">
        <v>4.5</v>
      </c>
      <c r="B171" s="69">
        <f t="shared" si="4"/>
        <v>4.4999999999999998E-2</v>
      </c>
      <c r="C171" s="70">
        <f t="shared" si="5"/>
        <v>8.653846153846153E-4</v>
      </c>
      <c r="F171" s="71">
        <v>38800</v>
      </c>
      <c r="G171" s="69">
        <v>-3.2214906739807705E-3</v>
      </c>
      <c r="H171" s="70">
        <f>-0.0195287992096174-(+G171/52)</f>
        <v>-1.9466847465887002E-2</v>
      </c>
      <c r="I171" s="70">
        <f>-0.00842510928555691-(+H171/52)</f>
        <v>-8.0507468342898517E-3</v>
      </c>
      <c r="J171" s="70">
        <f>-0.00900132201979338-(+I171/52)</f>
        <v>-8.8464999652878053E-3</v>
      </c>
      <c r="K171" s="70">
        <f>0.0680622713804521-(+J171/52)</f>
        <v>6.8232396379784552E-2</v>
      </c>
      <c r="L171" s="70">
        <f>-0.00750547805260383-(+K171/52)</f>
        <v>-8.81763952144584E-3</v>
      </c>
      <c r="M171" s="70">
        <f>-0.0146675739988645-(+L171/52)</f>
        <v>-1.4498004008067463E-2</v>
      </c>
      <c r="N171" s="70">
        <f>-0.0132232327177369-(+M171/52)</f>
        <v>-1.2944424948350988E-2</v>
      </c>
    </row>
    <row r="172" spans="1:14">
      <c r="A172" s="68">
        <v>4.5599999999999996</v>
      </c>
      <c r="B172" s="69">
        <f t="shared" si="4"/>
        <v>4.5599999999999995E-2</v>
      </c>
      <c r="C172" s="70">
        <f t="shared" si="5"/>
        <v>8.7692307692307679E-4</v>
      </c>
      <c r="F172" s="71">
        <v>38807</v>
      </c>
      <c r="G172" s="69">
        <v>-6.5480845471869468E-3</v>
      </c>
      <c r="H172" s="70">
        <f>-0.0187703645952088-(+G172/52)</f>
        <v>-1.8644439892378281E-2</v>
      </c>
      <c r="I172" s="70">
        <f>-0.00334906221089778-(+H172/52)</f>
        <v>-2.9905152898905053E-3</v>
      </c>
      <c r="J172" s="70">
        <f>-0.0173583060504274-(+I172/52)</f>
        <v>-1.7300796141006429E-2</v>
      </c>
      <c r="K172" s="70">
        <f>0.0251619782583156-(+J172/52)</f>
        <v>2.5494685876411877E-2</v>
      </c>
      <c r="L172" s="70">
        <f>-0.019388468628822-(+K172/52)</f>
        <v>-1.987875104952223E-2</v>
      </c>
      <c r="M172" s="70">
        <f>0.00467604221194837-(+L172/52)</f>
        <v>5.0583258859776443E-3</v>
      </c>
      <c r="N172" s="70">
        <f>-0.00261349215324116-(+M172/52)</f>
        <v>-2.7107676510484224E-3</v>
      </c>
    </row>
    <row r="173" spans="1:14">
      <c r="A173" s="68">
        <v>4.51</v>
      </c>
      <c r="B173" s="69">
        <f t="shared" si="4"/>
        <v>4.5100000000000001E-2</v>
      </c>
      <c r="C173" s="70">
        <f t="shared" si="5"/>
        <v>8.6730769230769229E-4</v>
      </c>
      <c r="F173" s="71">
        <v>38814</v>
      </c>
      <c r="G173" s="69">
        <v>-3.5142238771362143E-3</v>
      </c>
      <c r="H173" s="70">
        <f>-0.00880763378233526-(+G173/52)</f>
        <v>-8.7400525539287933E-3</v>
      </c>
      <c r="I173" s="70">
        <f>0.0142243011009183-(+H173/52)</f>
        <v>1.43923790346477E-2</v>
      </c>
      <c r="J173" s="70">
        <f>0.0122616098568848-(+I173/52)</f>
        <v>1.198483333698773E-2</v>
      </c>
      <c r="K173" s="70">
        <f>0.00919808722096139-(+J173/52)</f>
        <v>8.9676096567885503E-3</v>
      </c>
      <c r="L173" s="70">
        <f>0.0417526852766059-(+K173/52)</f>
        <v>4.1580231244744581E-2</v>
      </c>
      <c r="M173" s="70">
        <f>0.0196197765245718-(+L173/52)</f>
        <v>1.8820156692942097E-2</v>
      </c>
      <c r="N173" s="70">
        <f>0.00155582710792529-(+M173/52)</f>
        <v>1.1939010176764036E-3</v>
      </c>
    </row>
    <row r="174" spans="1:14">
      <c r="A174" s="68">
        <v>4.5599999999999996</v>
      </c>
      <c r="B174" s="69">
        <f t="shared" si="4"/>
        <v>4.5599999999999995E-2</v>
      </c>
      <c r="C174" s="70">
        <f t="shared" si="5"/>
        <v>8.7692307692307679E-4</v>
      </c>
      <c r="F174" s="71">
        <v>38821</v>
      </c>
      <c r="G174" s="69">
        <v>-4.6281032126883285E-3</v>
      </c>
      <c r="H174" s="70">
        <f>-0.0139603121785952-(+G174/52)</f>
        <v>-1.387131019373581E-2</v>
      </c>
      <c r="I174" s="70">
        <f>-0.00996001677045946-(+H174/52)</f>
        <v>-9.6932608051953102E-3</v>
      </c>
      <c r="J174" s="70">
        <f>-0.0197592344231725-(+I174/52)</f>
        <v>-1.957282556153413E-2</v>
      </c>
      <c r="K174" s="70">
        <f>-0.0232769387986829-(+J174/52)</f>
        <v>-2.2900538307114939E-2</v>
      </c>
      <c r="L174" s="70">
        <f>0.0026626170953181-(+K174/52)</f>
        <v>3.1030120627626181E-3</v>
      </c>
      <c r="M174" s="70">
        <f>-0.013217504820224-(+L174/52)</f>
        <v>-1.327717812912328E-2</v>
      </c>
      <c r="N174" s="70">
        <f>-0.00970409735542912-(+M174/52)</f>
        <v>-9.4487670067921348E-3</v>
      </c>
    </row>
    <row r="175" spans="1:14">
      <c r="A175" s="68">
        <v>4.58</v>
      </c>
      <c r="B175" s="69">
        <f t="shared" si="4"/>
        <v>4.58E-2</v>
      </c>
      <c r="C175" s="70">
        <f t="shared" si="5"/>
        <v>8.8076923076923076E-4</v>
      </c>
      <c r="F175" s="71">
        <v>38828</v>
      </c>
      <c r="G175" s="69">
        <v>8.7316865790878183E-3</v>
      </c>
      <c r="H175" s="70">
        <f>0.039360053993527-(+G175/52)</f>
        <v>3.9192136943929159E-2</v>
      </c>
      <c r="I175" s="70">
        <f>0.0440366877717756-(+H175/52)</f>
        <v>4.3282992830546194E-2</v>
      </c>
      <c r="J175" s="70">
        <f>0.0453517211305225-(+I175/52)</f>
        <v>4.4519355883781225E-2</v>
      </c>
      <c r="K175" s="70">
        <f>0.0474129451111548-(+J175/52)</f>
        <v>4.6556803651851317E-2</v>
      </c>
      <c r="L175" s="70">
        <f>0.0247198547744336-(+K175/52)</f>
        <v>2.3824531627282614E-2</v>
      </c>
      <c r="M175" s="70">
        <f>0.0273330577253641-(+L175/52)</f>
        <v>2.6874893655608665E-2</v>
      </c>
      <c r="N175" s="70">
        <f>0.0297087551282215-(+M175/52)</f>
        <v>2.9191930250229026E-2</v>
      </c>
    </row>
    <row r="176" spans="1:14">
      <c r="A176" s="68">
        <v>4.6100000000000003</v>
      </c>
      <c r="B176" s="69">
        <f t="shared" si="4"/>
        <v>4.6100000000000002E-2</v>
      </c>
      <c r="C176" s="70">
        <f t="shared" si="5"/>
        <v>8.8653846153846161E-4</v>
      </c>
      <c r="F176" s="71">
        <v>38835</v>
      </c>
      <c r="G176" s="69">
        <v>2.1745368772770014E-3</v>
      </c>
      <c r="H176" s="70">
        <f>0.0150902463141428-(+G176/52)</f>
        <v>1.5048428297272088E-2</v>
      </c>
      <c r="I176" s="70">
        <f>0.0114858949055456-(+H176/52)</f>
        <v>1.1196502053674983E-2</v>
      </c>
      <c r="J176" s="70">
        <f>-0.0128066744883327-(+I176/52)</f>
        <v>-1.3021991835518757E-2</v>
      </c>
      <c r="K176" s="70">
        <f>0.00850778635339109-(+J176/52)</f>
        <v>8.7582092733049129E-3</v>
      </c>
      <c r="L176" s="70">
        <f>0.0458477417972214-(+K176/52)</f>
        <v>4.5679314695811685E-2</v>
      </c>
      <c r="M176" s="70">
        <f>0.0241871261797048-(+L176/52)</f>
        <v>2.330867782016996E-2</v>
      </c>
      <c r="N176" s="70">
        <f>0.00416306895275688-(+M176/52)</f>
        <v>3.7148251485228426E-3</v>
      </c>
    </row>
    <row r="177" spans="1:14">
      <c r="A177" s="68">
        <v>4.66</v>
      </c>
      <c r="B177" s="69">
        <f t="shared" si="4"/>
        <v>4.6600000000000003E-2</v>
      </c>
      <c r="C177" s="70">
        <f t="shared" si="5"/>
        <v>8.9615384615384622E-4</v>
      </c>
      <c r="F177" s="71">
        <v>38842</v>
      </c>
      <c r="G177" s="69">
        <v>5.5569478744813593E-3</v>
      </c>
      <c r="H177" s="70">
        <f>0.0101044612286733-(+G177/52)</f>
        <v>9.9975968464717339E-3</v>
      </c>
      <c r="I177" s="70">
        <f>0.0174488832812509-(+H177/52)</f>
        <v>1.7256621803434135E-2</v>
      </c>
      <c r="J177" s="70">
        <f>0.0261991664861952-(+I177/52)</f>
        <v>2.5867308374590697E-2</v>
      </c>
      <c r="K177" s="70">
        <f>0.0187683334109351-(+J177/52)</f>
        <v>1.8270885172962201E-2</v>
      </c>
      <c r="L177" s="70">
        <f>0.0281141940764745-(+K177/52)</f>
        <v>2.7762830900071381E-2</v>
      </c>
      <c r="M177" s="70">
        <f>0.0152324783072634-(+L177/52)</f>
        <v>1.4698577713031258E-2</v>
      </c>
      <c r="N177" s="70">
        <f>0.0157356508921168-(+M177/52)</f>
        <v>1.545298593609697E-2</v>
      </c>
    </row>
    <row r="178" spans="1:14">
      <c r="A178" s="68">
        <v>4.6900000000000004</v>
      </c>
      <c r="B178" s="69">
        <f t="shared" si="4"/>
        <v>4.6900000000000004E-2</v>
      </c>
      <c r="C178" s="70">
        <f t="shared" si="5"/>
        <v>9.0192307692307696E-4</v>
      </c>
      <c r="F178" s="71">
        <v>38849</v>
      </c>
      <c r="G178" s="69">
        <v>-3.5061084450428654E-3</v>
      </c>
      <c r="H178" s="70">
        <f>-0.0148899268097846-(+G178/52)</f>
        <v>-1.4822501647379929E-2</v>
      </c>
      <c r="I178" s="70">
        <f>-0.000663298902672955-(+H178/52)</f>
        <v>-3.7825079406949484E-4</v>
      </c>
      <c r="J178" s="70">
        <f>-0.0219426700775688-(+I178/52)</f>
        <v>-2.1935396023836692E-2</v>
      </c>
      <c r="K178" s="70">
        <f>0.00693443242771615-(+J178/52)</f>
        <v>7.3562669666360865E-3</v>
      </c>
      <c r="L178" s="70">
        <f>-0.0421213401358332-(+K178/52)</f>
        <v>-4.2262806808268508E-2</v>
      </c>
      <c r="M178" s="70">
        <f>-0.00442011007499925-(+L178/52)</f>
        <v>-3.6073637902248558E-3</v>
      </c>
      <c r="N178" s="70">
        <f>-0.0173361471063087-(+M178/52)</f>
        <v>-1.7266774725727452E-2</v>
      </c>
    </row>
    <row r="179" spans="1:14">
      <c r="A179" s="68">
        <v>4.74</v>
      </c>
      <c r="B179" s="69">
        <f t="shared" si="4"/>
        <v>4.7400000000000005E-2</v>
      </c>
      <c r="C179" s="70">
        <f t="shared" si="5"/>
        <v>9.1153846153846168E-4</v>
      </c>
      <c r="F179" s="71">
        <v>38856</v>
      </c>
      <c r="G179" s="69">
        <v>-9.1658467605143024E-4</v>
      </c>
      <c r="H179" s="70">
        <f>0.00580783729289036-(+G179/52)</f>
        <v>5.8254639212759647E-3</v>
      </c>
      <c r="I179" s="70">
        <f>-0.033764122493543-(+H179/52)</f>
        <v>-3.3876150645875229E-2</v>
      </c>
      <c r="J179" s="70">
        <f>-0.0253241832266757-(+I179/52)</f>
        <v>-2.4672718791178098E-2</v>
      </c>
      <c r="K179" s="70">
        <f>-0.060948537664224-(+J179/52)</f>
        <v>-6.0474062302855187E-2</v>
      </c>
      <c r="L179" s="70">
        <f>-0.0663968499520528-(+K179/52)</f>
        <v>-6.5233887215459432E-2</v>
      </c>
      <c r="M179" s="70">
        <f>-0.0421590611496662-(+L179/52)</f>
        <v>-4.0904563318599672E-2</v>
      </c>
      <c r="N179" s="70">
        <f>-0.0249707710294751-(+M179/52)</f>
        <v>-2.4184144811809721E-2</v>
      </c>
    </row>
    <row r="180" spans="1:14">
      <c r="A180" s="68">
        <v>4.71</v>
      </c>
      <c r="B180" s="69">
        <f t="shared" si="4"/>
        <v>4.7100000000000003E-2</v>
      </c>
      <c r="C180" s="70">
        <f t="shared" si="5"/>
        <v>9.0576923076923083E-4</v>
      </c>
      <c r="F180" s="71">
        <v>38863</v>
      </c>
      <c r="G180" s="69">
        <v>-2.6587772733745727E-4</v>
      </c>
      <c r="H180" s="70">
        <f>0.0347765454426602-(+G180/52)</f>
        <v>3.4781658475878226E-2</v>
      </c>
      <c r="I180" s="70">
        <f>-0.0187263866834584-(+H180/52)</f>
        <v>-1.9395264731071442E-2</v>
      </c>
      <c r="J180" s="70">
        <f>0.0217111941426751-(+I180/52)</f>
        <v>2.2084180002888011E-2</v>
      </c>
      <c r="K180" s="70">
        <f>0.0882762620781173-(+J180/52)</f>
        <v>8.7851566308830994E-2</v>
      </c>
      <c r="L180" s="70">
        <f>0.0233506018127665-(+K180/52)</f>
        <v>2.1661148614519749E-2</v>
      </c>
      <c r="M180" s="70">
        <f>0.00389608725184867-(+L180/52)</f>
        <v>3.4795267015694437E-3</v>
      </c>
      <c r="N180" s="70">
        <f>0.0132090475349002-(+M180/52)</f>
        <v>1.3142133559870019E-2</v>
      </c>
    </row>
    <row r="181" spans="1:14">
      <c r="A181" s="68">
        <v>4.71</v>
      </c>
      <c r="B181" s="69">
        <f t="shared" si="4"/>
        <v>4.7100000000000003E-2</v>
      </c>
      <c r="C181" s="70">
        <f t="shared" si="5"/>
        <v>9.0576923076923083E-4</v>
      </c>
      <c r="F181" s="71">
        <v>38870</v>
      </c>
      <c r="G181" s="69">
        <v>4.8335296289514253E-3</v>
      </c>
      <c r="H181" s="70">
        <f>0.0224051885699845-(+G181/52)</f>
        <v>2.2312236077120049E-2</v>
      </c>
      <c r="I181" s="70">
        <f>0.07430591839944-(+H181/52)</f>
        <v>7.3876836936418458E-2</v>
      </c>
      <c r="J181" s="70">
        <f>0.0174924032236755-(+I181/52)</f>
        <v>1.6071694821052068E-2</v>
      </c>
      <c r="K181" s="70">
        <f>0.0190010134412184-(+J181/52)</f>
        <v>1.8691942386967399E-2</v>
      </c>
      <c r="L181" s="70">
        <f>0.00988084515077516-(+K181/52)</f>
        <v>9.5213847202565566E-3</v>
      </c>
      <c r="M181" s="70">
        <f>0.00442140829726857-(+L181/52)</f>
        <v>4.2383047449559442E-3</v>
      </c>
      <c r="N181" s="70">
        <f>0.0382758728082469-(+M181/52)</f>
        <v>3.8194366947766983E-2</v>
      </c>
    </row>
    <row r="182" spans="1:14">
      <c r="A182" s="68">
        <v>4.72</v>
      </c>
      <c r="B182" s="69">
        <f t="shared" si="4"/>
        <v>4.7199999999999999E-2</v>
      </c>
      <c r="C182" s="70">
        <f t="shared" si="5"/>
        <v>9.076923076923077E-4</v>
      </c>
      <c r="F182" s="71">
        <v>38877</v>
      </c>
      <c r="G182" s="69">
        <v>-9.5004255837525826E-3</v>
      </c>
      <c r="H182" s="70">
        <f>-0.0242072237211569-(+G182/52)</f>
        <v>-2.4024523229161661E-2</v>
      </c>
      <c r="I182" s="70">
        <f>-0.0125083223549076-(+H182/52)</f>
        <v>-1.2046312292808338E-2</v>
      </c>
      <c r="J182" s="70">
        <f>-0.0234866387929466-(+I182/52)</f>
        <v>-2.3254978941161825E-2</v>
      </c>
      <c r="K182" s="70">
        <f>-0.0291785701549665-(+J182/52)</f>
        <v>-2.8731359021482619E-2</v>
      </c>
      <c r="L182" s="70">
        <f>-0.040427090475437-(+K182/52)</f>
        <v>-3.9874564340408487E-2</v>
      </c>
      <c r="M182" s="70">
        <f>-0.0241069007592191-(+L182/52)</f>
        <v>-2.3340082214211244E-2</v>
      </c>
      <c r="N182" s="70">
        <f>-0.0241106245125683-(+M182/52)</f>
        <v>-2.3661776777679625E-2</v>
      </c>
    </row>
    <row r="183" spans="1:14">
      <c r="A183" s="68">
        <v>4.74</v>
      </c>
      <c r="B183" s="69">
        <f t="shared" si="4"/>
        <v>4.7400000000000005E-2</v>
      </c>
      <c r="C183" s="70">
        <f t="shared" si="5"/>
        <v>9.1153846153846168E-4</v>
      </c>
      <c r="F183" s="71">
        <v>38884</v>
      </c>
      <c r="G183" s="69">
        <v>-6.947094327444182E-3</v>
      </c>
      <c r="H183" s="70">
        <f>0.00135788310948201-(+G183/52)</f>
        <v>1.4914810773174751E-3</v>
      </c>
      <c r="I183" s="70">
        <f>-0.00305551570793302-(+H183/52)</f>
        <v>-3.0841980363429714E-3</v>
      </c>
      <c r="J183" s="70">
        <f>-0.0113981480004043-(+I183/52)</f>
        <v>-1.1338836499705397E-2</v>
      </c>
      <c r="K183" s="70">
        <f>0.111781823821593-(+J183/52)</f>
        <v>0.11199987836966427</v>
      </c>
      <c r="L183" s="70">
        <f>0.00676175795935613-(+K183/52)</f>
        <v>4.6079141445548944E-3</v>
      </c>
      <c r="M183" s="70">
        <f>-0.0126898264320011-(+L183/52)</f>
        <v>-1.2778440165550232E-2</v>
      </c>
      <c r="N183" s="70">
        <f>-0.0134750508695466-(+M183/52)</f>
        <v>-1.3229311635593712E-2</v>
      </c>
    </row>
    <row r="184" spans="1:14">
      <c r="A184" s="68">
        <v>4.76</v>
      </c>
      <c r="B184" s="69">
        <f t="shared" si="4"/>
        <v>4.7599999999999996E-2</v>
      </c>
      <c r="C184" s="70">
        <f t="shared" si="5"/>
        <v>9.1538461538461533E-4</v>
      </c>
      <c r="F184" s="71">
        <v>38891</v>
      </c>
      <c r="G184" s="69">
        <v>-6.1015434136333507E-3</v>
      </c>
      <c r="H184" s="70">
        <f>-0.0183803380970449-(+G184/52)</f>
        <v>-1.8263000723705798E-2</v>
      </c>
      <c r="I184" s="70">
        <f>0.00684442014283589-(+H184/52)</f>
        <v>7.1956316952148476E-3</v>
      </c>
      <c r="J184" s="70">
        <f>-0.00117824285791147-(+I184/52)</f>
        <v>-1.3166203905117556E-3</v>
      </c>
      <c r="K184" s="70">
        <f>0.0319528929776322-(+J184/52)</f>
        <v>3.1978212600526655E-2</v>
      </c>
      <c r="L184" s="70">
        <f>0.022406819224078-(+K184/52)</f>
        <v>2.1791853597144795E-2</v>
      </c>
      <c r="M184" s="70">
        <f>-0.00876795694291157-(+L184/52)</f>
        <v>-9.1870310505489695E-3</v>
      </c>
      <c r="N184" s="70">
        <f>0.00065429121567305-(+M184/52)</f>
        <v>8.3096488972206871E-4</v>
      </c>
    </row>
    <row r="185" spans="1:14">
      <c r="A185" s="68">
        <v>4.8099999999999996</v>
      </c>
      <c r="B185" s="69">
        <f t="shared" si="4"/>
        <v>4.8099999999999997E-2</v>
      </c>
      <c r="C185" s="70">
        <f t="shared" si="5"/>
        <v>9.2499999999999993E-4</v>
      </c>
      <c r="F185" s="71">
        <v>38898</v>
      </c>
      <c r="G185" s="69">
        <v>9.2695760183803023E-3</v>
      </c>
      <c r="H185" s="70">
        <f>0.0109942022761435-(+G185/52)</f>
        <v>1.0815941198866957E-2</v>
      </c>
      <c r="I185" s="70">
        <f>0.0204079688259226-(+H185/52)</f>
        <v>2.019996995671362E-2</v>
      </c>
      <c r="J185" s="70">
        <f>0.0122918810025262-(+I185/52)</f>
        <v>1.190342004182017E-2</v>
      </c>
      <c r="K185" s="70">
        <f>-0.0000177869479376681-(+J185/52)</f>
        <v>-2.466988718188252E-4</v>
      </c>
      <c r="L185" s="70">
        <f>0.0256500622384236-(+K185/52)</f>
        <v>2.5654806447497042E-2</v>
      </c>
      <c r="M185" s="70">
        <f>0.0223888211156703-(+L185/52)</f>
        <v>2.1895459453218434E-2</v>
      </c>
      <c r="N185" s="70">
        <f>0.0342562148159219-(+M185/52)</f>
        <v>3.3835148287975389E-2</v>
      </c>
    </row>
    <row r="186" spans="1:14">
      <c r="A186" s="68">
        <v>4.8899999999999997</v>
      </c>
      <c r="B186" s="69">
        <f t="shared" si="4"/>
        <v>4.8899999999999999E-2</v>
      </c>
      <c r="C186" s="70">
        <f t="shared" si="5"/>
        <v>9.4038461538461539E-4</v>
      </c>
      <c r="F186" s="71">
        <v>38905</v>
      </c>
      <c r="G186" s="69">
        <v>4.3592044018905948E-4</v>
      </c>
      <c r="H186" s="70">
        <f>0.0185775172394263-(+G186/52)</f>
        <v>1.8569134154038047E-2</v>
      </c>
      <c r="I186" s="70">
        <f>0.00503263274852719-(+H186/52)</f>
        <v>4.6755340147956893E-3</v>
      </c>
      <c r="J186" s="70">
        <f>0.0205232715914715-(+I186/52)</f>
        <v>2.0433357475802352E-2</v>
      </c>
      <c r="K186" s="70">
        <f>-0.00204909284951982-(+J186/52)</f>
        <v>-2.4420420317467885E-3</v>
      </c>
      <c r="L186" s="70">
        <f>0.00428417885029425-(+K186/52)</f>
        <v>4.3311411970586118E-3</v>
      </c>
      <c r="M186" s="70">
        <f>0.00993613107015173-(+L186/52)</f>
        <v>9.8528398932852188E-3</v>
      </c>
      <c r="N186" s="70">
        <f>0.0074841195773249-(+M186/52)</f>
        <v>7.2946418870694146E-3</v>
      </c>
    </row>
    <row r="187" spans="1:14">
      <c r="A187" s="68">
        <v>4.9000000000000004</v>
      </c>
      <c r="B187" s="69">
        <f t="shared" si="4"/>
        <v>4.9000000000000002E-2</v>
      </c>
      <c r="C187" s="70">
        <f t="shared" si="5"/>
        <v>9.4230769230769238E-4</v>
      </c>
      <c r="F187" s="71">
        <v>38912</v>
      </c>
      <c r="G187" s="69">
        <v>-4.3781753967551034E-3</v>
      </c>
      <c r="H187" s="70">
        <f>-0.0142420240494891-(+G187/52)</f>
        <v>-1.4157828368782271E-2</v>
      </c>
      <c r="I187" s="70">
        <f>-0.0244100706057229-(+H187/52)</f>
        <v>-2.4137804675554011E-2</v>
      </c>
      <c r="J187" s="70">
        <f>-0.0334480421294124-(+I187/52)</f>
        <v>-3.2983853577959438E-2</v>
      </c>
      <c r="K187" s="70">
        <f>-0.013891859520041-(+J187/52)</f>
        <v>-1.325755464354178E-2</v>
      </c>
      <c r="L187" s="70">
        <f>-0.0383412860608769-(+K187/52)</f>
        <v>-3.8086333086962638E-2</v>
      </c>
      <c r="M187" s="70">
        <f>-0.0365781356063274-(+L187/52)</f>
        <v>-3.5845706123885816E-2</v>
      </c>
      <c r="N187" s="70">
        <f>-0.00558185121438129-(+M187/52)</f>
        <v>-4.8925107119988705E-3</v>
      </c>
    </row>
    <row r="188" spans="1:14">
      <c r="A188" s="68">
        <v>4.93</v>
      </c>
      <c r="B188" s="69">
        <f t="shared" si="4"/>
        <v>4.9299999999999997E-2</v>
      </c>
      <c r="C188" s="70">
        <f t="shared" si="5"/>
        <v>9.4807692307692301E-4</v>
      </c>
      <c r="F188" s="71">
        <v>38919</v>
      </c>
      <c r="G188" s="69">
        <v>2.4034451246948787E-3</v>
      </c>
      <c r="H188" s="70">
        <f>0.0263571685434455-(+G188/52)</f>
        <v>2.6310948444893675E-2</v>
      </c>
      <c r="I188" s="70">
        <f>0.0111843828115699-(+H188/52)</f>
        <v>1.0678403033783482E-2</v>
      </c>
      <c r="J188" s="70">
        <f>0.0432744436952124-(+I188/52)</f>
        <v>4.306908979071656E-2</v>
      </c>
      <c r="K188" s="70">
        <f>0.0126162666695587-(+J188/52)</f>
        <v>1.1788014942814151E-2</v>
      </c>
      <c r="L188" s="70">
        <f>0.0177379474917461-(+K188/52)</f>
        <v>1.7511254896691981E-2</v>
      </c>
      <c r="M188" s="70">
        <f>-0.00351396667974747-(+L188/52)</f>
        <v>-3.8507215816069311E-3</v>
      </c>
      <c r="N188" s="70">
        <f>0.0126326670432828-(+M188/52)</f>
        <v>1.2706719381390626E-2</v>
      </c>
    </row>
    <row r="189" spans="1:14">
      <c r="A189" s="68">
        <v>4.97</v>
      </c>
      <c r="B189" s="69">
        <f t="shared" si="4"/>
        <v>4.9699999999999994E-2</v>
      </c>
      <c r="C189" s="70">
        <f t="shared" si="5"/>
        <v>9.5576923076923063E-4</v>
      </c>
      <c r="F189" s="71">
        <v>38926</v>
      </c>
      <c r="G189" s="69">
        <v>8.2071661082217529E-3</v>
      </c>
      <c r="H189" s="70">
        <f>0.0300015801152798-(+G189/52)</f>
        <v>2.9843749997813997E-2</v>
      </c>
      <c r="I189" s="70">
        <f>0.0102696186915538-(+H189/52)</f>
        <v>9.6957004223650698E-3</v>
      </c>
      <c r="J189" s="70">
        <f>0.0339560592977141-(+I189/52)</f>
        <v>3.3769603520360923E-2</v>
      </c>
      <c r="K189" s="70">
        <f>0.00483012455509653-(+J189/52)</f>
        <v>4.180709102781897E-3</v>
      </c>
      <c r="L189" s="70">
        <f>0.0460032180947798-(+K189/52)</f>
        <v>4.5922819842803227E-2</v>
      </c>
      <c r="M189" s="70">
        <f>0.0219457621050747-(+L189/52)</f>
        <v>2.1062630954251562E-2</v>
      </c>
      <c r="N189" s="70">
        <f>0.0325467666888234-(+M189/52)</f>
        <v>3.2141716093549329E-2</v>
      </c>
    </row>
    <row r="190" spans="1:14">
      <c r="A190" s="68">
        <v>4.97</v>
      </c>
      <c r="B190" s="69">
        <f t="shared" si="4"/>
        <v>4.9699999999999994E-2</v>
      </c>
      <c r="C190" s="70">
        <f t="shared" si="5"/>
        <v>9.5576923076923063E-4</v>
      </c>
      <c r="F190" s="71">
        <v>38933</v>
      </c>
      <c r="G190" s="69">
        <v>5.6296407924566064E-3</v>
      </c>
      <c r="H190" s="70">
        <f>0.0098581967103771-(+G190/52)</f>
        <v>9.7499343874452426E-3</v>
      </c>
      <c r="I190" s="70">
        <f>0.0185919694250891-(+H190/52)</f>
        <v>1.8404470686868998E-2</v>
      </c>
      <c r="J190" s="70">
        <f>0.0138324898481726-(+I190/52)</f>
        <v>1.3478557719578965E-2</v>
      </c>
      <c r="K190" s="70">
        <f>0.026379365474118-(+J190/52)</f>
        <v>2.6120162441049175E-2</v>
      </c>
      <c r="L190" s="70">
        <f>-0.00311482309200209-(+K190/52)</f>
        <v>-3.6171339081761127E-3</v>
      </c>
      <c r="M190" s="70">
        <f>0.0172794310837085-(+L190/52)</f>
        <v>1.7348991351173425E-2</v>
      </c>
      <c r="N190" s="70">
        <f>-0.00562133578572248-(+M190/52)</f>
        <v>-5.9549702347835073E-3</v>
      </c>
    </row>
    <row r="191" spans="1:14">
      <c r="A191" s="68">
        <v>4.97</v>
      </c>
      <c r="B191" s="69">
        <f t="shared" si="4"/>
        <v>4.9699999999999994E-2</v>
      </c>
      <c r="C191" s="70">
        <f t="shared" si="5"/>
        <v>9.5576923076923063E-4</v>
      </c>
      <c r="F191" s="71">
        <v>38940</v>
      </c>
      <c r="G191" s="69">
        <v>-6.8890783089243573E-3</v>
      </c>
      <c r="H191" s="70">
        <f>0.00688224881773274-(+G191/52)</f>
        <v>7.0147310929043619E-3</v>
      </c>
      <c r="I191" s="70">
        <f>-0.0112929204187714-(+H191/52)</f>
        <v>-1.1427819093634944E-2</v>
      </c>
      <c r="J191" s="70">
        <f>-0.00538647462141757-(+I191/52)</f>
        <v>-5.1667088696168975E-3</v>
      </c>
      <c r="K191" s="70">
        <f>0.000820367261461896-(+J191/52)</f>
        <v>9.1972704741606712E-4</v>
      </c>
      <c r="L191" s="70">
        <f>0.00482680615790296-(+K191/52)</f>
        <v>4.809119099298805E-3</v>
      </c>
      <c r="M191" s="70">
        <f>-0.00389565666566214-(+L191/52)</f>
        <v>-3.9881397252640397E-3</v>
      </c>
      <c r="N191" s="70">
        <f>-0.00949121975468496-(+M191/52)</f>
        <v>-9.414524759968344E-3</v>
      </c>
    </row>
    <row r="192" spans="1:14">
      <c r="A192" s="68">
        <v>4.95</v>
      </c>
      <c r="B192" s="69">
        <f t="shared" si="4"/>
        <v>4.9500000000000002E-2</v>
      </c>
      <c r="C192" s="70">
        <f t="shared" si="5"/>
        <v>9.5192307692307698E-4</v>
      </c>
      <c r="F192" s="71">
        <v>38947</v>
      </c>
      <c r="G192" s="69">
        <v>8.3664198199533951E-3</v>
      </c>
      <c r="H192" s="70">
        <f>0.00262387993125435-(+G192/52)</f>
        <v>2.4629872424090926E-3</v>
      </c>
      <c r="I192" s="70">
        <f>0.0127825394768507-(+H192/52)</f>
        <v>1.2735174337573603E-2</v>
      </c>
      <c r="J192" s="70">
        <f>-0.00220196589928488-(+I192/52)</f>
        <v>-2.4468730980843722E-3</v>
      </c>
      <c r="K192" s="70">
        <f>-0.00118630936734789-(+J192/52)</f>
        <v>-1.1392541154616521E-3</v>
      </c>
      <c r="L192" s="70">
        <f>0.0358440373774661-(+K192/52)</f>
        <v>3.5865946110455751E-2</v>
      </c>
      <c r="M192" s="70">
        <f>0.00856506989909453-(+L192/52)</f>
        <v>7.8753401662011498E-3</v>
      </c>
      <c r="N192" s="70">
        <f>0.00568977591036415-(+M192/52)</f>
        <v>5.5383270610141278E-3</v>
      </c>
    </row>
    <row r="193" spans="1:14">
      <c r="A193" s="68">
        <v>4.97</v>
      </c>
      <c r="B193" s="69">
        <f t="shared" si="4"/>
        <v>4.9699999999999994E-2</v>
      </c>
      <c r="C193" s="70">
        <f t="shared" si="5"/>
        <v>9.5576923076923063E-4</v>
      </c>
      <c r="F193" s="71">
        <v>38954</v>
      </c>
      <c r="G193" s="69">
        <v>-8.4595314484682679E-5</v>
      </c>
      <c r="H193" s="70">
        <f>0.00708556324666653-(+G193/52)</f>
        <v>7.0871900796373889E-3</v>
      </c>
      <c r="I193" s="70">
        <f>-0.0049945621875544-(+H193/52)</f>
        <v>-5.1308543044705033E-3</v>
      </c>
      <c r="J193" s="70">
        <f>-0.00314621708400855-(+I193/52)</f>
        <v>-3.0475468089225786E-3</v>
      </c>
      <c r="K193" s="70">
        <f>0.0376918788458009-(+J193/52)</f>
        <v>3.7750485515203255E-2</v>
      </c>
      <c r="L193" s="70">
        <f>-0.00815882542412785-(+K193/52)</f>
        <v>-8.8847962994202216E-3</v>
      </c>
      <c r="M193" s="70">
        <f>0.00101119599634947-(+L193/52)</f>
        <v>1.1820574636460129E-3</v>
      </c>
      <c r="N193" s="70">
        <f>-0.000887805727217323-(+M193/52)</f>
        <v>-9.1053760151820786E-4</v>
      </c>
    </row>
    <row r="194" spans="1:14">
      <c r="A194" s="68">
        <v>4.97</v>
      </c>
      <c r="B194" s="69">
        <f t="shared" si="4"/>
        <v>4.9699999999999994E-2</v>
      </c>
      <c r="C194" s="70">
        <f t="shared" si="5"/>
        <v>9.5576923076923063E-4</v>
      </c>
      <c r="F194" s="71">
        <v>38961</v>
      </c>
      <c r="G194" s="69">
        <v>4.7745884137467059E-3</v>
      </c>
      <c r="H194" s="70">
        <f>0.0172677013428268-(+G194/52)</f>
        <v>1.7175882334870135E-2</v>
      </c>
      <c r="I194" s="70">
        <f>0.0395141105421479-(+H194/52)</f>
        <v>3.918380511263117E-2</v>
      </c>
      <c r="J194" s="70">
        <f>0.0385867641266249-(+I194/52)</f>
        <v>3.7833229412920458E-2</v>
      </c>
      <c r="K194" s="70">
        <f>0.0101877373412442-(+J194/52)</f>
        <v>9.4601752371495755E-3</v>
      </c>
      <c r="L194" s="70">
        <f>0.019986966210557-(+K194/52)</f>
        <v>1.9805039763688741E-2</v>
      </c>
      <c r="M194" s="70">
        <f>0.0265770065447324-(+L194/52)</f>
        <v>2.6196140395430691E-2</v>
      </c>
      <c r="N194" s="70">
        <f>0.0145137122347284-(+M194/52)</f>
        <v>1.400994030404704E-2</v>
      </c>
    </row>
    <row r="195" spans="1:14">
      <c r="A195" s="68">
        <v>4.93</v>
      </c>
      <c r="B195" s="69">
        <f t="shared" si="4"/>
        <v>4.9299999999999997E-2</v>
      </c>
      <c r="C195" s="70">
        <f t="shared" si="5"/>
        <v>9.4807692307692301E-4</v>
      </c>
      <c r="F195" s="71">
        <v>38968</v>
      </c>
      <c r="G195" s="69">
        <v>-4.4859920526055174E-3</v>
      </c>
      <c r="H195" s="70">
        <f>-0.0220452527987636-(+G195/52)</f>
        <v>-2.1958983720828881E-2</v>
      </c>
      <c r="I195" s="70">
        <f>-0.0184626395521959-(+H195/52)</f>
        <v>-1.8040351403718419E-2</v>
      </c>
      <c r="J195" s="70">
        <f>-0.0350456072971675-(+I195/52)</f>
        <v>-3.4698677462480607E-2</v>
      </c>
      <c r="K195" s="70">
        <f>-0.018908125142455-(+J195/52)</f>
        <v>-1.8240842883561141E-2</v>
      </c>
      <c r="L195" s="70">
        <f>-0.0137260472221479-(+K195/52)</f>
        <v>-1.3375261782079418E-2</v>
      </c>
      <c r="M195" s="70">
        <f>-0.00640865272357331-(+L195/52)</f>
        <v>-6.151436150841013E-3</v>
      </c>
      <c r="N195" s="70">
        <f>-0.0194468774508962-(+M195/52)</f>
        <v>-1.9328580601841564E-2</v>
      </c>
    </row>
    <row r="196" spans="1:14">
      <c r="A196" s="68">
        <v>4.84</v>
      </c>
      <c r="B196" s="69">
        <f t="shared" si="4"/>
        <v>4.8399999999999999E-2</v>
      </c>
      <c r="C196" s="70">
        <f t="shared" si="5"/>
        <v>9.3076923076923078E-4</v>
      </c>
      <c r="F196" s="71">
        <v>38975</v>
      </c>
      <c r="G196" s="69">
        <v>-7.078048463375528E-4</v>
      </c>
      <c r="H196" s="70">
        <f>0.0152153328762204-(+G196/52)</f>
        <v>1.5228944507880737E-2</v>
      </c>
      <c r="I196" s="70">
        <f>0.0151910699014268-(+H196/52)</f>
        <v>1.4898205583967554E-2</v>
      </c>
      <c r="J196" s="70">
        <f>0.0528009950248757-(+I196/52)</f>
        <v>5.2514491071337863E-2</v>
      </c>
      <c r="K196" s="70">
        <f>-0.0535381797490262-(+J196/52)</f>
        <v>-5.4548073808090389E-2</v>
      </c>
      <c r="L196" s="70">
        <f>0.0340274841552531-(+K196/52)</f>
        <v>3.5076485574639452E-2</v>
      </c>
      <c r="M196" s="70">
        <f>0.00554774544157463-(+L196/52)</f>
        <v>4.8731976420623331E-3</v>
      </c>
      <c r="N196" s="70">
        <f>0.009037621727657-(+M196/52)</f>
        <v>8.9439063883865709E-3</v>
      </c>
    </row>
    <row r="197" spans="1:14">
      <c r="A197" s="68">
        <v>4.8099999999999996</v>
      </c>
      <c r="B197" s="69">
        <f t="shared" ref="B197:B260" si="6">+A197/100</f>
        <v>4.8099999999999997E-2</v>
      </c>
      <c r="C197" s="70">
        <f t="shared" ref="C197:C260" si="7">+B197/52</f>
        <v>9.2499999999999993E-4</v>
      </c>
      <c r="F197" s="71">
        <v>38982</v>
      </c>
      <c r="G197" s="69">
        <v>9.2252882643016048E-3</v>
      </c>
      <c r="H197" s="70">
        <f>0.00683755186054731-(+G197/52)</f>
        <v>6.6601424708492025E-3</v>
      </c>
      <c r="I197" s="70">
        <f>-0.00339178434458739-(+H197/52)</f>
        <v>-3.5198640074883361E-3</v>
      </c>
      <c r="J197" s="70">
        <f>0.00103018245570917-(+I197/52)</f>
        <v>1.0978721481608687E-3</v>
      </c>
      <c r="K197" s="70">
        <f>0.0139700180005834-(+J197/52)</f>
        <v>1.3948905074657229E-2</v>
      </c>
      <c r="L197" s="70">
        <f>-0.00987567892007698-(+K197/52)</f>
        <v>-1.014392709458962E-2</v>
      </c>
      <c r="M197" s="70">
        <f>0.0225025770291758-(+L197/52)</f>
        <v>2.26976525502256E-2</v>
      </c>
      <c r="N197" s="70">
        <f>-0.00295662840214769-(+M197/52)</f>
        <v>-3.3931217204212589E-3</v>
      </c>
    </row>
    <row r="198" spans="1:14">
      <c r="A198" s="68">
        <v>4.8099999999999996</v>
      </c>
      <c r="B198" s="69">
        <f t="shared" si="6"/>
        <v>4.8099999999999997E-2</v>
      </c>
      <c r="C198" s="70">
        <f t="shared" si="7"/>
        <v>9.2499999999999993E-4</v>
      </c>
      <c r="F198" s="71">
        <v>38989</v>
      </c>
      <c r="G198" s="69">
        <v>-2.8372204228107583E-3</v>
      </c>
      <c r="H198" s="70">
        <f>0.00920602064806302-(+G198/52)</f>
        <v>9.2605825792709193E-3</v>
      </c>
      <c r="I198" s="70">
        <f>-0.00055165050271387-(+H198/52)</f>
        <v>-7.2973862923831072E-4</v>
      </c>
      <c r="J198" s="70">
        <f>0.00602839055662296-(+I198/52)</f>
        <v>6.0424239918006198E-3</v>
      </c>
      <c r="K198" s="70">
        <f>0.0623761090976708-(+J198/52)</f>
        <v>6.2259908636290016E-2</v>
      </c>
      <c r="L198" s="70">
        <f>0.00547597915773112-(+K198/52)</f>
        <v>4.27867322241785E-3</v>
      </c>
      <c r="M198" s="70">
        <f>0.00691811321216764-(+L198/52)</f>
        <v>6.8358310348134513E-3</v>
      </c>
      <c r="N198" s="70">
        <f>0.0213729028963388-(+M198/52)</f>
        <v>2.1241444607207772E-2</v>
      </c>
    </row>
    <row r="199" spans="1:14">
      <c r="A199" s="68">
        <v>4.76</v>
      </c>
      <c r="B199" s="69">
        <f t="shared" si="6"/>
        <v>4.7599999999999996E-2</v>
      </c>
      <c r="C199" s="70">
        <f t="shared" si="7"/>
        <v>9.1538461538461533E-4</v>
      </c>
      <c r="F199" s="71">
        <v>38996</v>
      </c>
      <c r="G199" s="69">
        <v>-3.1009538778393481E-3</v>
      </c>
      <c r="H199" s="70">
        <f>0.0132114528799954-(+G199/52)</f>
        <v>1.3271086608415387E-2</v>
      </c>
      <c r="I199" s="70">
        <f>0.0134739334805213-(+H199/52)</f>
        <v>1.3218720276513312E-2</v>
      </c>
      <c r="J199" s="70">
        <f>0.0364603862830116-(+I199/52)</f>
        <v>3.6206180123847881E-2</v>
      </c>
      <c r="K199" s="70">
        <f>-0.00798195556260075-(+J199/52)</f>
        <v>-8.6782282572901315E-3</v>
      </c>
      <c r="L199" s="70">
        <f>-0.00215713395770204-(+K199/52)</f>
        <v>-1.9902449527541529E-3</v>
      </c>
      <c r="M199" s="70">
        <f>-0.0106281211492314-(+L199/52)</f>
        <v>-1.0589847207832282E-2</v>
      </c>
      <c r="N199" s="70">
        <f>-0.00271016567805276-(+M199/52)</f>
        <v>-2.5065147702098313E-3</v>
      </c>
    </row>
    <row r="200" spans="1:14">
      <c r="A200" s="68">
        <v>4.79</v>
      </c>
      <c r="B200" s="69">
        <f t="shared" si="6"/>
        <v>4.7899999999999998E-2</v>
      </c>
      <c r="C200" s="70">
        <f t="shared" si="7"/>
        <v>9.2115384615384607E-4</v>
      </c>
      <c r="F200" s="71">
        <v>39003</v>
      </c>
      <c r="G200" s="69">
        <v>-4.9233897053111205E-3</v>
      </c>
      <c r="H200" s="70">
        <f>0.0016806617683811-(+G200/52)</f>
        <v>1.7753423396370831E-3</v>
      </c>
      <c r="I200" s="70">
        <f>0.00939024872300528-(+H200/52)</f>
        <v>9.3561075241661053E-3</v>
      </c>
      <c r="J200" s="70">
        <f>0.00600784143282716-(+I200/52)</f>
        <v>5.8279162881316581E-3</v>
      </c>
      <c r="K200" s="70">
        <f>-0.0169578982060049-(+J200/52)</f>
        <v>-1.70699735192382E-2</v>
      </c>
      <c r="L200" s="70">
        <f>0.0300958576663383-(+K200/52)</f>
        <v>3.0424126387862113E-2</v>
      </c>
      <c r="M200" s="70">
        <f>-0.00236805663670414-(+L200/52)</f>
        <v>-2.9531359903168727E-3</v>
      </c>
      <c r="N200" s="70">
        <f>0.00940596033658639-(+M200/52)</f>
        <v>9.4627514133232525E-3</v>
      </c>
    </row>
    <row r="201" spans="1:14">
      <c r="A201" s="68">
        <v>4.9000000000000004</v>
      </c>
      <c r="B201" s="69">
        <f t="shared" si="6"/>
        <v>4.9000000000000002E-2</v>
      </c>
      <c r="C201" s="70">
        <f t="shared" si="7"/>
        <v>9.4230769230769238E-4</v>
      </c>
      <c r="F201" s="71">
        <v>39010</v>
      </c>
      <c r="G201" s="69">
        <v>3.6633570743522179E-3</v>
      </c>
      <c r="H201" s="70">
        <f>0.0122064556369873-(+G201/52)</f>
        <v>1.2136006462480526E-2</v>
      </c>
      <c r="I201" s="70">
        <f>0.00887212221685567-(+H201/52)</f>
        <v>8.6387374771925828E-3</v>
      </c>
      <c r="J201" s="70">
        <f>0.00244818973470426-(+I201/52)</f>
        <v>2.2820601678351718E-3</v>
      </c>
      <c r="K201" s="70">
        <f>-0.00149002529656571-(+J201/52)</f>
        <v>-1.5339110690240788E-3</v>
      </c>
      <c r="L201" s="70">
        <f>-0.0185549091977412-(+K201/52)</f>
        <v>-1.8525410907952275E-2</v>
      </c>
      <c r="M201" s="70">
        <f>0.0180407714041658-(+L201/52)</f>
        <v>1.8397029306241805E-2</v>
      </c>
      <c r="N201" s="70">
        <f>0.0251159850545779-(+M201/52)</f>
        <v>2.4762196029457867E-2</v>
      </c>
    </row>
    <row r="202" spans="1:14">
      <c r="A202" s="68">
        <v>4.96</v>
      </c>
      <c r="B202" s="69">
        <f t="shared" si="6"/>
        <v>4.9599999999999998E-2</v>
      </c>
      <c r="C202" s="70">
        <f t="shared" si="7"/>
        <v>9.5384615384615386E-4</v>
      </c>
      <c r="F202" s="71">
        <v>39017</v>
      </c>
      <c r="G202" s="69">
        <v>7.3090611707305317E-3</v>
      </c>
      <c r="H202" s="70">
        <f>0.00742534600263736-(+G202/52)</f>
        <v>7.2847871339694649E-3</v>
      </c>
      <c r="I202" s="70">
        <f>0.0155999309928405-(+H202/52)</f>
        <v>1.5459838932571857E-2</v>
      </c>
      <c r="J202" s="70">
        <f>0.00260831698458821-(+I202/52)</f>
        <v>2.3110123897310589E-3</v>
      </c>
      <c r="K202" s="70">
        <f>0.0141933208300973-(+J202/52)</f>
        <v>1.4148878284140933E-2</v>
      </c>
      <c r="L202" s="70">
        <f>0.00417824091033739-(+K202/52)</f>
        <v>3.9061470971808337E-3</v>
      </c>
      <c r="M202" s="70">
        <f>0.020778791191503-(+L202/52)</f>
        <v>2.0703672978095677E-2</v>
      </c>
      <c r="N202" s="70">
        <f>0.0104113903142688-(+M202/52)</f>
        <v>1.0013242756997729E-2</v>
      </c>
    </row>
    <row r="203" spans="1:14">
      <c r="A203" s="68">
        <v>4.99</v>
      </c>
      <c r="B203" s="69">
        <f t="shared" si="6"/>
        <v>4.99E-2</v>
      </c>
      <c r="C203" s="70">
        <f t="shared" si="7"/>
        <v>9.5961538461538461E-4</v>
      </c>
      <c r="F203" s="71">
        <v>39024</v>
      </c>
      <c r="G203" s="69">
        <v>-1.8195890155005929E-3</v>
      </c>
      <c r="H203" s="70">
        <f>-0.00185335837100196-(+G203/52)</f>
        <v>-1.8183662745500256E-3</v>
      </c>
      <c r="I203" s="70">
        <f>-0.0023866449801891-(+H203/52)</f>
        <v>-2.3516763979862148E-3</v>
      </c>
      <c r="J203" s="70">
        <f>-0.00195226794429773-(+I203/52)</f>
        <v>-1.9070433981826106E-3</v>
      </c>
      <c r="K203" s="70">
        <f>-0.00933648116318112-(+J203/52)</f>
        <v>-9.2998072516776078E-3</v>
      </c>
      <c r="L203" s="70">
        <f>-0.00110692107089932-(+K203/52)</f>
        <v>-9.2807862375167362E-4</v>
      </c>
      <c r="M203" s="70">
        <f>-0.00323258828364573-(+L203/52)</f>
        <v>-3.2147406178043517E-3</v>
      </c>
      <c r="N203" s="70">
        <f>0.0072254099030618-(+M203/52)</f>
        <v>7.2872318380195764E-3</v>
      </c>
    </row>
    <row r="204" spans="1:14">
      <c r="A204" s="68">
        <v>4.95</v>
      </c>
      <c r="B204" s="69">
        <f t="shared" si="6"/>
        <v>4.9500000000000002E-2</v>
      </c>
      <c r="C204" s="70">
        <f t="shared" si="7"/>
        <v>9.5192307692307698E-4</v>
      </c>
      <c r="F204" s="71">
        <v>39031</v>
      </c>
      <c r="G204" s="69">
        <v>7.6039554318407584E-3</v>
      </c>
      <c r="H204" s="70">
        <f>0.0326563878811649-(+G204/52)</f>
        <v>3.2510157969014117E-2</v>
      </c>
      <c r="I204" s="70">
        <f>0.0166272907221761-(+H204/52)</f>
        <v>1.6002095376618137E-2</v>
      </c>
      <c r="J204" s="70">
        <f>0.0285606611214298-(+I204/52)</f>
        <v>2.82529285180333E-2</v>
      </c>
      <c r="K204" s="70">
        <f>0.0434936708860759-(+J204/52)</f>
        <v>4.2950345337652178E-2</v>
      </c>
      <c r="L204" s="70">
        <f>-0.0165136963717032-(+K204/52)</f>
        <v>-1.7339664551273434E-2</v>
      </c>
      <c r="M204" s="70">
        <f>0.0320421837212067-(+L204/52)</f>
        <v>3.2375638808731191E-2</v>
      </c>
      <c r="N204" s="70">
        <f>0.0179339446563336-(+M204/52)</f>
        <v>1.7311336217704153E-2</v>
      </c>
    </row>
    <row r="205" spans="1:14">
      <c r="A205" s="68">
        <v>4.96</v>
      </c>
      <c r="B205" s="69">
        <f t="shared" si="6"/>
        <v>4.9599999999999998E-2</v>
      </c>
      <c r="C205" s="70">
        <f t="shared" si="7"/>
        <v>9.5384615384615386E-4</v>
      </c>
      <c r="F205" s="71">
        <v>39038</v>
      </c>
      <c r="G205" s="69">
        <v>-6.1145021247110639E-4</v>
      </c>
      <c r="H205" s="70">
        <f>0.0234581308267018-(+G205/52)</f>
        <v>2.3469889484633938E-2</v>
      </c>
      <c r="I205" s="70">
        <f>0.0157607580572897-(+H205/52)</f>
        <v>1.5309414028739048E-2</v>
      </c>
      <c r="J205" s="70">
        <f>0.00838349472214964-(+I205/52)</f>
        <v>8.0890829139046595E-3</v>
      </c>
      <c r="K205" s="70">
        <f>-0.00403383634981474-(+J205/52)</f>
        <v>-4.1893956366205994E-3</v>
      </c>
      <c r="L205" s="70">
        <f>0.0440792335522478-(+K205/52)</f>
        <v>4.4159798852952042E-2</v>
      </c>
      <c r="M205" s="70">
        <f>0.00665355419650272-(+L205/52)</f>
        <v>5.8043272954844119E-3</v>
      </c>
      <c r="N205" s="70">
        <f>0.00137648809523817-(+M205/52)</f>
        <v>1.2648664164788543E-3</v>
      </c>
    </row>
    <row r="206" spans="1:14">
      <c r="A206" s="68">
        <v>4.96</v>
      </c>
      <c r="B206" s="69">
        <f t="shared" si="6"/>
        <v>4.9599999999999998E-2</v>
      </c>
      <c r="C206" s="70">
        <f t="shared" si="7"/>
        <v>9.5384615384615386E-4</v>
      </c>
      <c r="F206" s="71">
        <v>39045</v>
      </c>
      <c r="G206" s="69">
        <v>6.4900161216772077E-3</v>
      </c>
      <c r="H206" s="70">
        <f>0.0124778217155845-(+G206/52)</f>
        <v>1.2353013713244553E-2</v>
      </c>
      <c r="I206" s="70">
        <f>0.0232908052847456-(+H206/52)</f>
        <v>2.3053247328721667E-2</v>
      </c>
      <c r="J206" s="70">
        <f>0.0171812684378541-(+I206/52)</f>
        <v>1.6737936758455606E-2</v>
      </c>
      <c r="K206" s="70">
        <f>0.0751247206776489-(+J206/52)</f>
        <v>7.4802837278447831E-2</v>
      </c>
      <c r="L206" s="70">
        <f>0.0183959368991827-(+K206/52)</f>
        <v>1.6957420797674087E-2</v>
      </c>
      <c r="M206" s="70">
        <f>0.019324998855154-(+L206/52)</f>
        <v>1.8998894609044883E-2</v>
      </c>
      <c r="N206" s="70">
        <f>0.0094258010073294-(+M206/52)</f>
        <v>9.0604376494631527E-3</v>
      </c>
    </row>
    <row r="207" spans="1:14">
      <c r="A207" s="68">
        <v>4.93</v>
      </c>
      <c r="B207" s="69">
        <f t="shared" si="6"/>
        <v>4.9299999999999997E-2</v>
      </c>
      <c r="C207" s="70">
        <f t="shared" si="7"/>
        <v>9.4807692307692301E-4</v>
      </c>
      <c r="F207" s="71">
        <v>39052</v>
      </c>
      <c r="G207" s="69">
        <v>7.807156856942307E-3</v>
      </c>
      <c r="H207" s="70">
        <f>0.00430081663975077-(+G207/52)</f>
        <v>4.1506790078864953E-3</v>
      </c>
      <c r="I207" s="70">
        <f>0.0157753741414387-(+H207/52)</f>
        <v>1.5695553391287035E-2</v>
      </c>
      <c r="J207" s="70">
        <f>0.0128001224729326-(+I207/52)</f>
        <v>1.2498284907715542E-2</v>
      </c>
      <c r="K207" s="70">
        <f>0.0675582596716795-(+J207/52)</f>
        <v>6.7317908038838817E-2</v>
      </c>
      <c r="L207" s="70">
        <f>-0.00995530738520767-(+K207/52)</f>
        <v>-1.1249882539800724E-2</v>
      </c>
      <c r="M207" s="70">
        <f>0.0141702981565509-(+L207/52)</f>
        <v>1.4386642051547069E-2</v>
      </c>
      <c r="N207" s="70">
        <f>0.00634611845737266-(+M207/52)</f>
        <v>6.0694522640736782E-3</v>
      </c>
    </row>
    <row r="208" spans="1:14">
      <c r="A208" s="68">
        <v>4.91</v>
      </c>
      <c r="B208" s="69">
        <f t="shared" si="6"/>
        <v>4.9100000000000005E-2</v>
      </c>
      <c r="C208" s="70">
        <f t="shared" si="7"/>
        <v>9.4423076923076936E-4</v>
      </c>
      <c r="F208" s="71">
        <v>39059</v>
      </c>
      <c r="G208" s="69">
        <v>-4.0063697933472647E-3</v>
      </c>
      <c r="H208" s="70">
        <f>0.00855339313105509-(+G208/52)</f>
        <v>8.6304387040040762E-3</v>
      </c>
      <c r="I208" s="70">
        <f>-0.00633747238757729-(+H208/52)</f>
        <v>-6.503442362654291E-3</v>
      </c>
      <c r="J208" s="70">
        <f>0.00558858601635845-(+I208/52)</f>
        <v>5.7136522156402631E-3</v>
      </c>
      <c r="K208" s="70">
        <f>0.0201227570242883-(+J208/52)</f>
        <v>2.0012879097064448E-2</v>
      </c>
      <c r="L208" s="70">
        <f>-0.0109634933209166-(+K208/52)</f>
        <v>-1.1348356380475532E-2</v>
      </c>
      <c r="M208" s="70">
        <f>0.00289413163130836-(+L208/52)</f>
        <v>3.1123692540098126E-3</v>
      </c>
      <c r="N208" s="70">
        <f>0.0201095077376412-(+M208/52)</f>
        <v>2.0049654482756397E-2</v>
      </c>
    </row>
    <row r="209" spans="1:14">
      <c r="A209" s="68">
        <v>4.8600000000000003</v>
      </c>
      <c r="B209" s="69">
        <f t="shared" si="6"/>
        <v>4.8600000000000004E-2</v>
      </c>
      <c r="C209" s="70">
        <f t="shared" si="7"/>
        <v>9.3461538461538465E-4</v>
      </c>
      <c r="F209" s="71">
        <v>39066</v>
      </c>
      <c r="G209" s="69">
        <v>-3.803542147030492E-3</v>
      </c>
      <c r="H209" s="70">
        <f>0.0196868869049974-(+G209/52)</f>
        <v>1.9760031946286449E-2</v>
      </c>
      <c r="I209" s="70">
        <f>0.0174653666090607-(+H209/52)</f>
        <v>1.7085365994709039E-2</v>
      </c>
      <c r="J209" s="70">
        <f>0.0109188083258524-(+I209/52)</f>
        <v>1.0590243595184918E-2</v>
      </c>
      <c r="K209" s="70">
        <f>-0.0253292722168592-(+J209/52)</f>
        <v>-2.5532930747535834E-2</v>
      </c>
      <c r="L209" s="70">
        <f>-0.0106814874597992-(+K209/52)</f>
        <v>-1.0190469560808126E-2</v>
      </c>
      <c r="M209" s="70">
        <f>-0.00856899921598082-(+L209/52)</f>
        <v>-8.373028647503741E-3</v>
      </c>
      <c r="N209" s="70">
        <f>-0.00543915268039595-(+M209/52)</f>
        <v>-5.2781328987131851E-3</v>
      </c>
    </row>
    <row r="210" spans="1:14">
      <c r="A210" s="68">
        <v>4.8099999999999996</v>
      </c>
      <c r="B210" s="69">
        <f t="shared" si="6"/>
        <v>4.8099999999999997E-2</v>
      </c>
      <c r="C210" s="70">
        <f t="shared" si="7"/>
        <v>9.2499999999999993E-4</v>
      </c>
      <c r="F210" s="71">
        <v>39073</v>
      </c>
      <c r="G210" s="69">
        <v>-3.3391373492545765E-3</v>
      </c>
      <c r="H210" s="70">
        <f>-0.0137398739125372-(+G210/52)</f>
        <v>-1.3675659732743843E-2</v>
      </c>
      <c r="I210" s="70">
        <f>0.00853570994276846-(+H210/52)</f>
        <v>8.7987033991673794E-3</v>
      </c>
      <c r="J210" s="70">
        <f>-0.0105778365205899-(+I210/52)</f>
        <v>-1.0747042355189272E-2</v>
      </c>
      <c r="K210" s="70">
        <f>0.00849838200597097-(+J210/52)</f>
        <v>8.7050558974169183E-3</v>
      </c>
      <c r="L210" s="70">
        <f>-0.0249474167784254-(+K210/52)</f>
        <v>-2.5114821699529572E-2</v>
      </c>
      <c r="M210" s="70">
        <f>-0.00705775777894099-(+L210/52)</f>
        <v>-6.5747804385654215E-3</v>
      </c>
      <c r="N210" s="70">
        <f>-0.0215408699771873-(+M210/52)</f>
        <v>-2.1414431891830274E-2</v>
      </c>
    </row>
    <row r="211" spans="1:14">
      <c r="A211" s="68">
        <v>4.84</v>
      </c>
      <c r="B211" s="69">
        <f t="shared" si="6"/>
        <v>4.8399999999999999E-2</v>
      </c>
      <c r="C211" s="70">
        <f t="shared" si="7"/>
        <v>9.3076923076923078E-4</v>
      </c>
      <c r="F211" s="71">
        <v>39080</v>
      </c>
      <c r="G211" s="69">
        <v>-2.5085541524496021E-3</v>
      </c>
      <c r="H211" s="70">
        <f>0.000905140184288734-(+G211/52)</f>
        <v>9.5338161029738023E-4</v>
      </c>
      <c r="I211" s="70">
        <f>0.0133564108049239-(+H211/52)</f>
        <v>1.3338076543187411E-2</v>
      </c>
      <c r="J211" s="70">
        <f>0.00173659668794289-(+I211/52)</f>
        <v>1.4800952159585165E-3</v>
      </c>
      <c r="K211" s="70">
        <f>-0.00545510474196196-(+J211/52)</f>
        <v>-5.4835681114996241E-3</v>
      </c>
      <c r="L211" s="70">
        <f>0.018808986057793-(+K211/52)</f>
        <v>1.8914439290706454E-2</v>
      </c>
      <c r="M211" s="70">
        <f>0.0115461697227125-(+L211/52)</f>
        <v>1.118243050558353E-2</v>
      </c>
      <c r="N211" s="70">
        <f>-0.00188941401850464-(+M211/52)</f>
        <v>-2.104460758996631E-3</v>
      </c>
    </row>
    <row r="212" spans="1:14">
      <c r="A212" s="68">
        <v>4.87</v>
      </c>
      <c r="B212" s="69">
        <f t="shared" si="6"/>
        <v>4.87E-2</v>
      </c>
      <c r="C212" s="70">
        <f t="shared" si="7"/>
        <v>9.3653846153846153E-4</v>
      </c>
      <c r="F212" s="71">
        <v>39087</v>
      </c>
      <c r="G212" s="69">
        <v>-5.805470895265196E-4</v>
      </c>
      <c r="H212" s="70">
        <f>-0.0307132345507037-(+G212/52)</f>
        <v>-3.070207018359742E-2</v>
      </c>
      <c r="I212" s="70">
        <f>-0.0116220604208966-(+H212/52)</f>
        <v>-1.1031635994288958E-2</v>
      </c>
      <c r="J212" s="70">
        <f>-0.0284041422707479-(+I212/52)</f>
        <v>-2.8191995424703881E-2</v>
      </c>
      <c r="K212" s="70">
        <f>-0.0107714222476973-(+J212/52)</f>
        <v>-1.0229268489529916E-2</v>
      </c>
      <c r="L212" s="70">
        <f>-0.00155221701590698-(+K212/52)</f>
        <v>-1.3555003141852509E-3</v>
      </c>
      <c r="M212" s="70">
        <f>-0.00901543602330201-(+L212/52)</f>
        <v>-8.9893687095676782E-3</v>
      </c>
      <c r="N212" s="70">
        <f>-0.00925403512842278-(+M212/52)</f>
        <v>-9.0811626532387862E-3</v>
      </c>
    </row>
    <row r="213" spans="1:14">
      <c r="A213" s="68">
        <v>4.92</v>
      </c>
      <c r="B213" s="69">
        <f t="shared" si="6"/>
        <v>4.9200000000000001E-2</v>
      </c>
      <c r="C213" s="70">
        <f t="shared" si="7"/>
        <v>9.4615384615384613E-4</v>
      </c>
      <c r="F213" s="71">
        <v>39094</v>
      </c>
      <c r="G213" s="69">
        <v>-4.8481615535685063E-3</v>
      </c>
      <c r="H213" s="70">
        <f>0.0136295678175307-(+G213/52)</f>
        <v>1.3722801693560863E-2</v>
      </c>
      <c r="I213" s="70">
        <f>0.0219990602343201-(+H213/52)</f>
        <v>2.1735160201751622E-2</v>
      </c>
      <c r="J213" s="70">
        <f>0.00733436557737771-(+I213/52)</f>
        <v>6.9163817273440245E-3</v>
      </c>
      <c r="K213" s="70">
        <f>-0.0151024904049704-(+J213/52)</f>
        <v>-1.5235497745880863E-2</v>
      </c>
      <c r="L213" s="70">
        <f>0.0564672406093903-(+K213/52)</f>
        <v>5.6760230950657235E-2</v>
      </c>
      <c r="M213" s="70">
        <f>0.0170199591938739-(+L213/52)</f>
        <v>1.5928416290976646E-2</v>
      </c>
      <c r="N213" s="70">
        <f>-0.0180209907819386-(+M213/52)</f>
        <v>-1.8327306479841998E-2</v>
      </c>
    </row>
    <row r="214" spans="1:14">
      <c r="A214" s="68">
        <v>4.96</v>
      </c>
      <c r="B214" s="69">
        <f t="shared" si="6"/>
        <v>4.9599999999999998E-2</v>
      </c>
      <c r="C214" s="70">
        <f t="shared" si="7"/>
        <v>9.5384615384615386E-4</v>
      </c>
      <c r="F214" s="71">
        <v>39101</v>
      </c>
      <c r="G214" s="69">
        <v>1.9816146986340055E-4</v>
      </c>
      <c r="H214" s="70">
        <f>0.00430487428395018-(+G214/52)</f>
        <v>4.3010634864528077E-3</v>
      </c>
      <c r="I214" s="70">
        <f>0.024671702586862-(+H214/52)</f>
        <v>2.4588989827507138E-2</v>
      </c>
      <c r="J214" s="70">
        <f>-0.000017031495493025-(+I214/52)</f>
        <v>-4.8989668448354686E-4</v>
      </c>
      <c r="K214" s="70">
        <f>0.0365629541608782-(+J214/52)</f>
        <v>3.657237525096442E-2</v>
      </c>
      <c r="L214" s="70">
        <f>0.0207597728899128-(+K214/52)</f>
        <v>2.0056457981240405E-2</v>
      </c>
      <c r="M214" s="70">
        <f>0.00576908970879484-(+L214/52)</f>
        <v>5.3833885937709866E-3</v>
      </c>
      <c r="N214" s="70">
        <f>0.000357711944327058-(+M214/52)</f>
        <v>2.5418524060069289E-4</v>
      </c>
    </row>
    <row r="215" spans="1:14">
      <c r="A215" s="68">
        <v>4.99</v>
      </c>
      <c r="B215" s="69">
        <f t="shared" si="6"/>
        <v>4.99E-2</v>
      </c>
      <c r="C215" s="70">
        <f t="shared" si="7"/>
        <v>9.5961538461538461E-4</v>
      </c>
      <c r="F215" s="71">
        <v>39108</v>
      </c>
      <c r="G215" s="69">
        <v>-4.9911622558109388E-3</v>
      </c>
      <c r="H215" s="70">
        <f>0.0118972397265342-(+G215/52)</f>
        <v>1.1993223616069025E-2</v>
      </c>
      <c r="I215" s="70">
        <f>-0.015563524172226-(+H215/52)</f>
        <v>-1.5794163087919633E-2</v>
      </c>
      <c r="J215" s="70">
        <f>-0.00646782057013904-(+I215/52)</f>
        <v>-6.1640866646021242E-3</v>
      </c>
      <c r="K215" s="70">
        <f>-0.0142284360802121-(+J215/52)</f>
        <v>-1.4109895952046675E-2</v>
      </c>
      <c r="L215" s="70">
        <f>-0.00516841402780948-(+K215/52)</f>
        <v>-4.8970698748855056E-3</v>
      </c>
      <c r="M215" s="70">
        <f>-0.0104801391517431-(+L215/52)</f>
        <v>-1.0385964731072225E-2</v>
      </c>
      <c r="N215" s="70">
        <f>0.00232429620960924-(+M215/52)</f>
        <v>2.5240263005913981E-3</v>
      </c>
    </row>
    <row r="216" spans="1:14">
      <c r="A216" s="68">
        <v>5</v>
      </c>
      <c r="B216" s="69">
        <f t="shared" si="6"/>
        <v>0.05</v>
      </c>
      <c r="C216" s="70">
        <f t="shared" si="7"/>
        <v>9.6153846153846159E-4</v>
      </c>
      <c r="F216" s="71">
        <v>39115</v>
      </c>
      <c r="G216" s="69">
        <v>4.9616186221479652E-3</v>
      </c>
      <c r="H216" s="70">
        <f>0.0281782843255833-(+G216/52)</f>
        <v>2.8082868582849686E-2</v>
      </c>
      <c r="I216" s="70">
        <f>0.0353408269045324-(+H216/52)</f>
        <v>3.4800771739477598E-2</v>
      </c>
      <c r="J216" s="70">
        <f>0.0262968423218019-(+I216/52)</f>
        <v>2.5627596711427329E-2</v>
      </c>
      <c r="K216" s="70">
        <f>0.00122561943661415-(+J216/52)</f>
        <v>7.3278103831747067E-4</v>
      </c>
      <c r="L216" s="70">
        <f>-0.00545468977480411-(+K216/52)</f>
        <v>-5.468781717848677E-3</v>
      </c>
      <c r="M216" s="70">
        <f>0.0144494931069174-(+L216/52)</f>
        <v>1.4554661986106797E-2</v>
      </c>
      <c r="N216" s="70">
        <f>0.0108215631266858-(+M216/52)</f>
        <v>1.0541665780799131E-2</v>
      </c>
    </row>
    <row r="217" spans="1:14">
      <c r="A217" s="68">
        <v>5</v>
      </c>
      <c r="B217" s="69">
        <f t="shared" si="6"/>
        <v>0.05</v>
      </c>
      <c r="C217" s="70">
        <f t="shared" si="7"/>
        <v>9.6153846153846159E-4</v>
      </c>
      <c r="F217" s="71">
        <v>39122</v>
      </c>
      <c r="G217" s="69">
        <v>6.6569425848144609E-4</v>
      </c>
      <c r="H217" s="70">
        <f>0.0179515237730481-(+G217/52)</f>
        <v>1.7938721960384998E-2</v>
      </c>
      <c r="I217" s="70">
        <f>0.0145204363043652-(+H217/52)</f>
        <v>1.4175460882050104E-2</v>
      </c>
      <c r="J217" s="70">
        <f>0.00202111311552087-(+I217/52)</f>
        <v>1.7485080985583678E-3</v>
      </c>
      <c r="K217" s="70">
        <f>0.00534626914109544-(+J217/52)</f>
        <v>5.3126439853539327E-3</v>
      </c>
      <c r="L217" s="70">
        <f>-0.000474975691561609-(+K217/52)</f>
        <v>-5.771419220491846E-4</v>
      </c>
      <c r="M217" s="70">
        <f>0.0111341179889566-(+L217/52)</f>
        <v>1.1145216872072931E-2</v>
      </c>
      <c r="N217" s="70">
        <f>0.0145933487698058-(+M217/52)</f>
        <v>1.4379017676112089E-2</v>
      </c>
    </row>
    <row r="218" spans="1:14">
      <c r="A218" s="68">
        <v>5.0199999999999996</v>
      </c>
      <c r="B218" s="69">
        <f t="shared" si="6"/>
        <v>5.0199999999999995E-2</v>
      </c>
      <c r="C218" s="70">
        <f t="shared" si="7"/>
        <v>9.6538461538461524E-4</v>
      </c>
      <c r="F218" s="71">
        <v>39129</v>
      </c>
      <c r="G218" s="69">
        <v>7.3647938447526356E-3</v>
      </c>
      <c r="H218" s="70">
        <f>0.000698733143062899-(+G218/52)</f>
        <v>5.5710249220227142E-4</v>
      </c>
      <c r="I218" s="70">
        <f>0.026315695099428-(+H218/52)</f>
        <v>2.6304981589962573E-2</v>
      </c>
      <c r="J218" s="70">
        <f>-0.00317974962076385-(+I218/52)</f>
        <v>-3.6856146513400533E-3</v>
      </c>
      <c r="K218" s="70">
        <f>0.020739003995458-(+J218/52)</f>
        <v>2.0809881200291463E-2</v>
      </c>
      <c r="L218" s="70">
        <f>0.00598675862982294-(+K218/52)</f>
        <v>5.5865686067404123E-3</v>
      </c>
      <c r="M218" s="70">
        <f>0.00203344769979713-(+L218/52)</f>
        <v>1.9260136881290449E-3</v>
      </c>
      <c r="N218" s="70">
        <f>0.00804292370290725-(+M218/52)</f>
        <v>8.0058849781355374E-3</v>
      </c>
    </row>
    <row r="219" spans="1:14">
      <c r="A219" s="68">
        <v>5.03</v>
      </c>
      <c r="B219" s="69">
        <f t="shared" si="6"/>
        <v>5.0300000000000004E-2</v>
      </c>
      <c r="C219" s="70">
        <f t="shared" si="7"/>
        <v>9.6730769230769244E-4</v>
      </c>
      <c r="F219" s="71">
        <v>39136</v>
      </c>
      <c r="G219" s="69">
        <v>-2.2450621588584183E-4</v>
      </c>
      <c r="H219" s="70">
        <f>0.0033408349939038-(+G219/52)</f>
        <v>3.3451524211323739E-3</v>
      </c>
      <c r="I219" s="70">
        <f>0.0173874758458749-(+H219/52)</f>
        <v>1.7323145991622355E-2</v>
      </c>
      <c r="J219" s="70">
        <f>-0.0078388581605649-(+I219/52)</f>
        <v>-8.1719955834807147E-3</v>
      </c>
      <c r="K219" s="70">
        <f>-0.00725154310285037-(+J219/52)</f>
        <v>-7.094389341629587E-3</v>
      </c>
      <c r="L219" s="70">
        <f>-0.00167169854057897-(+K219/52)</f>
        <v>-1.5352679763168625E-3</v>
      </c>
      <c r="M219" s="70">
        <f>0.0161054960184432-(+L219/52)</f>
        <v>1.6135020402603138E-2</v>
      </c>
      <c r="N219" s="70">
        <f>-0.00686507231070067-(+M219/52)</f>
        <v>-7.1753611645968838E-3</v>
      </c>
    </row>
    <row r="220" spans="1:14">
      <c r="A220" s="68">
        <v>5.05</v>
      </c>
      <c r="B220" s="69">
        <f t="shared" si="6"/>
        <v>5.0499999999999996E-2</v>
      </c>
      <c r="C220" s="70">
        <f t="shared" si="7"/>
        <v>9.7115384615384609E-4</v>
      </c>
      <c r="F220" s="71">
        <v>39143</v>
      </c>
      <c r="G220" s="69">
        <v>2.1706556859559783E-3</v>
      </c>
      <c r="H220" s="70">
        <f>-0.0318624433226447-(+G220/52)</f>
        <v>-3.1904186701220777E-2</v>
      </c>
      <c r="I220" s="70">
        <f>-0.0541388038837886-(+H220/52)</f>
        <v>-5.3525261831842044E-2</v>
      </c>
      <c r="J220" s="70">
        <f>-0.0555920747688755-(+I220/52)</f>
        <v>-5.4562742810570851E-2</v>
      </c>
      <c r="K220" s="70">
        <f>-0.0602161174310697-(+J220/52)</f>
        <v>-5.9166833915481797E-2</v>
      </c>
      <c r="L220" s="70">
        <f>-0.0652200893194772-(+K220/52)</f>
        <v>-6.4082265590333323E-2</v>
      </c>
      <c r="M220" s="70">
        <f>-0.0180873173537331-(+L220/52)</f>
        <v>-1.6854966092380536E-2</v>
      </c>
      <c r="N220" s="70">
        <f>-0.0249651214825345-(+M220/52)</f>
        <v>-2.4640987519219486E-2</v>
      </c>
    </row>
    <row r="221" spans="1:14">
      <c r="A221" s="68">
        <v>5.01</v>
      </c>
      <c r="B221" s="69">
        <f t="shared" si="6"/>
        <v>5.0099999999999999E-2</v>
      </c>
      <c r="C221" s="70">
        <f t="shared" si="7"/>
        <v>9.6346153846153847E-4</v>
      </c>
      <c r="F221" s="71">
        <v>39150</v>
      </c>
      <c r="G221" s="69">
        <v>-2.5277056623105748E-3</v>
      </c>
      <c r="H221" s="70">
        <f>0.0121038866249012-(+G221/52)</f>
        <v>1.2152496349176404E-2</v>
      </c>
      <c r="I221" s="70">
        <f>0.0171462185362169-(+H221/52)</f>
        <v>1.691251668334812E-2</v>
      </c>
      <c r="J221" s="70">
        <f>0.0136129392080313-(+I221/52)</f>
        <v>1.3287698502582298E-2</v>
      </c>
      <c r="K221" s="70">
        <f>0.0182984847403601-(+J221/52)</f>
        <v>1.8042952076848903E-2</v>
      </c>
      <c r="L221" s="70">
        <f>0.0118215227017424-(+K221/52)</f>
        <v>1.1474542854110689E-2</v>
      </c>
      <c r="M221" s="70">
        <f>0.00316591022614156-(+L221/52)</f>
        <v>2.9452459404855852E-3</v>
      </c>
      <c r="N221" s="70">
        <f>0.00562085927333795-(+M221/52)</f>
        <v>5.5642199283286124E-3</v>
      </c>
    </row>
    <row r="222" spans="1:14">
      <c r="A222" s="68">
        <v>4.97</v>
      </c>
      <c r="B222" s="69">
        <f t="shared" si="6"/>
        <v>4.9699999999999994E-2</v>
      </c>
      <c r="C222" s="70">
        <f t="shared" si="7"/>
        <v>9.5576923076923063E-4</v>
      </c>
      <c r="F222" s="71">
        <v>39157</v>
      </c>
      <c r="G222" s="69">
        <v>1.8178817659839875E-3</v>
      </c>
      <c r="H222" s="70">
        <f>0.000185751748251704-(+G222/52)</f>
        <v>1.507924835212427E-4</v>
      </c>
      <c r="I222" s="70">
        <f>0.00763963758130505-(+H222/52)</f>
        <v>7.6367377258527176E-3</v>
      </c>
      <c r="J222" s="70">
        <f>-0.0022625629467903-(+I222/52)</f>
        <v>-2.4094232876720827E-3</v>
      </c>
      <c r="K222" s="70">
        <f>-0.010617112355679-(+J222/52)</f>
        <v>-1.0570777292454536E-2</v>
      </c>
      <c r="L222" s="70">
        <f>0.00257717691489159-(+K222/52)</f>
        <v>2.780461093592639E-3</v>
      </c>
      <c r="M222" s="70">
        <f>0.0247816648636257-(+L222/52)</f>
        <v>2.4728194457979687E-2</v>
      </c>
      <c r="N222" s="70">
        <f>0.00184167006722355-(+M222/52)</f>
        <v>1.3661278661085559E-3</v>
      </c>
    </row>
    <row r="223" spans="1:14">
      <c r="A223" s="68">
        <v>4.93</v>
      </c>
      <c r="B223" s="69">
        <f t="shared" si="6"/>
        <v>4.9299999999999997E-2</v>
      </c>
      <c r="C223" s="70">
        <f t="shared" si="7"/>
        <v>9.4807692307692301E-4</v>
      </c>
      <c r="F223" s="71">
        <v>39164</v>
      </c>
      <c r="G223" s="69">
        <v>1.7250464259253558E-3</v>
      </c>
      <c r="H223" s="70">
        <f>0.0355867026448322-(+G223/52)</f>
        <v>3.5553528675102863E-2</v>
      </c>
      <c r="I223" s="70">
        <f>0.0452812674928611-(+H223/52)</f>
        <v>4.4597545787570657E-2</v>
      </c>
      <c r="J223" s="70">
        <f>0.0477009820790428-(+I223/52)</f>
        <v>4.6843336967743364E-2</v>
      </c>
      <c r="K223" s="70">
        <f>0.0189800194787947-(+J223/52)</f>
        <v>1.8079186075568864E-2</v>
      </c>
      <c r="L223" s="70">
        <f>0.0480470347648261-(+K223/52)</f>
        <v>4.7699358109526697E-2</v>
      </c>
      <c r="M223" s="70">
        <f>0.022819111005467-(+L223/52)</f>
        <v>2.1901815657206874E-2</v>
      </c>
      <c r="N223" s="70">
        <f>0.0367120967698714-(+M223/52)</f>
        <v>3.6290908007232808E-2</v>
      </c>
    </row>
    <row r="224" spans="1:14">
      <c r="A224" s="68">
        <v>4.92</v>
      </c>
      <c r="B224" s="69">
        <f t="shared" si="6"/>
        <v>4.9200000000000001E-2</v>
      </c>
      <c r="C224" s="70">
        <f t="shared" si="7"/>
        <v>9.4615384615384613E-4</v>
      </c>
      <c r="F224" s="71">
        <v>39171</v>
      </c>
      <c r="G224" s="69">
        <v>-3.0634194425861426E-3</v>
      </c>
      <c r="H224" s="70">
        <f>0.0100322276081418-(+G224/52)</f>
        <v>1.0091139520499226E-2</v>
      </c>
      <c r="I224" s="70">
        <f>0.00207091265900445-(+H224/52)</f>
        <v>1.8768522836102339E-3</v>
      </c>
      <c r="J224" s="70">
        <f>-0.00527636709702946-(+I224/52)</f>
        <v>-5.3124604101758106E-3</v>
      </c>
      <c r="K224" s="70">
        <f>-0.00344956424270344-(+J224/52)</f>
        <v>-3.3474015425077512E-3</v>
      </c>
      <c r="L224" s="70">
        <f>-0.0175113903550278-(+K224/52)</f>
        <v>-1.7447017248441114E-2</v>
      </c>
      <c r="M224" s="70">
        <f>0.00928900493499741-(+L224/52)</f>
        <v>9.6245244974674307E-3</v>
      </c>
      <c r="N224" s="70">
        <f>0.00632764155771647-(+M224/52)</f>
        <v>6.1425545481497892E-3</v>
      </c>
    </row>
    <row r="225" spans="1:14">
      <c r="A225" s="68">
        <v>4.92</v>
      </c>
      <c r="B225" s="69">
        <f t="shared" si="6"/>
        <v>4.9200000000000001E-2</v>
      </c>
      <c r="C225" s="70">
        <f t="shared" si="7"/>
        <v>9.4615384615384613E-4</v>
      </c>
      <c r="F225" s="71">
        <v>39178</v>
      </c>
      <c r="G225" s="69">
        <v>1.4983882296956464E-3</v>
      </c>
      <c r="H225" s="70">
        <f>0.0205336021014042-(+G225/52)</f>
        <v>2.0504786943140823E-2</v>
      </c>
      <c r="I225" s="70">
        <f>0.022800608828006-(+H225/52)</f>
        <v>2.2406286002176368E-2</v>
      </c>
      <c r="J225" s="70">
        <f>0.0236939137502592-(+I225/52)</f>
        <v>2.3263023634832729E-2</v>
      </c>
      <c r="K225" s="70">
        <f>0.0194204667654838-(+J225/52)</f>
        <v>1.8973100926352401E-2</v>
      </c>
      <c r="L225" s="70">
        <f>0.00672663774364696-(+K225/52)</f>
        <v>6.3617704181401832E-3</v>
      </c>
      <c r="M225" s="70">
        <f>0.0190300756462439-(+L225/52)</f>
        <v>1.890773390743351E-2</v>
      </c>
      <c r="N225" s="70">
        <f>0.0102639974108835-(+M225/52)</f>
        <v>9.9003871434328559E-3</v>
      </c>
    </row>
    <row r="226" spans="1:14">
      <c r="A226" s="68">
        <v>4.91</v>
      </c>
      <c r="B226" s="69">
        <f t="shared" si="6"/>
        <v>4.9100000000000005E-2</v>
      </c>
      <c r="C226" s="70">
        <f t="shared" si="7"/>
        <v>9.4423076923076936E-4</v>
      </c>
      <c r="F226" s="71">
        <v>39185</v>
      </c>
      <c r="G226" s="69">
        <v>-2.3397555697144876E-3</v>
      </c>
      <c r="H226" s="70">
        <f>-0.00691320878299893-(+G226/52)</f>
        <v>-6.868213483581344E-3</v>
      </c>
      <c r="I226" s="70">
        <f>0.0119547208746292-(+H226/52)</f>
        <v>1.2086801903159609E-2</v>
      </c>
      <c r="J226" s="70">
        <f>0.00951955602974137-(+I226/52)</f>
        <v>9.2871175316036839E-3</v>
      </c>
      <c r="K226" s="70">
        <f>-0.0132315710245415-(+J226/52)</f>
        <v>-1.3410169438610802E-2</v>
      </c>
      <c r="L226" s="70">
        <f>0.0182291640979863-(+K226/52)</f>
        <v>1.8487051971805737E-2</v>
      </c>
      <c r="M226" s="70">
        <f>0.0161991347169887-(+L226/52)</f>
        <v>1.5843614486761668E-2</v>
      </c>
      <c r="N226" s="70">
        <f>0.00454593992647174-(+M226/52)</f>
        <v>4.2412550324955542E-3</v>
      </c>
    </row>
    <row r="227" spans="1:14">
      <c r="A227" s="68">
        <v>4.8899999999999997</v>
      </c>
      <c r="B227" s="69">
        <f t="shared" si="6"/>
        <v>4.8899999999999999E-2</v>
      </c>
      <c r="C227" s="70">
        <f t="shared" si="7"/>
        <v>9.4038461538461539E-4</v>
      </c>
      <c r="F227" s="71">
        <v>39192</v>
      </c>
      <c r="G227" s="69">
        <v>6.6253673694220408E-3</v>
      </c>
      <c r="H227" s="70">
        <f>0.00263304340657071-(+G227/52)</f>
        <v>2.5056324956202864E-3</v>
      </c>
      <c r="I227" s="70">
        <f>-0.00358162911838331-(+H227/52)</f>
        <v>-3.6298143586837002E-3</v>
      </c>
      <c r="J227" s="70">
        <f>-0.00371128952973945-(+I227/52)</f>
        <v>-3.6414854074570714E-3</v>
      </c>
      <c r="K227" s="70">
        <f>0.0192683849978764-(+J227/52)</f>
        <v>1.9338413563404419E-2</v>
      </c>
      <c r="L227" s="70">
        <f>0.00809167138107681-(+K227/52)</f>
        <v>7.7197788125498027E-3</v>
      </c>
      <c r="M227" s="70">
        <f>0.00176249194779881-(+L227/52)</f>
        <v>1.614034662942083E-3</v>
      </c>
      <c r="N227" s="70">
        <f>0.0142442787505126-(+M227/52)</f>
        <v>1.4213239622379099E-2</v>
      </c>
    </row>
    <row r="228" spans="1:14">
      <c r="A228" s="68">
        <v>4.8600000000000003</v>
      </c>
      <c r="B228" s="69">
        <f t="shared" si="6"/>
        <v>4.8600000000000004E-2</v>
      </c>
      <c r="C228" s="70">
        <f t="shared" si="7"/>
        <v>9.3461538461538465E-4</v>
      </c>
      <c r="F228" s="71">
        <v>39199</v>
      </c>
      <c r="G228" s="69">
        <v>-1.6267710743259123E-3</v>
      </c>
      <c r="H228" s="70">
        <f>-0.00724626508996156-(+G228/52)</f>
        <v>-7.2149810308399075E-3</v>
      </c>
      <c r="I228" s="70">
        <f>0.00971434193696497-(+H228/52)</f>
        <v>9.8530915721734297E-3</v>
      </c>
      <c r="J228" s="70">
        <f>-0.00433774371541101-(+I228/52)</f>
        <v>-4.5272262456451141E-3</v>
      </c>
      <c r="K228" s="70">
        <f>-0.0253642496740178-(+J228/52)</f>
        <v>-2.5277187630832317E-2</v>
      </c>
      <c r="L228" s="70">
        <f>-0.0070235016802015-(+K228/52)</f>
        <v>-6.5374019180701095E-3</v>
      </c>
      <c r="M228" s="70">
        <f>-0.0162131637702542-(+L228/52)</f>
        <v>-1.6087444502599007E-2</v>
      </c>
      <c r="N228" s="70">
        <f>-0.000548992598581671-(+M228/52)</f>
        <v>-2.3961866583938236E-4</v>
      </c>
    </row>
    <row r="229" spans="1:14">
      <c r="A229" s="68">
        <v>4.83</v>
      </c>
      <c r="B229" s="69">
        <f t="shared" si="6"/>
        <v>4.8300000000000003E-2</v>
      </c>
      <c r="C229" s="70">
        <f t="shared" si="7"/>
        <v>9.2884615384615391E-4</v>
      </c>
      <c r="F229" s="71">
        <v>39206</v>
      </c>
      <c r="G229" s="69">
        <v>1.7423452873173177E-3</v>
      </c>
      <c r="H229" s="70">
        <f>0.00167207632536639-(+G229/52)</f>
        <v>1.6385696852256725E-3</v>
      </c>
      <c r="I229" s="70">
        <f>0.0196737605238541-(+H229/52)</f>
        <v>1.9642249568368991E-2</v>
      </c>
      <c r="J229" s="70">
        <f>0.012590901019578-(+I229/52)</f>
        <v>1.2213165450955519E-2</v>
      </c>
      <c r="K229" s="70">
        <f>0.0102811838339654-(+J229/52)</f>
        <v>1.004631526760087E-2</v>
      </c>
      <c r="L229" s="70">
        <f>-0.00511448313236692-(+K229/52)</f>
        <v>-5.307681502897706E-3</v>
      </c>
      <c r="M229" s="70">
        <f>0.0135671839383655-(+L229/52)</f>
        <v>1.3669254736498148E-2</v>
      </c>
      <c r="N229" s="70">
        <f>0.00996719215807689-(+M229/52)</f>
        <v>9.7043218746826945E-3</v>
      </c>
    </row>
    <row r="230" spans="1:14">
      <c r="A230" s="68">
        <v>4.7699999999999996</v>
      </c>
      <c r="B230" s="69">
        <f t="shared" si="6"/>
        <v>4.7699999999999992E-2</v>
      </c>
      <c r="C230" s="70">
        <f t="shared" si="7"/>
        <v>9.173076923076922E-4</v>
      </c>
      <c r="F230" s="71">
        <v>39213</v>
      </c>
      <c r="G230" s="69">
        <v>-2.3569807713148343E-3</v>
      </c>
      <c r="H230" s="70">
        <f>-0.0107805846115683-(+G230/52)</f>
        <v>-1.0735258058273784E-2</v>
      </c>
      <c r="I230" s="70">
        <f>-0.0000350397701391484-(+H230/52)</f>
        <v>1.7140750021227055E-4</v>
      </c>
      <c r="J230" s="70">
        <f>-0.00712048546540082-(+I230/52)</f>
        <v>-7.1237817634818247E-3</v>
      </c>
      <c r="K230" s="70">
        <f>-0.0175577991000873-(+J230/52)</f>
        <v>-1.7420803296943416E-2</v>
      </c>
      <c r="L230" s="70">
        <f>0.0256357879685426-(+K230/52)</f>
        <v>2.5970803416560741E-2</v>
      </c>
      <c r="M230" s="70">
        <f>0.00726729911810337-(+L230/52)</f>
        <v>6.7678605908618166E-3</v>
      </c>
      <c r="N230" s="70">
        <f>0.000301602448418628-(+M230/52)</f>
        <v>1.7145128320974692E-4</v>
      </c>
    </row>
    <row r="231" spans="1:14">
      <c r="A231" s="68">
        <v>4.75</v>
      </c>
      <c r="B231" s="69">
        <f t="shared" si="6"/>
        <v>4.7500000000000001E-2</v>
      </c>
      <c r="C231" s="70">
        <f t="shared" si="7"/>
        <v>9.1346153846153845E-4</v>
      </c>
      <c r="F231" s="71">
        <v>39220</v>
      </c>
      <c r="G231" s="69">
        <v>-4.7006171864196816E-3</v>
      </c>
      <c r="H231" s="70">
        <f>-0.00206885742646665-(+G231/52)</f>
        <v>-1.9784609421124254E-3</v>
      </c>
      <c r="I231" s="70">
        <f>0.0326741378321728-(+H231/52)</f>
        <v>3.2712185157982659E-2</v>
      </c>
      <c r="J231" s="70">
        <f>0.0121949215894062-(+I231/52)</f>
        <v>1.1565841105598841E-2</v>
      </c>
      <c r="K231" s="70">
        <f>0.0141091458912058-(+J231/52)</f>
        <v>1.3886725869944284E-2</v>
      </c>
      <c r="L231" s="70">
        <f>0.0217894367466166-(+K231/52)</f>
        <v>2.1522384326040749E-2</v>
      </c>
      <c r="M231" s="70">
        <f>0.0135100000649989-(+L231/52)</f>
        <v>1.3096108058728885E-2</v>
      </c>
      <c r="N231" s="70">
        <f>0.0189606255622448-(+M231/52)</f>
        <v>1.870877733034617E-2</v>
      </c>
    </row>
    <row r="232" spans="1:14">
      <c r="A232" s="68">
        <v>4.6900000000000004</v>
      </c>
      <c r="B232" s="69">
        <f t="shared" si="6"/>
        <v>4.6900000000000004E-2</v>
      </c>
      <c r="C232" s="70">
        <f t="shared" si="7"/>
        <v>9.0192307692307696E-4</v>
      </c>
      <c r="F232" s="71">
        <v>39227</v>
      </c>
      <c r="G232" s="69">
        <v>-3.7018464616445684E-3</v>
      </c>
      <c r="H232" s="70">
        <f>-0.0126796988702399-(+G232/52)</f>
        <v>-1.2608509515208274E-2</v>
      </c>
      <c r="I232" s="70">
        <f>-0.0173239762473972-(+H232/52)</f>
        <v>-1.7081504910566273E-2</v>
      </c>
      <c r="J232" s="70">
        <f>0.0334008302526873-(+I232/52)</f>
        <v>3.3729320731736651E-2</v>
      </c>
      <c r="K232" s="70">
        <f>0.015201555696177-(+J232/52)</f>
        <v>1.4552914912874372E-2</v>
      </c>
      <c r="L232" s="70">
        <f>0.00528501881871388-(+K232/52)</f>
        <v>5.005155070389373E-3</v>
      </c>
      <c r="M232" s="70">
        <f>-0.0073880489329977-(+L232/52)</f>
        <v>-7.4843019151205727E-3</v>
      </c>
      <c r="N232" s="70">
        <f>-0.0166189667717681-(+M232/52)</f>
        <v>-1.6475037888785012E-2</v>
      </c>
    </row>
    <row r="233" spans="1:14">
      <c r="A233" s="68">
        <v>4.7699999999999996</v>
      </c>
      <c r="B233" s="69">
        <f t="shared" si="6"/>
        <v>4.7699999999999992E-2</v>
      </c>
      <c r="C233" s="70">
        <f t="shared" si="7"/>
        <v>9.173076923076922E-4</v>
      </c>
      <c r="F233" s="71">
        <v>39234</v>
      </c>
      <c r="G233" s="69">
        <v>-1.8192354077315304E-3</v>
      </c>
      <c r="H233" s="70">
        <f>0.0115858573004157-(+G233/52)</f>
        <v>1.162084259671823E-2</v>
      </c>
      <c r="I233" s="70">
        <f>0.0211295238872548-(+H233/52)</f>
        <v>2.090604614501022E-2</v>
      </c>
      <c r="J233" s="70">
        <f>-0.00341629296871925-(+I233/52)</f>
        <v>-3.8183323176617539E-3</v>
      </c>
      <c r="K233" s="70">
        <f>-0.00203788879275008-(+J233/52)</f>
        <v>-1.9644593251027386E-3</v>
      </c>
      <c r="L233" s="70">
        <f>0.035269818729751-(+K233/52)</f>
        <v>3.530759679369528E-2</v>
      </c>
      <c r="M233" s="70">
        <f>0.00317233670703687-(+L233/52)</f>
        <v>2.4933444610042684E-3</v>
      </c>
      <c r="N233" s="70">
        <f>0.0148181764369291-(+M233/52)</f>
        <v>1.4770227504986709E-2</v>
      </c>
    </row>
    <row r="234" spans="1:14">
      <c r="A234" s="68">
        <v>4.68</v>
      </c>
      <c r="B234" s="69">
        <f t="shared" si="6"/>
        <v>4.6799999999999994E-2</v>
      </c>
      <c r="C234" s="70">
        <f t="shared" si="7"/>
        <v>8.9999999999999987E-4</v>
      </c>
      <c r="F234" s="71">
        <v>39241</v>
      </c>
      <c r="G234" s="69">
        <v>-1.0117041539655754E-2</v>
      </c>
      <c r="H234" s="70">
        <f>-0.0675186212174423-(+G234/52)</f>
        <v>-6.732406272629507E-2</v>
      </c>
      <c r="I234" s="70">
        <f>-0.0184143379753451-(+H234/52)</f>
        <v>-1.7119644461377887E-2</v>
      </c>
      <c r="J234" s="70">
        <f>-0.0500055163283318-(+I234/52)</f>
        <v>-4.9676292396382223E-2</v>
      </c>
      <c r="K234" s="70">
        <f>-0.0505892284700595-(+J234/52)</f>
        <v>-4.9633915154744454E-2</v>
      </c>
      <c r="L234" s="70">
        <f>-0.0359009666639615-(+K234/52)</f>
        <v>-3.4946468295601031E-2</v>
      </c>
      <c r="M234" s="70">
        <f>-0.0272982259534413-(+L234/52)</f>
        <v>-2.6626178486218205E-2</v>
      </c>
      <c r="N234" s="70">
        <f>-0.0472662933582207-(+M234/52)</f>
        <v>-4.6754251464254964E-2</v>
      </c>
    </row>
    <row r="235" spans="1:14">
      <c r="A235" s="68">
        <v>4.67</v>
      </c>
      <c r="B235" s="69">
        <f t="shared" si="6"/>
        <v>4.6699999999999998E-2</v>
      </c>
      <c r="C235" s="70">
        <f t="shared" si="7"/>
        <v>8.980769230769231E-4</v>
      </c>
      <c r="F235" s="71">
        <v>39248</v>
      </c>
      <c r="G235" s="69">
        <v>-6.769039193534462E-4</v>
      </c>
      <c r="H235" s="70">
        <f>0.0213383100238342-(+G235/52)</f>
        <v>2.1351327406898692E-2</v>
      </c>
      <c r="I235" s="70">
        <f>0.0283369871594112-(+H235/52)</f>
        <v>2.7926384709278534E-2</v>
      </c>
      <c r="J235" s="70">
        <f>0.0363913878416099-(+I235/52)</f>
        <v>3.5854341981816078E-2</v>
      </c>
      <c r="K235" s="70">
        <f>0.0097539727838024-(+J235/52)</f>
        <v>9.0644662072290137E-3</v>
      </c>
      <c r="L235" s="70">
        <f>0.0202557945059499-(+K235/52)</f>
        <v>2.0081477848118572E-2</v>
      </c>
      <c r="M235" s="70">
        <f>0.00657493974627226-(+L235/52)</f>
        <v>6.1887574799622874E-3</v>
      </c>
      <c r="N235" s="70">
        <f>0.0237444133793188-(+M235/52)</f>
        <v>2.3625398812396451E-2</v>
      </c>
    </row>
    <row r="236" spans="1:14">
      <c r="A236" s="68">
        <v>4.53</v>
      </c>
      <c r="B236" s="69">
        <f t="shared" si="6"/>
        <v>4.53E-2</v>
      </c>
      <c r="C236" s="70">
        <f t="shared" si="7"/>
        <v>8.7115384615384615E-4</v>
      </c>
      <c r="F236" s="71">
        <v>39255</v>
      </c>
      <c r="G236" s="69">
        <v>-7.7585038253485256E-4</v>
      </c>
      <c r="H236" s="70">
        <f>-0.029533496246395-(+G236/52)</f>
        <v>-2.951857604673087E-2</v>
      </c>
      <c r="I236" s="70">
        <f>0.0283053345840389-(+H236/52)</f>
        <v>2.8872999508014491E-2</v>
      </c>
      <c r="J236" s="70">
        <f>-0.0198099049524762-(+I236/52)</f>
        <v>-2.0365154943014937E-2</v>
      </c>
      <c r="K236" s="70">
        <f>0.0348726858394048-(+J236/52)</f>
        <v>3.5264323434462785E-2</v>
      </c>
      <c r="L236" s="70">
        <f>-0.0202489570875883-(+K236/52)</f>
        <v>-2.0927117153635662E-2</v>
      </c>
      <c r="M236" s="70">
        <f>-0.00765025884581743-(+L236/52)</f>
        <v>-7.2478142851705903E-3</v>
      </c>
      <c r="N236" s="70">
        <f>-0.0235226106110894-(+M236/52)</f>
        <v>-2.3383229567143813E-2</v>
      </c>
    </row>
    <row r="237" spans="1:14">
      <c r="A237" s="68">
        <v>4.5599999999999996</v>
      </c>
      <c r="B237" s="69">
        <f t="shared" si="6"/>
        <v>4.5599999999999995E-2</v>
      </c>
      <c r="C237" s="70">
        <f t="shared" si="7"/>
        <v>8.7692307692307679E-4</v>
      </c>
      <c r="F237" s="71">
        <v>39262</v>
      </c>
      <c r="G237" s="69">
        <v>4.944364759276368E-3</v>
      </c>
      <c r="H237" s="70">
        <f>0.0202919592119143-(+G237/52)</f>
        <v>2.0196875274235908E-2</v>
      </c>
      <c r="I237" s="70">
        <f>-0.00505565065957439-(+H237/52)</f>
        <v>-5.4440521071558497E-3</v>
      </c>
      <c r="J237" s="70">
        <f>-0.0273716443809329-(+I237/52)</f>
        <v>-2.7266951071179903E-2</v>
      </c>
      <c r="K237" s="70">
        <f>0.012266464285817-(+J237/52)</f>
        <v>1.2790828729493536E-2</v>
      </c>
      <c r="L237" s="70">
        <f>0.0180966288724288-(+K237/52)</f>
        <v>1.7850651396861615E-2</v>
      </c>
      <c r="M237" s="70">
        <f>0.0038479895000597-(+L237/52)</f>
        <v>3.5047077424277457E-3</v>
      </c>
      <c r="N237" s="70">
        <f>0.00489440537312819-(+M237/52)</f>
        <v>4.8270071473122721E-3</v>
      </c>
    </row>
    <row r="238" spans="1:14">
      <c r="A238" s="68">
        <v>4.67</v>
      </c>
      <c r="B238" s="69">
        <f t="shared" si="6"/>
        <v>4.6699999999999998E-2</v>
      </c>
      <c r="C238" s="70">
        <f t="shared" si="7"/>
        <v>8.980769230769231E-4</v>
      </c>
      <c r="F238" s="71">
        <v>39269</v>
      </c>
      <c r="G238" s="69">
        <v>-2.549830907818464E-3</v>
      </c>
      <c r="H238" s="70">
        <f>-0.0042689434364995-(+G238/52)</f>
        <v>-4.2199082267337599E-3</v>
      </c>
      <c r="I238" s="70">
        <f>0.0393022459702026-(+H238/52)</f>
        <v>3.9383398051485941E-2</v>
      </c>
      <c r="J238" s="70">
        <f>0.0148601508683114-(+I238/52)</f>
        <v>1.4102777828859747E-2</v>
      </c>
      <c r="K238" s="70">
        <f>0.0525010933586273-(+J238/52)</f>
        <v>5.2229886092687687E-2</v>
      </c>
      <c r="L238" s="70">
        <f>0.0275236946469686-(+K238/52)</f>
        <v>2.6519273760570762E-2</v>
      </c>
      <c r="M238" s="70">
        <f>0.0109780537974161-(+L238/52)</f>
        <v>1.0468067763558971E-2</v>
      </c>
      <c r="N238" s="70">
        <f>0.0142968150860602-(+M238/52)</f>
        <v>1.4095506090607142E-2</v>
      </c>
    </row>
    <row r="239" spans="1:14">
      <c r="A239" s="68">
        <v>4.8099999999999996</v>
      </c>
      <c r="B239" s="69">
        <f t="shared" si="6"/>
        <v>4.8099999999999997E-2</v>
      </c>
      <c r="C239" s="70">
        <f t="shared" si="7"/>
        <v>9.2499999999999993E-4</v>
      </c>
      <c r="F239" s="71">
        <v>39276</v>
      </c>
      <c r="G239" s="69">
        <v>6.3344639884130739E-3</v>
      </c>
      <c r="H239" s="70">
        <f>0.00299772240085752-(+G239/52)</f>
        <v>2.87590578569573E-3</v>
      </c>
      <c r="I239" s="70">
        <f>0.00811427000211948-(+H239/52)</f>
        <v>8.0589641216253314E-3</v>
      </c>
      <c r="J239" s="70">
        <f>0.00763150384056974-(+I239/52)</f>
        <v>7.4765237613077145E-3</v>
      </c>
      <c r="K239" s="70">
        <f>0.0231751179802111-(+J239/52)</f>
        <v>2.3031338677109027E-2</v>
      </c>
      <c r="L239" s="70">
        <f>0.0209045640437253-(+K239/52)</f>
        <v>2.0461653684550128E-2</v>
      </c>
      <c r="M239" s="70">
        <f>0.00936963181167989-(+L239/52)</f>
        <v>8.9761384715923865E-3</v>
      </c>
      <c r="N239" s="70">
        <f>0.013514460823586-(+M239/52)</f>
        <v>1.3341842776055378E-2</v>
      </c>
    </row>
    <row r="240" spans="1:14">
      <c r="A240" s="68">
        <v>4.82</v>
      </c>
      <c r="B240" s="69">
        <f t="shared" si="6"/>
        <v>4.82E-2</v>
      </c>
      <c r="C240" s="70">
        <f t="shared" si="7"/>
        <v>9.2692307692307692E-4</v>
      </c>
      <c r="F240" s="71">
        <v>39283</v>
      </c>
      <c r="G240" s="69">
        <v>5.172082344308185E-3</v>
      </c>
      <c r="H240" s="70">
        <f>0.00648956715811507-(+G240/52)</f>
        <v>6.3901040361091441E-3</v>
      </c>
      <c r="I240" s="70">
        <f>0.00509701083327889-(+H240/52)</f>
        <v>4.9741242171998682E-3</v>
      </c>
      <c r="J240" s="70">
        <f>0.0103733077182007-(+I240/52)</f>
        <v>1.027765148325455E-2</v>
      </c>
      <c r="K240" s="70">
        <f>-0.0265188474744331-(+J240/52)</f>
        <v>-2.671649461834184E-2</v>
      </c>
      <c r="L240" s="70">
        <f>0.00900044538643763-(+K240/52)</f>
        <v>9.5142241290980499E-3</v>
      </c>
      <c r="M240" s="70">
        <f>0.00894939997605723-(+L240/52)</f>
        <v>8.7664341274207285E-3</v>
      </c>
      <c r="N240" s="70">
        <f>0.00229236553349378-(+M240/52)</f>
        <v>2.1237802618126124E-3</v>
      </c>
    </row>
    <row r="241" spans="1:14">
      <c r="A241" s="68">
        <v>4.83</v>
      </c>
      <c r="B241" s="69">
        <f t="shared" si="6"/>
        <v>4.8300000000000003E-2</v>
      </c>
      <c r="C241" s="70">
        <f t="shared" si="7"/>
        <v>9.2884615384615391E-4</v>
      </c>
      <c r="F241" s="71">
        <v>39290</v>
      </c>
      <c r="G241" s="69">
        <v>-3.3682709043326873E-3</v>
      </c>
      <c r="H241" s="70">
        <f>-0.0399416055165092-(+G241/52)</f>
        <v>-3.9876831076041265E-2</v>
      </c>
      <c r="I241" s="70">
        <f>-0.0389213178239792-(+H241/52)</f>
        <v>-3.8154455687901483E-2</v>
      </c>
      <c r="J241" s="70">
        <f>-0.0623768450390641-(+I241/52)</f>
        <v>-6.1643105506604456E-2</v>
      </c>
      <c r="K241" s="70">
        <f>-0.0577440904140909-(+J241/52)</f>
        <v>-5.6558646077425431E-2</v>
      </c>
      <c r="L241" s="70">
        <f>-0.0820771511824128-(+K241/52)</f>
        <v>-8.0989484911693069E-2</v>
      </c>
      <c r="M241" s="70">
        <f>-0.0599030903965853-(+L241/52)</f>
        <v>-5.8345600302129666E-2</v>
      </c>
      <c r="N241" s="70">
        <f>-0.0630141712877387-(+M241/52)</f>
        <v>-6.1892140512697744E-2</v>
      </c>
    </row>
    <row r="242" spans="1:14">
      <c r="A242" s="68">
        <v>4.82</v>
      </c>
      <c r="B242" s="69">
        <f t="shared" si="6"/>
        <v>4.82E-2</v>
      </c>
      <c r="C242" s="70">
        <f t="shared" si="7"/>
        <v>9.2692307692307692E-4</v>
      </c>
      <c r="F242" s="71">
        <v>39297</v>
      </c>
      <c r="G242" s="69">
        <v>2.4196139235644681E-3</v>
      </c>
      <c r="H242" s="70">
        <f>0.0102179522624643-(+G242/52)</f>
        <v>1.0171421225472675E-2</v>
      </c>
      <c r="I242" s="70">
        <f>0.00861186602195312-(+H242/52)</f>
        <v>8.4162617676171066E-3</v>
      </c>
      <c r="J242" s="70">
        <f>0.025656469364763-(+I242/52)</f>
        <v>2.5494618176924208E-2</v>
      </c>
      <c r="K242" s="70">
        <f>0.00466032257137108-(+J242/52)</f>
        <v>4.1700414525840763E-3</v>
      </c>
      <c r="L242" s="70">
        <f>-0.00472650011647852-(+K242/52)</f>
        <v>-4.8066932213359061E-3</v>
      </c>
      <c r="M242" s="70">
        <f>0.00267092377122154-(+L242/52)</f>
        <v>2.7633601793241539E-3</v>
      </c>
      <c r="N242" s="70">
        <f>-0.00967957451957225-(+M242/52)</f>
        <v>-9.7327160614823303E-3</v>
      </c>
    </row>
    <row r="243" spans="1:14">
      <c r="A243" s="68">
        <v>4.7699999999999996</v>
      </c>
      <c r="B243" s="69">
        <f t="shared" si="6"/>
        <v>4.7699999999999992E-2</v>
      </c>
      <c r="C243" s="70">
        <f t="shared" si="7"/>
        <v>9.173076923076922E-4</v>
      </c>
      <c r="F243" s="71">
        <v>39304</v>
      </c>
      <c r="G243" s="69">
        <v>-4.1248751517112313E-3</v>
      </c>
      <c r="H243" s="70">
        <f>0.0142653515023661-(+G243/52)</f>
        <v>1.4344676024514393E-2</v>
      </c>
      <c r="I243" s="70">
        <f>-0.0125217249303051-(+H243/52)</f>
        <v>-1.2797584084622685E-2</v>
      </c>
      <c r="J243" s="70">
        <f>-0.0345583668848041-(+I243/52)</f>
        <v>-3.4312259498561357E-2</v>
      </c>
      <c r="K243" s="70">
        <f>0.0247302196874525-(+J243/52)</f>
        <v>2.5390070831655603E-2</v>
      </c>
      <c r="L243" s="70">
        <f>0.0153269130440914-(+K243/52)</f>
        <v>1.4838642451174945E-2</v>
      </c>
      <c r="M243" s="70">
        <f>-0.0140198680002722-(+L243/52)</f>
        <v>-1.4305226508948641E-2</v>
      </c>
      <c r="N243" s="70">
        <f>0.00368125534525716-(+M243/52)</f>
        <v>3.956355855044634E-3</v>
      </c>
    </row>
    <row r="244" spans="1:14">
      <c r="A244" s="68">
        <v>4.6900000000000004</v>
      </c>
      <c r="B244" s="69">
        <f t="shared" si="6"/>
        <v>4.6900000000000004E-2</v>
      </c>
      <c r="C244" s="70">
        <f t="shared" si="7"/>
        <v>9.0192307692307696E-4</v>
      </c>
      <c r="F244" s="71">
        <v>39311</v>
      </c>
      <c r="G244" s="69">
        <v>2.1102877925634153E-3</v>
      </c>
      <c r="H244" s="70">
        <f>-0.02313763407011-(+G244/52)</f>
        <v>-2.3178216527659296E-2</v>
      </c>
      <c r="I244" s="70">
        <f>-0.108321767120456-(+H244/52)</f>
        <v>-0.10787603218723178</v>
      </c>
      <c r="J244" s="70">
        <f>-0.0246891970541001-(+I244/52)</f>
        <v>-2.261465797357641E-2</v>
      </c>
      <c r="K244" s="70">
        <f>-0.124515139921752-(+J244/52)</f>
        <v>-0.12408024265302939</v>
      </c>
      <c r="L244" s="70">
        <f>-0.0363107802836722-(+K244/52)</f>
        <v>-3.3924621771113939E-2</v>
      </c>
      <c r="M244" s="70">
        <f>-0.0646334436320601-(+L244/52)</f>
        <v>-6.3981047059538679E-2</v>
      </c>
      <c r="N244" s="70">
        <f>-0.0384134981793548-(+M244/52)</f>
        <v>-3.7183093428209822E-2</v>
      </c>
    </row>
    <row r="245" spans="1:14">
      <c r="A245" s="68">
        <v>4.1100000000000003</v>
      </c>
      <c r="B245" s="69">
        <f t="shared" si="6"/>
        <v>4.1100000000000005E-2</v>
      </c>
      <c r="C245" s="70">
        <f t="shared" si="7"/>
        <v>7.9038461538461543E-4</v>
      </c>
      <c r="F245" s="71">
        <v>39318</v>
      </c>
      <c r="G245" s="69">
        <v>4.3733637470381153E-3</v>
      </c>
      <c r="H245" s="70">
        <f>0.0323922751127889-(+G245/52)</f>
        <v>3.2308171963807399E-2</v>
      </c>
      <c r="I245" s="70">
        <f>0.0937310605433369-(+H245/52)</f>
        <v>9.3109749544032908E-2</v>
      </c>
      <c r="J245" s="70">
        <f>0.0446071635281925-(+I245/52)</f>
        <v>4.2816591421576483E-2</v>
      </c>
      <c r="K245" s="70">
        <f>0.129344029600804-(+J245/52)</f>
        <v>0.12852063361192753</v>
      </c>
      <c r="L245" s="70">
        <f>0.0170640791622635-(+K245/52)</f>
        <v>1.459252851588028E-2</v>
      </c>
      <c r="M245" s="70">
        <f>0.058840888718382-(+L245/52)</f>
        <v>5.8560263169999689E-2</v>
      </c>
      <c r="N245" s="70">
        <f>0.0275200070451218-(+M245/52)</f>
        <v>2.6393848138006423E-2</v>
      </c>
    </row>
    <row r="246" spans="1:14">
      <c r="A246" s="68">
        <v>3.62</v>
      </c>
      <c r="B246" s="69">
        <f t="shared" si="6"/>
        <v>3.6200000000000003E-2</v>
      </c>
      <c r="C246" s="70">
        <f t="shared" si="7"/>
        <v>6.9615384615384624E-4</v>
      </c>
      <c r="F246" s="71">
        <v>39325</v>
      </c>
      <c r="G246" s="69">
        <v>3.2219155727177999E-3</v>
      </c>
      <c r="H246" s="70">
        <f>0.00285387809704307-(+G246/52)</f>
        <v>2.7919181821831123E-3</v>
      </c>
      <c r="I246" s="70">
        <f>0.0188281034728131-(+H246/52)</f>
        <v>1.8774412738540348E-2</v>
      </c>
      <c r="J246" s="70">
        <f>0.0384630252425684-(+I246/52)</f>
        <v>3.8101978843750314E-2</v>
      </c>
      <c r="K246" s="70">
        <f>0.0415669881798025-(+J246/52)</f>
        <v>4.0834257817422684E-2</v>
      </c>
      <c r="L246" s="70">
        <f>-0.0013535953873852-(+K246/52)</f>
        <v>-2.1388695761817901E-3</v>
      </c>
      <c r="M246" s="70">
        <f>0.0184017447167273-(+L246/52)</f>
        <v>1.8442876823961566E-2</v>
      </c>
      <c r="N246" s="70">
        <f>-0.00356213106499677-(+M246/52)</f>
        <v>-3.9168017731498776E-3</v>
      </c>
    </row>
    <row r="247" spans="1:14">
      <c r="A247" s="68">
        <v>4.0599999999999996</v>
      </c>
      <c r="B247" s="69">
        <f t="shared" si="6"/>
        <v>4.0599999999999997E-2</v>
      </c>
      <c r="C247" s="70">
        <f t="shared" si="7"/>
        <v>7.8076923076923072E-4</v>
      </c>
      <c r="F247" s="71">
        <v>39332</v>
      </c>
      <c r="G247" s="69">
        <v>8.5656307986848208E-3</v>
      </c>
      <c r="H247" s="70">
        <f>-0.0133172518439058-(+G247/52)</f>
        <v>-1.3481975513111278E-2</v>
      </c>
      <c r="I247" s="70">
        <f>0.0189378516297192-(+H247/52)</f>
        <v>1.9197120389586722E-2</v>
      </c>
      <c r="J247" s="70">
        <f>-0.0309005029448746-(+I247/52)</f>
        <v>-3.1269678336982035E-2</v>
      </c>
      <c r="K247" s="70">
        <f>-0.027835627433753-(+J247/52)</f>
        <v>-2.7234287465734114E-2</v>
      </c>
      <c r="L247" s="70">
        <f>-0.0241404653107322-(+K247/52)</f>
        <v>-2.3616729013314238E-2</v>
      </c>
      <c r="M247" s="70">
        <f>-0.0151683087027914-(+L247/52)</f>
        <v>-1.4714140837150742E-2</v>
      </c>
      <c r="N247" s="70">
        <f>-0.00630573967455288-(+M247/52)</f>
        <v>-6.0227754276845962E-3</v>
      </c>
    </row>
    <row r="248" spans="1:14">
      <c r="A248" s="68">
        <v>4.18</v>
      </c>
      <c r="B248" s="69">
        <f t="shared" si="6"/>
        <v>4.1799999999999997E-2</v>
      </c>
      <c r="C248" s="70">
        <f t="shared" si="7"/>
        <v>8.0384615384615379E-4</v>
      </c>
      <c r="F248" s="71">
        <v>39339</v>
      </c>
      <c r="G248" s="69">
        <v>-3.1081239097139604E-3</v>
      </c>
      <c r="H248" s="70">
        <f>0.0239408295356606-(+G248/52)</f>
        <v>2.4000601149308944E-2</v>
      </c>
      <c r="I248" s="70">
        <f>-0.00467563681123312-(+H248/52)</f>
        <v>-5.1371868333352153E-3</v>
      </c>
      <c r="J248" s="70">
        <f>0.0206739079405047-(+I248/52)</f>
        <v>2.0772699994991917E-2</v>
      </c>
      <c r="K248" s="70">
        <f>0.0555526112460844-(+J248/52)</f>
        <v>5.5153136246180706E-2</v>
      </c>
      <c r="L248" s="70">
        <f>0.0364270088309956-(+K248/52)</f>
        <v>3.5366371595492128E-2</v>
      </c>
      <c r="M248" s="70">
        <f>0.0091980853532301-(+L248/52)</f>
        <v>8.5179628225475583E-3</v>
      </c>
      <c r="N248" s="70">
        <f>0.0192157881069852-(+M248/52)</f>
        <v>1.9051981129628515E-2</v>
      </c>
    </row>
    <row r="249" spans="1:14">
      <c r="A249" s="68">
        <v>3.93</v>
      </c>
      <c r="B249" s="69">
        <f t="shared" si="6"/>
        <v>3.9300000000000002E-2</v>
      </c>
      <c r="C249" s="70">
        <f t="shared" si="7"/>
        <v>7.5576923076923076E-4</v>
      </c>
      <c r="F249" s="71">
        <v>39346</v>
      </c>
      <c r="G249" s="69">
        <v>2.2657296538354486E-3</v>
      </c>
      <c r="H249" s="70">
        <f>0.0234250788079506-(+G249/52)</f>
        <v>2.338150708383838E-2</v>
      </c>
      <c r="I249" s="70">
        <f>0.037407908849542-(+H249/52)</f>
        <v>3.6958264482545113E-2</v>
      </c>
      <c r="J249" s="70">
        <f>0.0208071118842229-(+I249/52)</f>
        <v>2.0096376028789338E-2</v>
      </c>
      <c r="K249" s="70">
        <f>0.0983766842924453-(+J249/52)</f>
        <v>9.7990215522660892E-2</v>
      </c>
      <c r="L249" s="70">
        <f>0.0507430638489688-(+K249/52)</f>
        <v>4.8858636627379173E-2</v>
      </c>
      <c r="M249" s="70">
        <f>0.0198944013437325-(+L249/52)</f>
        <v>1.8954812177821363E-2</v>
      </c>
      <c r="N249" s="70">
        <f>0.0384129511677282-(+M249/52)</f>
        <v>3.8048435548923946E-2</v>
      </c>
    </row>
    <row r="250" spans="1:14">
      <c r="A250" s="68">
        <v>3.82</v>
      </c>
      <c r="B250" s="69">
        <f t="shared" si="6"/>
        <v>3.8199999999999998E-2</v>
      </c>
      <c r="C250" s="70">
        <f t="shared" si="7"/>
        <v>7.3461538461538456E-4</v>
      </c>
      <c r="F250" s="71">
        <v>39353</v>
      </c>
      <c r="G250" s="69">
        <v>5.6608300301363027E-3</v>
      </c>
      <c r="H250" s="70">
        <f>0.0205021797676707-(+G250/52)</f>
        <v>2.0393317651706541E-2</v>
      </c>
      <c r="I250" s="70">
        <f>0.0292031423462512-(+H250/52)</f>
        <v>2.8810963160641457E-2</v>
      </c>
      <c r="J250" s="70">
        <f>0.00586994367639526-(+I250/52)</f>
        <v>5.3158866925367707E-3</v>
      </c>
      <c r="K250" s="70">
        <f>0.0141946007588097-(+J250/52)</f>
        <v>1.4092372168568609E-2</v>
      </c>
      <c r="L250" s="70">
        <f>0.0356727082421046-(+K250/52)</f>
        <v>3.5401701085016737E-2</v>
      </c>
      <c r="M250" s="70">
        <f>0.0218551941521495-(+L250/52)</f>
        <v>2.1174392208206869E-2</v>
      </c>
      <c r="N250" s="70">
        <f>-0.00676252447134223-(+M250/52)</f>
        <v>-7.1697243215000546E-3</v>
      </c>
    </row>
    <row r="251" spans="1:14">
      <c r="A251" s="68">
        <v>3.69</v>
      </c>
      <c r="B251" s="69">
        <f t="shared" si="6"/>
        <v>3.6900000000000002E-2</v>
      </c>
      <c r="C251" s="70">
        <f t="shared" si="7"/>
        <v>7.0961538461538471E-4</v>
      </c>
      <c r="F251" s="71">
        <v>39360</v>
      </c>
      <c r="G251" s="69">
        <v>-9.8379523790297616E-4</v>
      </c>
      <c r="H251" s="70">
        <f>0.0051516252903715-(+G251/52)</f>
        <v>5.1705444295619424E-3</v>
      </c>
      <c r="I251" s="70">
        <f>-0.00176757488177286-(+H251/52)</f>
        <v>-1.8670084284952051E-3</v>
      </c>
      <c r="J251" s="70">
        <f>0.0349286115703826-(+I251/52)</f>
        <v>3.4964515578622894E-2</v>
      </c>
      <c r="K251" s="70">
        <f>-0.0210532058991676-(+J251/52)</f>
        <v>-2.1725600429525732E-2</v>
      </c>
      <c r="L251" s="70">
        <f>-0.0204481157208318-(+K251/52)</f>
        <v>-2.0030315712571689E-2</v>
      </c>
      <c r="M251" s="70">
        <f>0.0284553651045278-(+L251/52)</f>
        <v>2.8840563483615717E-2</v>
      </c>
      <c r="N251" s="70">
        <f>0.0201889724878289-(+M251/52)</f>
        <v>1.9634346266990135E-2</v>
      </c>
    </row>
    <row r="252" spans="1:14">
      <c r="A252" s="68">
        <v>3.86</v>
      </c>
      <c r="B252" s="69">
        <f t="shared" si="6"/>
        <v>3.8599999999999995E-2</v>
      </c>
      <c r="C252" s="70">
        <f t="shared" si="7"/>
        <v>7.4230769230769218E-4</v>
      </c>
      <c r="F252" s="71">
        <v>39367</v>
      </c>
      <c r="G252" s="69">
        <v>-8.909086110210566E-4</v>
      </c>
      <c r="H252" s="70">
        <f>0.0103028492671141-(+G252/52)</f>
        <v>1.031998212501835E-2</v>
      </c>
      <c r="I252" s="70">
        <f>0.021726877043253-(+H252/52)</f>
        <v>2.1528415848541108E-2</v>
      </c>
      <c r="J252" s="70">
        <f>0.00973104845849648-(+I252/52)</f>
        <v>9.3170404614091509E-3</v>
      </c>
      <c r="K252" s="70">
        <f>0.00316228712113139-(+J252/52)</f>
        <v>2.9831132661042909E-3</v>
      </c>
      <c r="L252" s="70">
        <f>0.00806959609908106-(+K252/52)</f>
        <v>8.0122285362713621E-3</v>
      </c>
      <c r="M252" s="70">
        <f>0.00236989653378551-(+L252/52)</f>
        <v>2.2158152157802915E-3</v>
      </c>
      <c r="N252" s="70">
        <f>0.0193505753214587-(+M252/52)</f>
        <v>1.9307963490386E-2</v>
      </c>
    </row>
    <row r="253" spans="1:14">
      <c r="A253" s="68">
        <v>4</v>
      </c>
      <c r="B253" s="69">
        <f t="shared" si="6"/>
        <v>0.04</v>
      </c>
      <c r="C253" s="70">
        <f t="shared" si="7"/>
        <v>7.6923076923076923E-4</v>
      </c>
      <c r="F253" s="71">
        <v>39374</v>
      </c>
      <c r="G253" s="69">
        <v>8.7337179944814089E-3</v>
      </c>
      <c r="H253" s="70">
        <f>-0.00951827664728426-(+G253/52)</f>
        <v>-9.6862327625627485E-3</v>
      </c>
      <c r="I253" s="70">
        <f>-0.0017438152416986-(+H253/52)</f>
        <v>-1.5575415347262396E-3</v>
      </c>
      <c r="J253" s="70">
        <f>-0.0419667352537723-(+I253/52)</f>
        <v>-4.1936782531950642E-2</v>
      </c>
      <c r="K253" s="70">
        <f>-0.0232353658742794-(+J253/52)</f>
        <v>-2.2428889287126504E-2</v>
      </c>
      <c r="L253" s="70">
        <f>-0.0276833021186529-(+K253/52)</f>
        <v>-2.7251977324669698E-2</v>
      </c>
      <c r="M253" s="70">
        <f>-0.00277115690194272-(+L253/52)</f>
        <v>-2.2470804149298412E-3</v>
      </c>
      <c r="N253" s="70">
        <f>-0.0205024916738011-(+M253/52)</f>
        <v>-2.0459278588898601E-2</v>
      </c>
    </row>
    <row r="254" spans="1:14">
      <c r="A254" s="68">
        <v>3.93</v>
      </c>
      <c r="B254" s="69">
        <f t="shared" si="6"/>
        <v>3.9300000000000002E-2</v>
      </c>
      <c r="C254" s="70">
        <f t="shared" si="7"/>
        <v>7.5576923076923076E-4</v>
      </c>
      <c r="F254" s="71">
        <v>39381</v>
      </c>
      <c r="G254" s="69">
        <v>4.2870304122934917E-3</v>
      </c>
      <c r="H254" s="70">
        <f>0.0270958146549918-(+G254/52)</f>
        <v>2.7013371762447693E-2</v>
      </c>
      <c r="I254" s="70">
        <f>0.000509501254882686-(+H254/52)</f>
        <v>-9.9866636259234422E-6</v>
      </c>
      <c r="J254" s="70">
        <f>0.0292467834639744-(+I254/52)</f>
        <v>2.9246975515197976E-2</v>
      </c>
      <c r="K254" s="70">
        <f>0.10175041175976-(+J254/52)</f>
        <v>0.10118796992292928</v>
      </c>
      <c r="L254" s="70">
        <f>0.0715703131783002-(+K254/52)</f>
        <v>6.9624390679782336E-2</v>
      </c>
      <c r="M254" s="70">
        <f>0.0231817758345407-(+L254/52)</f>
        <v>2.1842845244544884E-2</v>
      </c>
      <c r="N254" s="70">
        <f>0.0322891931490932-(+M254/52)</f>
        <v>3.1869138432851947E-2</v>
      </c>
    </row>
    <row r="255" spans="1:14">
      <c r="A255" s="68">
        <v>3.85</v>
      </c>
      <c r="B255" s="69">
        <f t="shared" si="6"/>
        <v>3.85E-2</v>
      </c>
      <c r="C255" s="70">
        <f t="shared" si="7"/>
        <v>7.4038461538461541E-4</v>
      </c>
      <c r="F255" s="71">
        <v>39388</v>
      </c>
      <c r="G255" s="69">
        <v>1.908848765753958E-3</v>
      </c>
      <c r="H255" s="70">
        <f>0.0112325749773105-(+G255/52)</f>
        <v>1.1195866347199847E-2</v>
      </c>
      <c r="I255" s="70">
        <f>-0.0216602899175513-(+H255/52)</f>
        <v>-2.1875595039612838E-2</v>
      </c>
      <c r="J255" s="70">
        <f>0.00301151251437578-(+I255/52)</f>
        <v>3.4321970343683342E-3</v>
      </c>
      <c r="K255" s="70">
        <f>0.0521272440775207-(+J255/52)</f>
        <v>5.2061240288398231E-2</v>
      </c>
      <c r="L255" s="70">
        <f>-0.00249335314651147-(+K255/52)</f>
        <v>-3.4945308443652817E-3</v>
      </c>
      <c r="M255" s="70">
        <f>0.00629837203095823-(+L255/52)</f>
        <v>6.3655745471960234E-3</v>
      </c>
      <c r="N255" s="70">
        <f>0.0040230813279104-(+M255/52)</f>
        <v>3.9006664327720145E-3</v>
      </c>
    </row>
    <row r="256" spans="1:14">
      <c r="A256" s="68">
        <v>3.77</v>
      </c>
      <c r="B256" s="69">
        <f t="shared" si="6"/>
        <v>3.7699999999999997E-2</v>
      </c>
      <c r="C256" s="70">
        <f t="shared" si="7"/>
        <v>7.2499999999999995E-4</v>
      </c>
      <c r="F256" s="71">
        <v>39395</v>
      </c>
      <c r="G256" s="69">
        <v>1.2177195231550773E-3</v>
      </c>
      <c r="H256" s="70">
        <f>0.00500683208204552-(+G256/52)</f>
        <v>4.9834143989079226E-3</v>
      </c>
      <c r="I256" s="70">
        <f>-0.0215587398547512-(+H256/52)</f>
        <v>-2.1654574747037893E-2</v>
      </c>
      <c r="J256" s="70">
        <f>-0.0418887982631378-(+I256/52)</f>
        <v>-4.147236413338707E-2</v>
      </c>
      <c r="K256" s="70">
        <f>-0.055435016822087-(+J256/52)</f>
        <v>-5.46374713579834E-2</v>
      </c>
      <c r="L256" s="70">
        <f>-0.0734492940031719-(+K256/52)</f>
        <v>-7.2398573400133767E-2</v>
      </c>
      <c r="M256" s="70">
        <f>-0.00789701124177472-(+L256/52)</f>
        <v>-6.5047309840798404E-3</v>
      </c>
      <c r="N256" s="70">
        <f>-0.0166761722310777-(+M256/52)</f>
        <v>-1.6551081250614628E-2</v>
      </c>
    </row>
    <row r="257" spans="1:14">
      <c r="A257" s="68">
        <v>3.43</v>
      </c>
      <c r="B257" s="69">
        <f t="shared" si="6"/>
        <v>3.4300000000000004E-2</v>
      </c>
      <c r="C257" s="70">
        <f t="shared" si="7"/>
        <v>6.5961538461538469E-4</v>
      </c>
      <c r="F257" s="71">
        <v>39402</v>
      </c>
      <c r="G257" s="69">
        <v>-6.9011761210684781E-4</v>
      </c>
      <c r="H257" s="70">
        <f>-0.00747032439971508-(+G257/52)</f>
        <v>-7.4570529071745634E-3</v>
      </c>
      <c r="I257" s="70">
        <f>-0.0112420589237009-(+H257/52)</f>
        <v>-1.1098654060101389E-2</v>
      </c>
      <c r="J257" s="70">
        <f>0.00750945879256466-(+I257/52)</f>
        <v>7.7228944475666098E-3</v>
      </c>
      <c r="K257" s="70">
        <f>-0.0550949191972805-(+J257/52)</f>
        <v>-5.5243436398195241E-2</v>
      </c>
      <c r="L257" s="70">
        <f>0.0719539803973845-(+K257/52)</f>
        <v>7.3016354174272866E-2</v>
      </c>
      <c r="M257" s="70">
        <f>-0.0252602446771707-(+L257/52)</f>
        <v>-2.6664405334368254E-2</v>
      </c>
      <c r="N257" s="70">
        <f>-0.0122891900734674-(+M257/52)</f>
        <v>-1.1776413047806474E-2</v>
      </c>
    </row>
    <row r="258" spans="1:14">
      <c r="A258" s="68">
        <v>3.32</v>
      </c>
      <c r="B258" s="69">
        <f t="shared" si="6"/>
        <v>3.32E-2</v>
      </c>
      <c r="C258" s="70">
        <f t="shared" si="7"/>
        <v>6.3846153846153848E-4</v>
      </c>
      <c r="F258" s="71">
        <v>39409</v>
      </c>
      <c r="G258" s="69">
        <v>5.8737586119860311E-3</v>
      </c>
      <c r="H258" s="70">
        <f>0.000687448504546829-(+G258/52)</f>
        <v>5.7449160816248229E-4</v>
      </c>
      <c r="I258" s="70">
        <f>-0.0293128823527737-(+H258/52)</f>
        <v>-2.9323930268315288E-2</v>
      </c>
      <c r="J258" s="70">
        <f>0.0352632395320548-(+I258/52)</f>
        <v>3.5827161267983937E-2</v>
      </c>
      <c r="K258" s="70">
        <f>-0.104887750028684-(+J258/52)</f>
        <v>-0.10557673389922215</v>
      </c>
      <c r="L258" s="70">
        <f>-0.0121161688591445-(+K258/52)</f>
        <v>-1.0085847053390228E-2</v>
      </c>
      <c r="M258" s="70">
        <f>-0.0216849821577219-(+L258/52)</f>
        <v>-2.149102356054132E-2</v>
      </c>
      <c r="N258" s="70">
        <f>-0.0117544907474792-(+M258/52)</f>
        <v>-1.1341201832853405E-2</v>
      </c>
    </row>
    <row r="259" spans="1:14">
      <c r="A259" s="68">
        <v>3.17</v>
      </c>
      <c r="B259" s="69">
        <f t="shared" si="6"/>
        <v>3.1699999999999999E-2</v>
      </c>
      <c r="C259" s="70">
        <f t="shared" si="7"/>
        <v>6.0961538461538455E-4</v>
      </c>
      <c r="F259" s="71">
        <v>39416</v>
      </c>
      <c r="G259" s="69">
        <v>-1.9454753802915171E-4</v>
      </c>
      <c r="H259" s="70">
        <f>0.0209578267304477-(+G259/52)</f>
        <v>2.0961568029255955E-2</v>
      </c>
      <c r="I259" s="70">
        <f>0.0309312515030118-(+H259/52)</f>
        <v>3.0528144425526108E-2</v>
      </c>
      <c r="J259" s="70">
        <f>0.03942828979793-(+I259/52)</f>
        <v>3.8841210097439113E-2</v>
      </c>
      <c r="K259" s="70">
        <f>0.167230126685039-(+J259/52)</f>
        <v>0.16648318033701132</v>
      </c>
      <c r="L259" s="70">
        <f>0.0301810143975149-(+K259/52)</f>
        <v>2.6979414775649295E-2</v>
      </c>
      <c r="M259" s="70">
        <f>0.0498751719065884-(+L259/52)</f>
        <v>4.9356337007056682E-2</v>
      </c>
      <c r="N259" s="70">
        <f>0.0042711819645406-(+M259/52)</f>
        <v>3.3220216374818179E-3</v>
      </c>
    </row>
    <row r="260" spans="1:14">
      <c r="A260" s="68">
        <v>3.02</v>
      </c>
      <c r="B260" s="69">
        <f t="shared" si="6"/>
        <v>3.0200000000000001E-2</v>
      </c>
      <c r="C260" s="70">
        <f t="shared" si="7"/>
        <v>5.8076923076923084E-4</v>
      </c>
      <c r="F260" s="71">
        <v>39423</v>
      </c>
      <c r="G260" s="69">
        <v>-6.3456145458987883E-3</v>
      </c>
      <c r="H260" s="70">
        <f>0.0129973579790024-(+G260/52)</f>
        <v>1.3119389027961991E-2</v>
      </c>
      <c r="I260" s="70">
        <f>-0.00717152781136124-(+H260/52)</f>
        <v>-7.4238237542066628E-3</v>
      </c>
      <c r="J260" s="70">
        <f>-0.00485158843053579-(+I260/52)</f>
        <v>-4.7088225891087389E-3</v>
      </c>
      <c r="K260" s="70">
        <f>-0.00154886237545603-(+J260/52)</f>
        <v>-1.4583080948962466E-3</v>
      </c>
      <c r="L260" s="70">
        <f>-0.0278354461210146-(+K260/52)</f>
        <v>-2.7807401734574289E-2</v>
      </c>
      <c r="M260" s="70">
        <f>0.0121379656970534-(+L260/52)</f>
        <v>1.267272342271829E-2</v>
      </c>
      <c r="N260" s="70">
        <f>0.0192523591346299-(+M260/52)</f>
        <v>1.9008652914962242E-2</v>
      </c>
    </row>
    <row r="261" spans="1:14">
      <c r="A261" s="68">
        <v>3.01</v>
      </c>
      <c r="B261" s="69">
        <f t="shared" ref="B261:B324" si="8">+A261/100</f>
        <v>3.0099999999999998E-2</v>
      </c>
      <c r="C261" s="70">
        <f t="shared" ref="C261:C324" si="9">+B261/52</f>
        <v>5.7884615384615385E-4</v>
      </c>
      <c r="F261" s="71">
        <v>39430</v>
      </c>
      <c r="G261" s="69">
        <v>-8.8870126365138552E-3</v>
      </c>
      <c r="H261" s="70">
        <f>0.000366309311582589-(+G261/52)</f>
        <v>5.3721340074631692E-4</v>
      </c>
      <c r="I261" s="70">
        <f>-0.0367154907623894-(+H261/52)</f>
        <v>-3.6725821789326825E-2</v>
      </c>
      <c r="J261" s="70">
        <f>-0.0199621873403825-(+I261/52)</f>
        <v>-1.9255921536741598E-2</v>
      </c>
      <c r="K261" s="70">
        <f>-0.0425097039993768-(+J261/52)</f>
        <v>-4.2139397815977919E-2</v>
      </c>
      <c r="L261" s="70">
        <f>-0.0550168982542732-(+K261/52)</f>
        <v>-5.420652521935055E-2</v>
      </c>
      <c r="M261" s="70">
        <f>-0.0287116236918225-(+L261/52)</f>
        <v>-2.7669190514527299E-2</v>
      </c>
      <c r="N261" s="70">
        <f>-0.0179410465941285-(+M261/52)</f>
        <v>-1.7408946776541437E-2</v>
      </c>
    </row>
    <row r="262" spans="1:14">
      <c r="A262" s="68">
        <v>2.85</v>
      </c>
      <c r="B262" s="69">
        <f t="shared" si="8"/>
        <v>2.8500000000000001E-2</v>
      </c>
      <c r="C262" s="70">
        <f t="shared" si="9"/>
        <v>5.4807692307692305E-4</v>
      </c>
      <c r="F262" s="71">
        <v>39437</v>
      </c>
      <c r="G262" s="69">
        <v>7.3780740363999881E-3</v>
      </c>
      <c r="H262" s="70">
        <f>-0.0119666048237476-(+G262/52)</f>
        <v>-1.2108490862909138E-2</v>
      </c>
      <c r="I262" s="70">
        <f>-0.0207380262586484-(+H262/52)</f>
        <v>-2.0505170665130919E-2</v>
      </c>
      <c r="J262" s="70">
        <f>-0.00176189864998899-(+I262/52)</f>
        <v>-1.3675684448903184E-3</v>
      </c>
      <c r="K262" s="70">
        <f>0.00135210809206792-(+J262/52)</f>
        <v>1.3784074852388876E-3</v>
      </c>
      <c r="L262" s="70">
        <f>0.0365243315189751-(+K262/52)</f>
        <v>3.6497823682720504E-2</v>
      </c>
      <c r="M262" s="70">
        <f>-0.0149031963266051-(+L262/52)</f>
        <v>-1.5605077551272802E-2</v>
      </c>
      <c r="N262" s="70">
        <f>0.0171472164823451-(+M262/52)</f>
        <v>1.7447314127561887E-2</v>
      </c>
    </row>
    <row r="263" spans="1:14">
      <c r="A263" s="68">
        <v>2.92</v>
      </c>
      <c r="B263" s="69">
        <f t="shared" si="8"/>
        <v>2.92E-2</v>
      </c>
      <c r="C263" s="70">
        <f t="shared" si="9"/>
        <v>5.6153846153846152E-4</v>
      </c>
      <c r="F263" s="71">
        <v>39444</v>
      </c>
      <c r="G263" s="69">
        <v>-5.3341254099659825E-4</v>
      </c>
      <c r="H263" s="70">
        <f>0.00823742766925757-(+G263/52)</f>
        <v>8.2476856027382736E-3</v>
      </c>
      <c r="I263" s="70">
        <f>0.0205879315477095-(+H263/52)</f>
        <v>2.0429322209195303E-2</v>
      </c>
      <c r="J263" s="70">
        <f>-0.00103640670781118-(+I263/52)</f>
        <v>-1.4292782887572436E-3</v>
      </c>
      <c r="K263" s="70">
        <f>0.0147575107962842-(+J263/52)</f>
        <v>1.4784996917221838E-2</v>
      </c>
      <c r="L263" s="70">
        <f>0.00822578049215478-(+K263/52)</f>
        <v>7.9414536283620527E-3</v>
      </c>
      <c r="M263" s="70">
        <f>0.00254306835469321-(+L263/52)</f>
        <v>2.3903480926093243E-3</v>
      </c>
      <c r="N263" s="70">
        <f>0.00799197325743687-(+M263/52)</f>
        <v>7.9460050248866907E-3</v>
      </c>
    </row>
    <row r="264" spans="1:14">
      <c r="A264" s="68">
        <v>3.17</v>
      </c>
      <c r="B264" s="69">
        <f t="shared" si="8"/>
        <v>3.1699999999999999E-2</v>
      </c>
      <c r="C264" s="70">
        <f t="shared" si="9"/>
        <v>6.0961538461538455E-4</v>
      </c>
      <c r="F264" s="71">
        <v>39451</v>
      </c>
      <c r="G264" s="69">
        <v>1.207324768982548E-2</v>
      </c>
      <c r="H264" s="70">
        <f>-0.0180801427199121-(+G264/52)</f>
        <v>-1.8312320560101052E-2</v>
      </c>
      <c r="I264" s="70">
        <f>-0.00476785714285714-(+H264/52)</f>
        <v>-4.415697132085966E-3</v>
      </c>
      <c r="J264" s="70">
        <f>-0.0212761808182847-(+I264/52)</f>
        <v>-2.1191263565744585E-2</v>
      </c>
      <c r="K264" s="70">
        <f>-0.0102683428872885-(+J264/52)</f>
        <v>-9.8608185879472572E-3</v>
      </c>
      <c r="L264" s="70">
        <f>-0.0644323447436771-(+K264/52)</f>
        <v>-6.4242713616985803E-2</v>
      </c>
      <c r="M264" s="70">
        <f>-0.0176366101212336-(+L264/52)</f>
        <v>-1.6401173320906948E-2</v>
      </c>
      <c r="N264" s="70">
        <f>-0.0247270075294673-(+M264/52)</f>
        <v>-2.4411600350219088E-2</v>
      </c>
    </row>
    <row r="265" spans="1:14">
      <c r="A265" s="68">
        <v>3.19</v>
      </c>
      <c r="B265" s="69">
        <f t="shared" si="8"/>
        <v>3.1899999999999998E-2</v>
      </c>
      <c r="C265" s="70">
        <f t="shared" si="9"/>
        <v>6.1346153846153842E-4</v>
      </c>
      <c r="F265" s="71">
        <v>39458</v>
      </c>
      <c r="G265" s="69">
        <v>-1.6853588912956615E-3</v>
      </c>
      <c r="H265" s="70">
        <f>-0.00662849955327505-(+G265/52)</f>
        <v>-6.5960888053655181E-3</v>
      </c>
      <c r="I265" s="70">
        <f>-0.00797851661792231-(+H265/52)</f>
        <v>-7.8516687562806657E-3</v>
      </c>
      <c r="J265" s="70">
        <f>-0.0287006595333453-(+I265/52)</f>
        <v>-2.8549665903416822E-2</v>
      </c>
      <c r="K265" s="70">
        <f>-0.0402097818896551-(+J265/52)</f>
        <v>-3.9660749853050931E-2</v>
      </c>
      <c r="L265" s="70">
        <f>-0.028173248971611-(+K265/52)</f>
        <v>-2.7410542243667714E-2</v>
      </c>
      <c r="M265" s="70">
        <f>-0.005958066279782-(+L265/52)</f>
        <v>-5.430940467403775E-3</v>
      </c>
      <c r="N265" s="70">
        <f>0.0107266645782597-(+M265/52)</f>
        <v>1.0831105741094388E-2</v>
      </c>
    </row>
    <row r="266" spans="1:14">
      <c r="A266" s="68">
        <v>3.14</v>
      </c>
      <c r="B266" s="69">
        <f t="shared" si="8"/>
        <v>3.1400000000000004E-2</v>
      </c>
      <c r="C266" s="70">
        <f t="shared" si="9"/>
        <v>6.0384615384615392E-4</v>
      </c>
      <c r="F266" s="71">
        <v>39465</v>
      </c>
      <c r="G266" s="69">
        <v>-9.162831444293096E-4</v>
      </c>
      <c r="H266" s="70">
        <f>-0.0260276657002598-(+G266/52)</f>
        <v>-2.6010044870559235E-2</v>
      </c>
      <c r="I266" s="70">
        <f>-0.0525608175323305-(+H266/52)</f>
        <v>-5.2060624361742823E-2</v>
      </c>
      <c r="J266" s="70">
        <f>0.00386078208531461-(+I266/52)</f>
        <v>4.8619479384250487E-3</v>
      </c>
      <c r="K266" s="70">
        <f>-0.0926346479962712-(+J266/52)</f>
        <v>-9.2728146995087066E-2</v>
      </c>
      <c r="L266" s="70">
        <f>-0.0712307601781954-(+K266/52)</f>
        <v>-6.9447526582136029E-2</v>
      </c>
      <c r="M266" s="70">
        <f>-0.0306911895776524-(+L266/52)</f>
        <v>-2.9355660220303628E-2</v>
      </c>
      <c r="N266" s="70">
        <f>-0.0389270199609081-(+M266/52)</f>
        <v>-3.8362488033594572E-2</v>
      </c>
    </row>
    <row r="267" spans="1:14">
      <c r="A267" s="68">
        <v>3.01</v>
      </c>
      <c r="B267" s="69">
        <f t="shared" si="8"/>
        <v>3.0099999999999998E-2</v>
      </c>
      <c r="C267" s="70">
        <f t="shared" si="9"/>
        <v>5.7884615384615385E-4</v>
      </c>
      <c r="F267" s="71">
        <v>39472</v>
      </c>
      <c r="G267" s="69">
        <v>1.0078555351860595E-3</v>
      </c>
      <c r="H267" s="70">
        <f>-0.0360660135473254-(+G267/52)</f>
        <v>-3.6085395384540517E-2</v>
      </c>
      <c r="I267" s="70">
        <f>-0.0137482739091424-(+H267/52)</f>
        <v>-1.3054323997901237E-2</v>
      </c>
      <c r="J267" s="70">
        <f>-0.0244365972682018-(+I267/52)</f>
        <v>-2.4185552575934466E-2</v>
      </c>
      <c r="K267" s="70">
        <f>0.00419144006295349-(+J267/52)</f>
        <v>4.6565468432599221E-3</v>
      </c>
      <c r="L267" s="70">
        <f>-0.00176166438454166-(+K267/52)</f>
        <v>-1.8512133622966586E-3</v>
      </c>
      <c r="M267" s="70">
        <f>-0.0186498034524013-(+L267/52)</f>
        <v>-1.8614203195434057E-2</v>
      </c>
      <c r="N267" s="70">
        <f>-0.0250918056321325-(+M267/52)</f>
        <v>-2.4733840186066461E-2</v>
      </c>
    </row>
    <row r="268" spans="1:14">
      <c r="A268" s="68">
        <v>2.2599999999999998</v>
      </c>
      <c r="B268" s="69">
        <f t="shared" si="8"/>
        <v>2.2599999999999999E-2</v>
      </c>
      <c r="C268" s="70">
        <f t="shared" si="9"/>
        <v>4.3461538461538458E-4</v>
      </c>
      <c r="F268" s="71">
        <v>39479</v>
      </c>
      <c r="G268" s="69">
        <v>6.6450799785354817E-3</v>
      </c>
      <c r="H268" s="70">
        <f>0.0180895701318719-(+G268/52)</f>
        <v>1.796178013228468E-2</v>
      </c>
      <c r="I268" s="70">
        <f>0.0314124133392263-(+H268/52)</f>
        <v>3.1066994490528518E-2</v>
      </c>
      <c r="J268" s="70">
        <f>0.00962315926181958-(+I268/52)</f>
        <v>9.0257170600786477E-3</v>
      </c>
      <c r="K268" s="70">
        <f>-0.00339847299996185-(+J268/52)</f>
        <v>-3.5720444818864391E-3</v>
      </c>
      <c r="L268" s="70">
        <f>0.0801190710167715-(+K268/52)</f>
        <v>8.0187764179884699E-2</v>
      </c>
      <c r="M268" s="70">
        <f>0.0354274209840679-(+L268/52)</f>
        <v>3.3885348595993195E-2</v>
      </c>
      <c r="N268" s="70">
        <f>0.0426665955289975-(+M268/52)</f>
        <v>4.2014954209843788E-2</v>
      </c>
    </row>
    <row r="269" spans="1:14">
      <c r="A269" s="68">
        <v>2.13</v>
      </c>
      <c r="B269" s="69">
        <f t="shared" si="8"/>
        <v>2.1299999999999999E-2</v>
      </c>
      <c r="C269" s="70">
        <f t="shared" si="9"/>
        <v>4.0961538461538463E-4</v>
      </c>
      <c r="F269" s="71">
        <v>39486</v>
      </c>
      <c r="G269" s="69">
        <v>-9.405155394387292E-3</v>
      </c>
      <c r="H269" s="70">
        <f>-0.0207540425174002-(+G269/52)</f>
        <v>-2.0573174144431213E-2</v>
      </c>
      <c r="I269" s="70">
        <f>-0.0318976572518845-(+H269/52)</f>
        <v>-3.1502019287568517E-2</v>
      </c>
      <c r="J269" s="70">
        <f>-0.0315155689815431-(+I269/52)</f>
        <v>-3.0909760918320626E-2</v>
      </c>
      <c r="K269" s="70">
        <f>-0.0714665996849311-(+J269/52)</f>
        <v>-7.0872181205732632E-2</v>
      </c>
      <c r="L269" s="70">
        <f>-0.0392716203357961-(+K269/52)</f>
        <v>-3.7908693774147392E-2</v>
      </c>
      <c r="M269" s="70">
        <f>-0.0450776243419171-(+L269/52)</f>
        <v>-4.4348611000106578E-2</v>
      </c>
      <c r="N269" s="70">
        <f>-0.0132018605412763-(+M269/52)</f>
        <v>-1.2349002637428098E-2</v>
      </c>
    </row>
    <row r="270" spans="1:14">
      <c r="A270" s="68">
        <v>2.14</v>
      </c>
      <c r="B270" s="69">
        <f t="shared" si="8"/>
        <v>2.1400000000000002E-2</v>
      </c>
      <c r="C270" s="70">
        <f t="shared" si="9"/>
        <v>4.1153846153846156E-4</v>
      </c>
      <c r="F270" s="71">
        <v>39493</v>
      </c>
      <c r="G270" s="69">
        <v>-4.708539412952485E-3</v>
      </c>
      <c r="H270" s="70">
        <f>0.00580309211939014-(+G270/52)</f>
        <v>5.8936409542546114E-3</v>
      </c>
      <c r="I270" s="70">
        <f>0.0191333453953321-(+H270/52)</f>
        <v>1.9020006146211819E-2</v>
      </c>
      <c r="J270" s="70">
        <f>0.0101029576215634-(+I270/52)</f>
        <v>9.7371882725977889E-3</v>
      </c>
      <c r="K270" s="70">
        <f>0.0615008247744-(+J270/52)</f>
        <v>6.1313571153773117E-2</v>
      </c>
      <c r="L270" s="70">
        <f>0.0281890767327661-(+K270/52)</f>
        <v>2.7009969595193542E-2</v>
      </c>
      <c r="M270" s="70">
        <f>0.0295316435629612-(+L270/52)</f>
        <v>2.9012221070745938E-2</v>
      </c>
      <c r="N270" s="70">
        <f>0.0119006258847688-(+M270/52)</f>
        <v>1.1342698556485224E-2</v>
      </c>
    </row>
    <row r="271" spans="1:14">
      <c r="A271" s="68">
        <v>2.23</v>
      </c>
      <c r="B271" s="69">
        <f t="shared" si="8"/>
        <v>2.23E-2</v>
      </c>
      <c r="C271" s="70">
        <f t="shared" si="9"/>
        <v>4.2884615384615384E-4</v>
      </c>
      <c r="F271" s="71">
        <v>39500</v>
      </c>
      <c r="G271" s="69">
        <v>1.8181468231231186E-3</v>
      </c>
      <c r="H271" s="70">
        <f>-0.0157076446005304-(+G271/52)</f>
        <v>-1.5742608962513536E-2</v>
      </c>
      <c r="I271" s="70">
        <f>0.030513514713062-(+H271/52)</f>
        <v>3.0816257193110336E-2</v>
      </c>
      <c r="J271" s="70">
        <f>-0.00458526860511989-(+I271/52)</f>
        <v>-5.177888935756627E-3</v>
      </c>
      <c r="K271" s="70">
        <f>-0.00978368960330633-(+J271/52)</f>
        <v>-9.6841148160802405E-3</v>
      </c>
      <c r="L271" s="70">
        <f>0.0301419358304983-(+K271/52)</f>
        <v>3.0328168807730614E-2</v>
      </c>
      <c r="M271" s="70">
        <f>-0.00339437737811724-(+L271/52)</f>
        <v>-3.9776113936505209E-3</v>
      </c>
      <c r="N271" s="70">
        <f>0.00188580623340943-(+M271/52)</f>
        <v>1.9622987602104015E-3</v>
      </c>
    </row>
    <row r="272" spans="1:14">
      <c r="A272" s="68">
        <v>2.1800000000000002</v>
      </c>
      <c r="B272" s="69">
        <f t="shared" si="8"/>
        <v>2.18E-2</v>
      </c>
      <c r="C272" s="70">
        <f t="shared" si="9"/>
        <v>4.1923076923076923E-4</v>
      </c>
      <c r="F272" s="71">
        <v>39507</v>
      </c>
      <c r="G272" s="69">
        <v>1.5119830404250079E-2</v>
      </c>
      <c r="H272" s="70">
        <f>-0.0129488444728823-(+G272/52)</f>
        <v>-1.3239610442194802E-2</v>
      </c>
      <c r="I272" s="70">
        <f>-0.00432229226078964-(+H272/52)</f>
        <v>-4.0676843676705089E-3</v>
      </c>
      <c r="J272" s="70">
        <f>0.0143092119280365-(+I272/52)</f>
        <v>1.438743662741478E-2</v>
      </c>
      <c r="K272" s="70">
        <f>0.0361226036919858-(+J272/52)</f>
        <v>3.5845922218381669E-2</v>
      </c>
      <c r="L272" s="70">
        <f>-0.0291118998546174-(+K272/52)</f>
        <v>-2.9801244512663201E-2</v>
      </c>
      <c r="M272" s="70">
        <f>0.0191687038206938-(+L272/52)</f>
        <v>1.9741804676706554E-2</v>
      </c>
      <c r="N272" s="70">
        <f>0.00112014730704315-(+M272/52)</f>
        <v>7.4049721710648547E-4</v>
      </c>
    </row>
    <row r="273" spans="1:14">
      <c r="A273" s="68">
        <v>1.97</v>
      </c>
      <c r="B273" s="69">
        <f t="shared" si="8"/>
        <v>1.9699999999999999E-2</v>
      </c>
      <c r="C273" s="70">
        <f t="shared" si="9"/>
        <v>3.7884615384615382E-4</v>
      </c>
      <c r="F273" s="71">
        <v>39514</v>
      </c>
      <c r="G273" s="69">
        <v>-7.0241277217576786E-3</v>
      </c>
      <c r="H273" s="70">
        <f>-0.0127836070977311-(+G273/52)</f>
        <v>-1.2648527718466529E-2</v>
      </c>
      <c r="I273" s="70">
        <f>-0.0420912455894258-(+H273/52)</f>
        <v>-4.184800467176298E-2</v>
      </c>
      <c r="J273" s="70">
        <f>-0.0231607514955973-(+I273/52)</f>
        <v>-2.2355982174986473E-2</v>
      </c>
      <c r="K273" s="70">
        <f>-0.0936337374119171-(+J273/52)</f>
        <v>-9.3203814677782756E-2</v>
      </c>
      <c r="L273" s="70">
        <f>-0.0441205953987728-(+K273/52)</f>
        <v>-4.2328214347276974E-2</v>
      </c>
      <c r="M273" s="70">
        <f>-0.042204696822183-(+L273/52)</f>
        <v>-4.1390692700119983E-2</v>
      </c>
      <c r="N273" s="70">
        <f>-0.00892560632302828-(+M273/52)</f>
        <v>-8.1296314634105877E-3</v>
      </c>
    </row>
    <row r="274" spans="1:14">
      <c r="A274" s="68">
        <v>1.52</v>
      </c>
      <c r="B274" s="69">
        <f t="shared" si="8"/>
        <v>1.52E-2</v>
      </c>
      <c r="C274" s="70">
        <f t="shared" si="9"/>
        <v>2.923076923076923E-4</v>
      </c>
      <c r="F274" s="71">
        <v>39521</v>
      </c>
      <c r="G274" s="69">
        <v>8.9331924960666057E-3</v>
      </c>
      <c r="H274" s="70">
        <f>0.00163603278743263-(+G274/52)</f>
        <v>1.4642406240467339E-3</v>
      </c>
      <c r="I274" s="70">
        <f>-0.0106215184933119-(+H274/52)</f>
        <v>-1.0649676966851261E-2</v>
      </c>
      <c r="J274" s="70">
        <f>0.0130612982164898-(+I274/52)</f>
        <v>1.3266099696621556E-2</v>
      </c>
      <c r="K274" s="70">
        <f>-0.0430462096637267-(+J274/52)</f>
        <v>-4.3301326965584808E-2</v>
      </c>
      <c r="L274" s="70">
        <f>0.00243761208349088-(+K274/52)</f>
        <v>3.2703299097521263E-3</v>
      </c>
      <c r="M274" s="70">
        <f>-0.00623612874633764-(+L274/52)</f>
        <v>-6.2990197061405656E-3</v>
      </c>
      <c r="N274" s="70">
        <f>0.0115165324617749-(+M274/52)</f>
        <v>1.1637667456123758E-2</v>
      </c>
    </row>
    <row r="275" spans="1:14">
      <c r="A275" s="68">
        <v>1.34</v>
      </c>
      <c r="B275" s="69">
        <f t="shared" si="8"/>
        <v>1.34E-2</v>
      </c>
      <c r="C275" s="70">
        <f t="shared" si="9"/>
        <v>2.5769230769230768E-4</v>
      </c>
      <c r="F275" s="71">
        <v>39528</v>
      </c>
      <c r="G275" s="69">
        <v>3.7575348920717276E-3</v>
      </c>
      <c r="H275" s="70">
        <f>-0.024211514636355-(+G275/52)</f>
        <v>-2.4283774922740996E-2</v>
      </c>
      <c r="I275" s="70">
        <f>-0.0469553821176379-(+H275/52)</f>
        <v>-4.6488386446046727E-2</v>
      </c>
      <c r="J275" s="70">
        <f>-0.0125490329263529-(+I275/52)</f>
        <v>-1.1655025494698155E-2</v>
      </c>
      <c r="K275" s="70">
        <f>-0.0247558037465214-(+J275/52)</f>
        <v>-2.4531668640854126E-2</v>
      </c>
      <c r="L275" s="70">
        <f>0.00708482164309402-(+K275/52)</f>
        <v>7.5565845015719835E-3</v>
      </c>
      <c r="M275" s="70">
        <f>-0.0499154096086191-(+L275/52)</f>
        <v>-5.0060728541341637E-2</v>
      </c>
      <c r="N275" s="70">
        <f>-0.0361846128756065-(+M275/52)</f>
        <v>-3.5221906557503777E-2</v>
      </c>
    </row>
    <row r="276" spans="1:14">
      <c r="A276" s="68">
        <v>0.81</v>
      </c>
      <c r="B276" s="69">
        <f t="shared" si="8"/>
        <v>8.1000000000000013E-3</v>
      </c>
      <c r="C276" s="70">
        <f t="shared" si="9"/>
        <v>1.5576923076923078E-4</v>
      </c>
      <c r="F276" s="71">
        <v>39535</v>
      </c>
      <c r="G276" s="69">
        <v>-1.3254931003168916E-3</v>
      </c>
      <c r="H276" s="70">
        <f>-0.00329653436879064-(+G276/52)</f>
        <v>-3.2710441168614687E-3</v>
      </c>
      <c r="I276" s="70">
        <f>0.0678502403064977-(+H276/52)</f>
        <v>6.7913145001052722E-2</v>
      </c>
      <c r="J276" s="70">
        <f>0.0106147893379192-(+I276/52)</f>
        <v>9.3087673186681864E-3</v>
      </c>
      <c r="K276" s="70">
        <f>0.0975758446242479-(+J276/52)</f>
        <v>9.7396829868119664E-2</v>
      </c>
      <c r="L276" s="70">
        <f>0.018957765268054-(+K276/52)</f>
        <v>1.7084749309051701E-2</v>
      </c>
      <c r="M276" s="70">
        <f>0.0547730363030157-(+L276/52)</f>
        <v>5.4444483431687785E-2</v>
      </c>
      <c r="N276" s="70">
        <f>0.0197497832018443-(+M276/52)</f>
        <v>1.8702773905081075E-2</v>
      </c>
    </row>
    <row r="277" spans="1:14">
      <c r="A277" s="68">
        <v>1.27</v>
      </c>
      <c r="B277" s="69">
        <f t="shared" si="8"/>
        <v>1.2699999999999999E-2</v>
      </c>
      <c r="C277" s="70">
        <f t="shared" si="9"/>
        <v>2.4423076923076921E-4</v>
      </c>
      <c r="F277" s="71">
        <v>39542</v>
      </c>
      <c r="G277" s="69">
        <v>-2.110145332246681E-3</v>
      </c>
      <c r="H277" s="70">
        <f>0.0441562892722496-(+G277/52)</f>
        <v>4.4196868990177419E-2</v>
      </c>
      <c r="I277" s="70">
        <f>0.0114456866450972-(+H277/52)</f>
        <v>1.0595746856824557E-2</v>
      </c>
      <c r="J277" s="70">
        <f>0.0235250075509743-(+I277/52)</f>
        <v>2.3321243188343058E-2</v>
      </c>
      <c r="K277" s="70">
        <f>0.0467523176959136-(+J277/52)</f>
        <v>4.6303832249983926E-2</v>
      </c>
      <c r="L277" s="70">
        <f>0.0556815122082564-(+K277/52)</f>
        <v>5.4791053895756711E-2</v>
      </c>
      <c r="M277" s="70">
        <f>0.0338562820956564-(+L277/52)</f>
        <v>3.2802607982276466E-2</v>
      </c>
      <c r="N277" s="70">
        <f>0.0257348937780982-(+M277/52)</f>
        <v>2.5104074393823651E-2</v>
      </c>
    </row>
    <row r="278" spans="1:14">
      <c r="A278" s="68">
        <v>1.37</v>
      </c>
      <c r="B278" s="69">
        <f t="shared" si="8"/>
        <v>1.37E-2</v>
      </c>
      <c r="C278" s="70">
        <f t="shared" si="9"/>
        <v>2.6346153846153848E-4</v>
      </c>
      <c r="F278" s="71">
        <v>39549</v>
      </c>
      <c r="G278" s="69">
        <v>5.9421493254363869E-3</v>
      </c>
      <c r="H278" s="70">
        <f>-0.0102576727392089-(+G278/52)</f>
        <v>-1.0371944841621138E-2</v>
      </c>
      <c r="I278" s="70">
        <f>-0.0276839074817177-(+H278/52)</f>
        <v>-2.7484447003994217E-2</v>
      </c>
      <c r="J278" s="70">
        <f>-0.024783976658257-(+I278/52)</f>
        <v>-2.425542960048788E-2</v>
      </c>
      <c r="K278" s="70">
        <f>-0.0284370459476654-(+J278/52)</f>
        <v>-2.7970595378425247E-2</v>
      </c>
      <c r="L278" s="70">
        <f>-0.0353814734040588-(+K278/52)</f>
        <v>-3.4843577339089084E-2</v>
      </c>
      <c r="M278" s="70">
        <f>-0.0304416446891952-(+L278/52)</f>
        <v>-2.9771575894212719E-2</v>
      </c>
      <c r="N278" s="70">
        <f>-0.0111013376201887-(+M278/52)</f>
        <v>-1.0528807314530764E-2</v>
      </c>
    </row>
    <row r="279" spans="1:14">
      <c r="A279" s="68">
        <v>1.31</v>
      </c>
      <c r="B279" s="69">
        <f t="shared" si="8"/>
        <v>1.3100000000000001E-2</v>
      </c>
      <c r="C279" s="70">
        <f t="shared" si="9"/>
        <v>2.5192307692307694E-4</v>
      </c>
      <c r="F279" s="71">
        <v>39556</v>
      </c>
      <c r="G279" s="69">
        <v>-9.8944475817045463E-3</v>
      </c>
      <c r="H279" s="70">
        <f>0.00949617223558015-(+G279/52)</f>
        <v>9.6864500736898521E-3</v>
      </c>
      <c r="I279" s="70">
        <f>0.000710093093856013-(+H279/52)</f>
        <v>5.2381520782351584E-4</v>
      </c>
      <c r="J279" s="70">
        <f>0.0186672121925023-(+I279/52)</f>
        <v>1.8657138823121078E-2</v>
      </c>
      <c r="K279" s="70">
        <f>0.0449677882402056-(+J279/52)</f>
        <v>4.460899710899173E-2</v>
      </c>
      <c r="L279" s="70">
        <f>0.0551275922489518-(+K279/52)</f>
        <v>5.4269726919932731E-2</v>
      </c>
      <c r="M279" s="70">
        <f>0.0205769291751964-(+L279/52)</f>
        <v>1.9533280580582308E-2</v>
      </c>
      <c r="N279" s="70">
        <f>0.0395566870124426-(+M279/52)</f>
        <v>3.9181047001277558E-2</v>
      </c>
    </row>
    <row r="280" spans="1:14">
      <c r="A280" s="68">
        <v>1.1599999999999999</v>
      </c>
      <c r="B280" s="69">
        <f t="shared" si="8"/>
        <v>1.1599999999999999E-2</v>
      </c>
      <c r="C280" s="70">
        <f t="shared" si="9"/>
        <v>2.2307692307692306E-4</v>
      </c>
      <c r="F280" s="71">
        <v>39563</v>
      </c>
      <c r="G280" s="69">
        <v>-2.4730672826319532E-3</v>
      </c>
      <c r="H280" s="70">
        <f>-0.00425443375512639-(+G280/52)</f>
        <v>-4.2068747689219298E-3</v>
      </c>
      <c r="I280" s="70">
        <f>0.0157183777097845-(+H280/52)</f>
        <v>1.5799279147648383E-2</v>
      </c>
      <c r="J280" s="70">
        <f>0.0238184891388025-(+I280/52)</f>
        <v>2.3514656847501567E-2</v>
      </c>
      <c r="K280" s="70">
        <f>0.0616922474914009-(+J280/52)</f>
        <v>6.1240042552025871E-2</v>
      </c>
      <c r="L280" s="70">
        <f>0.0393507400281647-(+K280/52)</f>
        <v>3.8173046902164207E-2</v>
      </c>
      <c r="M280" s="70">
        <f>0.00526146803243874-(+L280/52)</f>
        <v>4.5273709766278898E-3</v>
      </c>
      <c r="N280" s="70">
        <f>-0.000368811345620488-(+M280/52)</f>
        <v>-4.5587617209410126E-4</v>
      </c>
    </row>
    <row r="281" spans="1:14">
      <c r="A281" s="68">
        <v>1.28</v>
      </c>
      <c r="B281" s="69">
        <f t="shared" si="8"/>
        <v>1.2800000000000001E-2</v>
      </c>
      <c r="C281" s="70">
        <f t="shared" si="9"/>
        <v>2.4615384615384614E-4</v>
      </c>
      <c r="F281" s="71">
        <v>39570</v>
      </c>
      <c r="G281" s="69">
        <v>2.9668413264544603E-3</v>
      </c>
      <c r="H281" s="70">
        <f>0.00873218370578926-(+G281/52)</f>
        <v>8.6751290648959048E-3</v>
      </c>
      <c r="I281" s="70">
        <f>0.00128505459078549-(+H281/52)</f>
        <v>1.118225185691338E-3</v>
      </c>
      <c r="J281" s="70">
        <f>-0.00952559979404106-(+I281/52)</f>
        <v>-9.5471041245351242E-3</v>
      </c>
      <c r="K281" s="70">
        <f>-0.0123431652525337-(+J281/52)</f>
        <v>-1.215956709629264E-2</v>
      </c>
      <c r="L281" s="70">
        <f>0.00923809116139622-(+K281/52)</f>
        <v>9.4719289901710781E-3</v>
      </c>
      <c r="M281" s="70">
        <f>0.0202866297818853-(+L281/52)</f>
        <v>2.0104477301305088E-2</v>
      </c>
      <c r="N281" s="70">
        <f>0.00526364982462702-(+M281/52)</f>
        <v>4.8770252611403837E-3</v>
      </c>
    </row>
    <row r="282" spans="1:14">
      <c r="A282" s="68">
        <v>1.43</v>
      </c>
      <c r="B282" s="69">
        <f t="shared" si="8"/>
        <v>1.43E-2</v>
      </c>
      <c r="C282" s="70">
        <f t="shared" si="9"/>
        <v>2.7500000000000002E-4</v>
      </c>
      <c r="F282" s="71">
        <v>39577</v>
      </c>
      <c r="G282" s="69">
        <v>4.7252128157127893E-3</v>
      </c>
      <c r="H282" s="70">
        <f>-0.0168552800854757-(+G282/52)</f>
        <v>-1.6946149562700945E-2</v>
      </c>
      <c r="I282" s="70">
        <f>-0.0300624099855976-(+H282/52)</f>
        <v>-2.9736522494007194E-2</v>
      </c>
      <c r="J282" s="70">
        <f>-0.0376189258100984-(+I282/52)</f>
        <v>-3.7047069608290573E-2</v>
      </c>
      <c r="K282" s="70">
        <f>-0.0595539132409008-(+J282/52)</f>
        <v>-5.8841469594587519E-2</v>
      </c>
      <c r="L282" s="70">
        <f>0.00531380811084985-(+K282/52)</f>
        <v>6.4453748338226865E-3</v>
      </c>
      <c r="M282" s="70">
        <f>-0.0114715030092499-(+L282/52)</f>
        <v>-1.1595452525284952E-2</v>
      </c>
      <c r="N282" s="70">
        <f>0.0271346849293618-(+M282/52)</f>
        <v>2.7357674401001893E-2</v>
      </c>
    </row>
    <row r="283" spans="1:14">
      <c r="A283" s="68">
        <v>1.61</v>
      </c>
      <c r="B283" s="69">
        <f t="shared" si="8"/>
        <v>1.61E-2</v>
      </c>
      <c r="C283" s="70">
        <f t="shared" si="9"/>
        <v>3.0961538461538464E-4</v>
      </c>
      <c r="F283" s="71">
        <v>39584</v>
      </c>
      <c r="G283" s="69">
        <v>-7.6824605541948691E-4</v>
      </c>
      <c r="H283" s="70">
        <f>0.0180591288147622-(+G283/52)</f>
        <v>1.8073902777366421E-2</v>
      </c>
      <c r="I283" s="70">
        <f>0.0198246534480312-(+H283/52)</f>
        <v>1.9477078394620307E-2</v>
      </c>
      <c r="J283" s="70">
        <f>0.0130112321015176-(+I283/52)</f>
        <v>1.2636672901621055E-2</v>
      </c>
      <c r="K283" s="70">
        <f>0.0165270909988956-(+J283/52)</f>
        <v>1.6284078058479808E-2</v>
      </c>
      <c r="L283" s="70">
        <f>0.0388279630903602-(+K283/52)</f>
        <v>3.851480774308174E-2</v>
      </c>
      <c r="M283" s="70">
        <f>0.0140324711586917-(+L283/52)</f>
        <v>1.3291801779017051E-2</v>
      </c>
      <c r="N283" s="70">
        <f>0.0153885733887259-(+M283/52)</f>
        <v>1.5132961816052495E-2</v>
      </c>
    </row>
    <row r="284" spans="1:14">
      <c r="A284" s="68">
        <v>1.79</v>
      </c>
      <c r="B284" s="69">
        <f t="shared" si="8"/>
        <v>1.7899999999999999E-2</v>
      </c>
      <c r="C284" s="70">
        <f t="shared" si="9"/>
        <v>3.442307692307692E-4</v>
      </c>
      <c r="F284" s="71">
        <v>39591</v>
      </c>
      <c r="G284" s="69">
        <v>-1.5564888336050456E-3</v>
      </c>
      <c r="H284" s="70">
        <f>0.0113175280078863-(+G284/52)</f>
        <v>1.1347460485455627E-2</v>
      </c>
      <c r="I284" s="70">
        <f>-0.0269813793215019-(+H284/52)</f>
        <v>-2.7199599715452973E-2</v>
      </c>
      <c r="J284" s="70">
        <f>0.00238261495164947-(+I284/52)</f>
        <v>2.9056841769466426E-3</v>
      </c>
      <c r="K284" s="70">
        <f>-0.0283648255417188-(+J284/52)</f>
        <v>-2.8420704083583159E-2</v>
      </c>
      <c r="L284" s="70">
        <f>-0.0403148872756266-(+K284/52)</f>
        <v>-3.9768335274019233E-2</v>
      </c>
      <c r="M284" s="70">
        <f>0.00205173322766856-(+L284/52)</f>
        <v>2.8165089060150834E-3</v>
      </c>
      <c r="N284" s="70">
        <f>-0.00235541416814487-(+M284/52)</f>
        <v>-2.4095778009528526E-3</v>
      </c>
    </row>
    <row r="285" spans="1:14">
      <c r="A285" s="68">
        <v>1.82</v>
      </c>
      <c r="B285" s="69">
        <f t="shared" si="8"/>
        <v>1.8200000000000001E-2</v>
      </c>
      <c r="C285" s="70">
        <f t="shared" si="9"/>
        <v>3.5E-4</v>
      </c>
      <c r="F285" s="71">
        <v>39598</v>
      </c>
      <c r="G285" s="69">
        <v>-9.8378418863044621E-3</v>
      </c>
      <c r="H285" s="70">
        <f>0.0135012144091941-(+G285/52)</f>
        <v>1.3690403676238416E-2</v>
      </c>
      <c r="I285" s="70">
        <f>-0.0299741292738241-(+H285/52)</f>
        <v>-3.0237406267597917E-2</v>
      </c>
      <c r="J285" s="70">
        <f>0.0401464168404699-(+I285/52)</f>
        <v>4.0727905422539089E-2</v>
      </c>
      <c r="K285" s="70">
        <f>0.00419730125329057-(+J285/52)</f>
        <v>3.4140723028571254E-3</v>
      </c>
      <c r="L285" s="70">
        <f>0.0405350785828655-(+K285/52)</f>
        <v>4.0469423346272092E-2</v>
      </c>
      <c r="M285" s="70">
        <f>-0.0190645022921637-(+L285/52)</f>
        <v>-1.9842760433438165E-2</v>
      </c>
      <c r="N285" s="70">
        <f>0.000978252690195078-(+M285/52)</f>
        <v>1.3598442369919658E-3</v>
      </c>
    </row>
    <row r="286" spans="1:14">
      <c r="A286" s="68">
        <v>1.86</v>
      </c>
      <c r="B286" s="69">
        <f t="shared" si="8"/>
        <v>1.8600000000000002E-2</v>
      </c>
      <c r="C286" s="70">
        <f t="shared" si="9"/>
        <v>3.5769230769230773E-4</v>
      </c>
      <c r="F286" s="71">
        <v>39605</v>
      </c>
      <c r="G286" s="69">
        <v>1.3905389787566703E-3</v>
      </c>
      <c r="H286" s="70">
        <f>-0.0324611836721682-(+G286/52)</f>
        <v>-3.2487924806375058E-2</v>
      </c>
      <c r="I286" s="70">
        <f>-0.0229267222465994-(+H286/52)</f>
        <v>-2.2301954461861419E-2</v>
      </c>
      <c r="J286" s="70">
        <f>-0.0161182301201054-(+I286/52)</f>
        <v>-1.5689346380454217E-2</v>
      </c>
      <c r="K286" s="70">
        <f>-0.0102283759096008-(+J286/52)</f>
        <v>-9.9266577099766818E-3</v>
      </c>
      <c r="L286" s="70">
        <f>-0.0653582565376931-(+K286/52)</f>
        <v>-6.5167359274039702E-2</v>
      </c>
      <c r="M286" s="70">
        <f>-0.02265995716028-(+L286/52)</f>
        <v>-2.1406738712702312E-2</v>
      </c>
      <c r="N286" s="70">
        <f>-0.00428976845587135-(+M286/52)</f>
        <v>-3.8781004037039975E-3</v>
      </c>
    </row>
    <row r="287" spans="1:14">
      <c r="A287" s="68">
        <v>1.82</v>
      </c>
      <c r="B287" s="69">
        <f t="shared" si="8"/>
        <v>1.8200000000000001E-2</v>
      </c>
      <c r="C287" s="70">
        <f t="shared" si="9"/>
        <v>3.5E-4</v>
      </c>
      <c r="F287" s="71">
        <v>39612</v>
      </c>
      <c r="G287" s="69">
        <v>-1.8944660895316257E-2</v>
      </c>
      <c r="H287" s="70">
        <f>-0.0104291951561084-(+G287/52)</f>
        <v>-1.0064874754275394E-2</v>
      </c>
      <c r="I287" s="70">
        <f>-0.0678820029190523-(+H287/52)</f>
        <v>-6.7688447635316243E-2</v>
      </c>
      <c r="J287" s="70">
        <f>-0.0139152461261737-(+I287/52)</f>
        <v>-1.2613545210109926E-2</v>
      </c>
      <c r="K287" s="70">
        <f>-0.0735398452715098-(+J287/52)</f>
        <v>-7.3297277094392294E-2</v>
      </c>
      <c r="L287" s="70">
        <f>0.0257540343635776-(+K287/52)</f>
        <v>2.7163597384623605E-2</v>
      </c>
      <c r="M287" s="70">
        <f>-0.0636277203358431-(+L287/52)</f>
        <v>-6.4150097208624329E-2</v>
      </c>
      <c r="N287" s="70">
        <f>-0.0118347104318159-(+M287/52)</f>
        <v>-1.0601054716265433E-2</v>
      </c>
    </row>
    <row r="288" spans="1:14">
      <c r="A288" s="68">
        <v>1.93</v>
      </c>
      <c r="B288" s="69">
        <f t="shared" si="8"/>
        <v>1.9299999999999998E-2</v>
      </c>
      <c r="C288" s="70">
        <f t="shared" si="9"/>
        <v>3.7115384615384609E-4</v>
      </c>
      <c r="F288" s="71">
        <v>39619</v>
      </c>
      <c r="G288" s="69">
        <v>3.8393676832931874E-3</v>
      </c>
      <c r="H288" s="70">
        <f>-0.016044531761624-(+G288/52)</f>
        <v>-1.6118365755533486E-2</v>
      </c>
      <c r="I288" s="70">
        <f>-0.0314556075821678-(+H288/52)</f>
        <v>-3.1145639009945998E-2</v>
      </c>
      <c r="J288" s="70">
        <f>-0.0150780468825176-(+I288/52)</f>
        <v>-1.4479092286172484E-2</v>
      </c>
      <c r="K288" s="70">
        <f>0.00413102110054794-(+J288/52)</f>
        <v>4.409465182974334E-3</v>
      </c>
      <c r="L288" s="70">
        <f>0.000619872095107067-(+K288/52)</f>
        <v>5.35074687742176E-4</v>
      </c>
      <c r="M288" s="70">
        <f>-0.0437989719392421-(+L288/52)</f>
        <v>-4.3809261837083294E-2</v>
      </c>
      <c r="N288" s="70">
        <f>0.00330450644904044-(+M288/52)</f>
        <v>4.1469922535997336E-3</v>
      </c>
    </row>
    <row r="289" spans="1:14">
      <c r="A289" s="68">
        <v>1.92</v>
      </c>
      <c r="B289" s="69">
        <f t="shared" si="8"/>
        <v>1.9199999999999998E-2</v>
      </c>
      <c r="C289" s="70">
        <f t="shared" si="9"/>
        <v>3.6923076923076921E-4</v>
      </c>
      <c r="F289" s="71">
        <v>39626</v>
      </c>
      <c r="G289" s="69">
        <v>2.0877996566348628E-3</v>
      </c>
      <c r="H289" s="70">
        <f>-0.032341577596661-(+G289/52)</f>
        <v>-3.2381727590057828E-2</v>
      </c>
      <c r="I289" s="70">
        <f>-0.0426707705221924-(+H289/52)</f>
        <v>-4.204804499161436E-2</v>
      </c>
      <c r="J289" s="70">
        <f>-0.0392449207583075-(+I289/52)</f>
        <v>-3.8436304508468765E-2</v>
      </c>
      <c r="K289" s="70">
        <f>-0.0383752939675131-(+J289/52)</f>
        <v>-3.7636134265427161E-2</v>
      </c>
      <c r="L289" s="70">
        <f>-0.0469158404662427-(+K289/52)</f>
        <v>-4.6192068653446022E-2</v>
      </c>
      <c r="M289" s="70">
        <f>-0.0629045481163381-(+L289/52)</f>
        <v>-6.2016239103771825E-2</v>
      </c>
      <c r="N289" s="70">
        <f>-0.000566388866413166-(+M289/52)</f>
        <v>6.2623111635167687E-4</v>
      </c>
    </row>
    <row r="290" spans="1:14">
      <c r="A290" s="68">
        <v>1.75</v>
      </c>
      <c r="B290" s="69">
        <f t="shared" si="8"/>
        <v>1.7500000000000002E-2</v>
      </c>
      <c r="C290" s="70">
        <f t="shared" si="9"/>
        <v>3.3653846153846158E-4</v>
      </c>
      <c r="F290" s="71">
        <v>39633</v>
      </c>
      <c r="G290" s="69">
        <v>-1.8251662198820169E-3</v>
      </c>
      <c r="H290" s="70">
        <f>-0.00339237938692356-(+G290/52)</f>
        <v>-3.3572800365412134E-3</v>
      </c>
      <c r="I290" s="70">
        <f>-0.0176748302136487-(+H290/52)</f>
        <v>-1.7610267136022907E-2</v>
      </c>
      <c r="J290" s="70">
        <f>-0.00526129631267136-(+I290/52)</f>
        <v>-4.9226373292863036E-3</v>
      </c>
      <c r="K290" s="70">
        <f>-0.0661794444023155-(+J290/52)</f>
        <v>-6.6084778299829228E-2</v>
      </c>
      <c r="L290" s="70">
        <f>-0.0400628921682547-(+K290/52)</f>
        <v>-3.8792031047104138E-2</v>
      </c>
      <c r="M290" s="70">
        <f>-0.0358278098793103-(+L290/52)</f>
        <v>-3.5081809282250603E-2</v>
      </c>
      <c r="N290" s="70">
        <f>-0.0179204129838464-(+M290/52)</f>
        <v>-1.7245762805341579E-2</v>
      </c>
    </row>
    <row r="291" spans="1:14">
      <c r="A291" s="68">
        <v>1.83</v>
      </c>
      <c r="B291" s="69">
        <f t="shared" si="8"/>
        <v>1.83E-2</v>
      </c>
      <c r="C291" s="70">
        <f t="shared" si="9"/>
        <v>3.5192307692307693E-4</v>
      </c>
      <c r="F291" s="71">
        <v>39640</v>
      </c>
      <c r="G291" s="69">
        <v>5.6319661718144936E-3</v>
      </c>
      <c r="H291" s="70">
        <f>-0.000614110504798808-(+G291/52)</f>
        <v>-7.2241754656447135E-4</v>
      </c>
      <c r="I291" s="70">
        <f>-0.0141950947372771-(+H291/52)</f>
        <v>-1.418120209215086E-2</v>
      </c>
      <c r="J291" s="70">
        <f>-0.009778212364994-(+I291/52)</f>
        <v>-9.505496940144945E-3</v>
      </c>
      <c r="K291" s="70">
        <f>0.00866878931323034-(+J291/52)</f>
        <v>8.8515873313100516E-3</v>
      </c>
      <c r="L291" s="70">
        <f>-0.00126437912081684-(+K291/52)</f>
        <v>-1.4346019541112641E-3</v>
      </c>
      <c r="M291" s="70">
        <f>-0.0154426474591357-(+L291/52)</f>
        <v>-1.5415058960018177E-2</v>
      </c>
      <c r="N291" s="70">
        <f>-0.00421877500351556-(+M291/52)</f>
        <v>-3.9223315619767492E-3</v>
      </c>
    </row>
    <row r="292" spans="1:14">
      <c r="A292" s="68">
        <v>1.74</v>
      </c>
      <c r="B292" s="69">
        <f t="shared" si="8"/>
        <v>1.7399999999999999E-2</v>
      </c>
      <c r="C292" s="70">
        <f t="shared" si="9"/>
        <v>3.3461538461538459E-4</v>
      </c>
      <c r="F292" s="71">
        <v>39647</v>
      </c>
      <c r="G292" s="69">
        <v>-1.1386649048172435E-2</v>
      </c>
      <c r="H292" s="70">
        <f>0.00625607172536492-(+G292/52)</f>
        <v>6.475045745522082E-3</v>
      </c>
      <c r="I292" s="70">
        <f>0.00561307901907352-(+H292/52)</f>
        <v>5.4885589085827101E-3</v>
      </c>
      <c r="J292" s="70">
        <f>0.0268683513622695-(+I292/52)</f>
        <v>2.6762802152489065E-2</v>
      </c>
      <c r="K292" s="70">
        <f>-0.0137199979872864-(+J292/52)</f>
        <v>-1.423466725944965E-2</v>
      </c>
      <c r="L292" s="70">
        <f>-0.00508569745828745-(+K292/52)</f>
        <v>-4.8119538571441871E-3</v>
      </c>
      <c r="M292" s="70">
        <f>0.00653901686539723-(+L292/52)</f>
        <v>6.6315544395730798E-3</v>
      </c>
      <c r="N292" s="70">
        <f>-0.0236229675044194-(+M292/52)</f>
        <v>-2.3750497397488114E-2</v>
      </c>
    </row>
    <row r="293" spans="1:14">
      <c r="A293" s="68">
        <v>1.41</v>
      </c>
      <c r="B293" s="69">
        <f t="shared" si="8"/>
        <v>1.41E-2</v>
      </c>
      <c r="C293" s="70">
        <f t="shared" si="9"/>
        <v>2.7115384615384615E-4</v>
      </c>
      <c r="F293" s="71">
        <v>39654</v>
      </c>
      <c r="G293" s="69">
        <v>-1.8069758388549663E-3</v>
      </c>
      <c r="H293" s="70">
        <f>0.00268112106919148-(+G293/52)</f>
        <v>2.7158706045540756E-3</v>
      </c>
      <c r="I293" s="70">
        <f>0.0391097549283211-(+H293/52)</f>
        <v>3.9057526647464286E-2</v>
      </c>
      <c r="J293" s="70">
        <f>0.0213615064517257-(+I293/52)</f>
        <v>2.0610400170043695E-2</v>
      </c>
      <c r="K293" s="70">
        <f>0.0456745404146047-(+J293/52)</f>
        <v>4.5278186565180782E-2</v>
      </c>
      <c r="L293" s="70">
        <f>0.0396268111252388-(+K293/52)</f>
        <v>3.8756076768216095E-2</v>
      </c>
      <c r="M293" s="70">
        <f>0.0547627456366387-(+L293/52)</f>
        <v>5.401743646801916E-2</v>
      </c>
      <c r="N293" s="70">
        <f>0.00665835411471317-(+M293/52)</f>
        <v>5.6195572595589558E-3</v>
      </c>
    </row>
    <row r="294" spans="1:14">
      <c r="A294" s="68">
        <v>1.57</v>
      </c>
      <c r="B294" s="69">
        <f t="shared" si="8"/>
        <v>1.5700000000000002E-2</v>
      </c>
      <c r="C294" s="70">
        <f t="shared" si="9"/>
        <v>3.0192307692307696E-4</v>
      </c>
      <c r="F294" s="71">
        <v>39661</v>
      </c>
      <c r="G294" s="69">
        <v>5.3049827882674849E-3</v>
      </c>
      <c r="H294" s="70">
        <f>-0.0185204519616715-(+G294/52)</f>
        <v>-1.8622470861445875E-2</v>
      </c>
      <c r="I294" s="70">
        <f>-0.0141372241456087-(+H294/52)</f>
        <v>-1.3779099705965511E-2</v>
      </c>
      <c r="J294" s="70">
        <f>-0.0198448192482335-(+I294/52)</f>
        <v>-1.9579836561580317E-2</v>
      </c>
      <c r="K294" s="70">
        <f>-0.0536780682010383-(+J294/52)</f>
        <v>-5.3301532882546368E-2</v>
      </c>
      <c r="L294" s="70">
        <f>0.00275640468158542-(+K294/52)</f>
        <v>3.7814341600959272E-3</v>
      </c>
      <c r="M294" s="70">
        <f>-0.0563921740460414-(+L294/52)</f>
        <v>-5.6464893933735556E-2</v>
      </c>
      <c r="N294" s="70">
        <f>0.00537567815294678-(+M294/52)</f>
        <v>6.46154149782631E-3</v>
      </c>
    </row>
    <row r="295" spans="1:14">
      <c r="A295" s="68">
        <v>1.67</v>
      </c>
      <c r="B295" s="69">
        <f t="shared" si="8"/>
        <v>1.67E-2</v>
      </c>
      <c r="C295" s="70">
        <f t="shared" si="9"/>
        <v>3.2115384615384612E-4</v>
      </c>
      <c r="F295" s="71">
        <v>39668</v>
      </c>
      <c r="G295" s="69">
        <v>-1.1327683165225371E-3</v>
      </c>
      <c r="H295" s="70">
        <f>0.021937108107629-(+G295/52)</f>
        <v>2.1958892113715971E-2</v>
      </c>
      <c r="I295" s="70">
        <f>0.0168872865182484-(+H295/52)</f>
        <v>1.646500013144617E-2</v>
      </c>
      <c r="J295" s="70">
        <f>0.00308698575707549-(+I295/52)</f>
        <v>2.7703511391630638E-3</v>
      </c>
      <c r="K295" s="70">
        <f>-0.0173024771345392-(+J295/52)</f>
        <v>-1.7355753117984644E-2</v>
      </c>
      <c r="L295" s="70">
        <f>-0.0000648179255343321-(+K295/52)</f>
        <v>2.6894655750383411E-4</v>
      </c>
      <c r="M295" s="70">
        <f>0.00365793289554955-(+L295/52)</f>
        <v>3.6527608463667841E-3</v>
      </c>
      <c r="N295" s="70">
        <f>-0.0193228858663513-(+M295/52)</f>
        <v>-1.9393131267242972E-2</v>
      </c>
    </row>
    <row r="296" spans="1:14">
      <c r="A296" s="68">
        <v>1.67</v>
      </c>
      <c r="B296" s="69">
        <f t="shared" si="8"/>
        <v>1.67E-2</v>
      </c>
      <c r="C296" s="70">
        <f t="shared" si="9"/>
        <v>3.2115384615384612E-4</v>
      </c>
      <c r="F296" s="71">
        <v>39675</v>
      </c>
      <c r="G296" s="69">
        <v>-4.4174793291276177E-3</v>
      </c>
      <c r="H296" s="70">
        <f>-0.00529137246057499-(+G296/52)</f>
        <v>-5.206420935014844E-3</v>
      </c>
      <c r="I296" s="70">
        <f>-0.0471394214416338-(+H296/52)</f>
        <v>-4.7039297962114285E-2</v>
      </c>
      <c r="J296" s="70">
        <f>-0.0156224834917055-(+I296/52)</f>
        <v>-1.4717881607818688E-2</v>
      </c>
      <c r="K296" s="70">
        <f>0.00546331499403648-(+J296/52)</f>
        <v>5.7463511788022241E-3</v>
      </c>
      <c r="L296" s="70">
        <f>0.00862864681527065-(+K296/52)</f>
        <v>8.5181400618321457E-3</v>
      </c>
      <c r="M296" s="70">
        <f>-0.0201871622742311-(+L296/52)</f>
        <v>-2.0350972660035566E-2</v>
      </c>
      <c r="N296" s="70">
        <f>-0.00827139834873544-(+M296/52)</f>
        <v>-7.8800334898886035E-3</v>
      </c>
    </row>
    <row r="297" spans="1:14">
      <c r="A297" s="68">
        <v>1.83</v>
      </c>
      <c r="B297" s="69">
        <f t="shared" si="8"/>
        <v>1.83E-2</v>
      </c>
      <c r="C297" s="70">
        <f t="shared" si="9"/>
        <v>3.5192307692307693E-4</v>
      </c>
      <c r="F297" s="71">
        <v>39682</v>
      </c>
      <c r="G297" s="69">
        <v>9.9947283551629282E-4</v>
      </c>
      <c r="H297" s="70">
        <f>0.0171910608808894-(+G297/52)</f>
        <v>1.7171840249437163E-2</v>
      </c>
      <c r="I297" s="70">
        <f>0.0143374895534548-(+H297/52)</f>
        <v>1.4007261856350239E-2</v>
      </c>
      <c r="J297" s="70">
        <f>0.0103562331965474-(+I297/52)</f>
        <v>1.0086862776232972E-2</v>
      </c>
      <c r="K297" s="70">
        <f>-0.0132083807297483-(+J297/52)</f>
        <v>-1.3402358860060474E-2</v>
      </c>
      <c r="L297" s="70">
        <f>-0.0273119132188465-(+K297/52)</f>
        <v>-2.7054175548460721E-2</v>
      </c>
      <c r="M297" s="70">
        <f>-0.0494518467041753-(+L297/52)</f>
        <v>-4.8931574097474131E-2</v>
      </c>
      <c r="N297" s="70">
        <f>0.0124092362416584-(+M297/52)</f>
        <v>1.335022805122521E-2</v>
      </c>
    </row>
    <row r="298" spans="1:14">
      <c r="A298" s="68">
        <v>1.72</v>
      </c>
      <c r="B298" s="69">
        <f t="shared" si="8"/>
        <v>1.72E-2</v>
      </c>
      <c r="C298" s="70">
        <f t="shared" si="9"/>
        <v>3.3076923076923078E-4</v>
      </c>
      <c r="F298" s="71">
        <v>39689</v>
      </c>
      <c r="G298" s="69">
        <v>3.9065124891827698E-3</v>
      </c>
      <c r="H298" s="70">
        <f>-0.0140999628497128-(+G298/52)</f>
        <v>-1.4175088089889392E-2</v>
      </c>
      <c r="I298" s="70">
        <f>0.0293130074400388-(+H298/52)</f>
        <v>2.9585605287921288E-2</v>
      </c>
      <c r="J298" s="70">
        <f>-0.03278100189946-(+I298/52)</f>
        <v>-3.3349955847304637E-2</v>
      </c>
      <c r="K298" s="70">
        <f>0.0311486505541612-(+J298/52)</f>
        <v>3.1789995858917057E-2</v>
      </c>
      <c r="L298" s="70">
        <f>0.00648995936098001-(+K298/52)</f>
        <v>5.8786132867700664E-3</v>
      </c>
      <c r="M298" s="70">
        <f>0.00691723685443798-(+L298/52)</f>
        <v>6.8041865989231709E-3</v>
      </c>
      <c r="N298" s="70">
        <f>0.0114163021391177-(+M298/52)</f>
        <v>1.1285452396830715E-2</v>
      </c>
    </row>
    <row r="299" spans="1:14">
      <c r="A299" s="68">
        <v>1.69</v>
      </c>
      <c r="B299" s="69">
        <f t="shared" si="8"/>
        <v>1.6899999999999998E-2</v>
      </c>
      <c r="C299" s="70">
        <f t="shared" si="9"/>
        <v>3.2499999999999999E-4</v>
      </c>
      <c r="F299" s="71">
        <v>39696</v>
      </c>
      <c r="G299" s="69">
        <v>-2.7102510322304378E-3</v>
      </c>
      <c r="H299" s="70">
        <f>-0.0560470266321929-(+G299/52)</f>
        <v>-5.5994906420034622E-2</v>
      </c>
      <c r="I299" s="70">
        <f>-0.0661877390783192-(+H299/52)</f>
        <v>-6.5110913954856992E-2</v>
      </c>
      <c r="J299" s="70">
        <f>-0.079395102173795-(+I299/52)</f>
        <v>-7.8142969213124677E-2</v>
      </c>
      <c r="K299" s="70">
        <f>-0.0653486400371956-(+J299/52)</f>
        <v>-6.384589062925089E-2</v>
      </c>
      <c r="L299" s="70">
        <f>-0.0642601360815935-(+K299/52)</f>
        <v>-6.3032330492569455E-2</v>
      </c>
      <c r="M299" s="70">
        <f>-0.0673660498194139-(+L299/52)</f>
        <v>-6.6153889617633715E-2</v>
      </c>
      <c r="N299" s="70">
        <f>-0.0557592672317809-(+M299/52)</f>
        <v>-5.4487077046826406E-2</v>
      </c>
    </row>
    <row r="300" spans="1:14">
      <c r="A300" s="68">
        <v>1.67</v>
      </c>
      <c r="B300" s="69">
        <f t="shared" si="8"/>
        <v>1.67E-2</v>
      </c>
      <c r="C300" s="70">
        <f t="shared" si="9"/>
        <v>3.2115384615384612E-4</v>
      </c>
      <c r="F300" s="71">
        <v>39703</v>
      </c>
      <c r="G300" s="69">
        <v>-1.8402867360839078E-3</v>
      </c>
      <c r="H300" s="70">
        <f>0.0421298286556532-(+G300/52)</f>
        <v>4.2165218785193276E-2</v>
      </c>
      <c r="I300" s="70">
        <f>-0.00315735970640428-(+H300/52)</f>
        <v>-3.9682292984272276E-3</v>
      </c>
      <c r="J300" s="70">
        <f>0.0223150651265668-(+I300/52)</f>
        <v>2.2391377228459634E-2</v>
      </c>
      <c r="K300" s="70">
        <f>-0.055220872516853-(+J300/52)</f>
        <v>-5.5651475925092612E-2</v>
      </c>
      <c r="L300" s="70">
        <f>-0.00262238453208114-(+K300/52)</f>
        <v>-1.5521638412139746E-3</v>
      </c>
      <c r="M300" s="70">
        <f>0.020825223822499-(+L300/52)</f>
        <v>2.0855073127137729E-2</v>
      </c>
      <c r="N300" s="70">
        <f>-0.000120535597306301-(+M300/52)</f>
        <v>-5.2159469590510352E-4</v>
      </c>
    </row>
    <row r="301" spans="1:14">
      <c r="A301" s="68">
        <v>1.6</v>
      </c>
      <c r="B301" s="69">
        <f t="shared" si="8"/>
        <v>1.6E-2</v>
      </c>
      <c r="C301" s="70">
        <f t="shared" si="9"/>
        <v>3.076923076923077E-4</v>
      </c>
      <c r="F301" s="71">
        <v>39710</v>
      </c>
      <c r="G301" s="69">
        <v>-9.2543227087760766E-3</v>
      </c>
      <c r="H301" s="70">
        <f>0.0141139725381577-(+G301/52)</f>
        <v>1.4291940282557239E-2</v>
      </c>
      <c r="I301" s="70">
        <f>-0.0498826823608717-(+H301/52)</f>
        <v>-5.0157527366305493E-2</v>
      </c>
      <c r="J301" s="70">
        <f>0.0468099427857109-(+I301/52)</f>
        <v>4.7774510619678315E-2</v>
      </c>
      <c r="K301" s="70">
        <f>0.00933812370303833-(+J301/52)</f>
        <v>8.4193831141983616E-3</v>
      </c>
      <c r="L301" s="70">
        <f>0.0139528156274705-(+K301/52)</f>
        <v>1.3790904413735915E-2</v>
      </c>
      <c r="M301" s="70">
        <f>0.0359512111657012-(+L301/52)</f>
        <v>3.5686001465437045E-2</v>
      </c>
      <c r="N301" s="70">
        <f>0.0163738521531301-(+M301/52)</f>
        <v>1.5687582894179389E-2</v>
      </c>
    </row>
    <row r="302" spans="1:14">
      <c r="A302" s="68">
        <v>0.62</v>
      </c>
      <c r="B302" s="69">
        <f t="shared" si="8"/>
        <v>6.1999999999999998E-3</v>
      </c>
      <c r="C302" s="70">
        <f t="shared" si="9"/>
        <v>1.1923076923076923E-4</v>
      </c>
      <c r="F302" s="71">
        <v>39717</v>
      </c>
      <c r="G302" s="69">
        <v>-4.7963299251237166E-3</v>
      </c>
      <c r="H302" s="70">
        <f>-0.0116977075282563-(+G302/52)</f>
        <v>-1.1605470414311612E-2</v>
      </c>
      <c r="I302" s="70">
        <f>0.0075677986528954-(+H302/52)</f>
        <v>7.7909807762475466E-3</v>
      </c>
      <c r="J302" s="70">
        <f>-0.0381810165069859-(+I302/52)</f>
        <v>-3.8330843060375278E-2</v>
      </c>
      <c r="K302" s="70">
        <f>-0.0254039001488255-(+J302/52)</f>
        <v>-2.4666768551510593E-2</v>
      </c>
      <c r="L302" s="70">
        <f>-0.0652847229957225-(+K302/52)</f>
        <v>-6.4810362062039592E-2</v>
      </c>
      <c r="M302" s="70">
        <f>-0.0289133543171833-(+L302/52)</f>
        <v>-2.7667001200605616E-2</v>
      </c>
      <c r="N302" s="70">
        <f>-0.0171208151983333-(+M302/52)</f>
        <v>-1.6588757482937037E-2</v>
      </c>
    </row>
    <row r="303" spans="1:14">
      <c r="A303" s="68">
        <v>0.84</v>
      </c>
      <c r="B303" s="69">
        <f t="shared" si="8"/>
        <v>8.3999999999999995E-3</v>
      </c>
      <c r="C303" s="70">
        <f t="shared" si="9"/>
        <v>1.6153846153846153E-4</v>
      </c>
      <c r="F303" s="71">
        <v>39724</v>
      </c>
      <c r="G303" s="69">
        <v>-1.1397553802127409E-2</v>
      </c>
      <c r="H303" s="70">
        <f>-0.0330918669739875-(+G303/52)</f>
        <v>-3.2872683247023513E-2</v>
      </c>
      <c r="I303" s="70">
        <f>-0.0424748243004744-(+H303/52)</f>
        <v>-4.1842657314954713E-2</v>
      </c>
      <c r="J303" s="70">
        <f>-0.048105896004546-(+I303/52)</f>
        <v>-4.7301229517719943E-2</v>
      </c>
      <c r="K303" s="70">
        <f>-0.116976602318122-(+J303/52)</f>
        <v>-0.11606696328893508</v>
      </c>
      <c r="L303" s="70">
        <f>-0.113181375356968-(+K303/52)</f>
        <v>-0.11094931837064233</v>
      </c>
      <c r="M303" s="70">
        <f>-0.0487992147029381-(+L303/52)</f>
        <v>-4.6665573965041132E-2</v>
      </c>
      <c r="N303" s="70">
        <f>-0.0774622762282525-(+M303/52)</f>
        <v>-7.6564861344309398E-2</v>
      </c>
    </row>
    <row r="304" spans="1:14">
      <c r="A304" s="68">
        <v>0.76</v>
      </c>
      <c r="B304" s="69">
        <f t="shared" si="8"/>
        <v>7.6E-3</v>
      </c>
      <c r="C304" s="70">
        <f t="shared" si="9"/>
        <v>1.4615384615384615E-4</v>
      </c>
      <c r="F304" s="71">
        <v>39731</v>
      </c>
      <c r="G304" s="69">
        <v>-2.9252130831557629E-2</v>
      </c>
      <c r="H304" s="70">
        <f>-0.223425603852983-(+G304/52)</f>
        <v>-0.22286306287545304</v>
      </c>
      <c r="I304" s="70">
        <f>-0.236021741077531-(+H304/52)</f>
        <v>-0.23173591294531073</v>
      </c>
      <c r="J304" s="70">
        <f>-0.212386938832843-(+I304/52)</f>
        <v>-0.20793047896851008</v>
      </c>
      <c r="K304" s="70">
        <f>-0.257462237534709-(+J304/52)</f>
        <v>-0.25346357447762224</v>
      </c>
      <c r="L304" s="70">
        <f>-0.206629961892571-(+K304/52)</f>
        <v>-0.20175566238338594</v>
      </c>
      <c r="M304" s="70">
        <f>-0.211699192806785-(+L304/52)</f>
        <v>-0.20781927622248914</v>
      </c>
      <c r="N304" s="70">
        <f>-0.213840484098458-(+M304/52)</f>
        <v>-0.2098439595557178</v>
      </c>
    </row>
    <row r="305" spans="1:14">
      <c r="A305" s="68">
        <v>0.56999999999999995</v>
      </c>
      <c r="B305" s="69">
        <f t="shared" si="8"/>
        <v>5.6999999999999993E-3</v>
      </c>
      <c r="C305" s="70">
        <f t="shared" si="9"/>
        <v>1.096153846153846E-4</v>
      </c>
      <c r="F305" s="71">
        <v>39738</v>
      </c>
      <c r="G305" s="69">
        <v>-6.5203152749480258E-3</v>
      </c>
      <c r="H305" s="70">
        <f>0.124546799996868-(+G305/52)</f>
        <v>0.12467219067523239</v>
      </c>
      <c r="I305" s="70">
        <f>0.0194119643352974-(+H305/52)</f>
        <v>1.7014422206927546E-2</v>
      </c>
      <c r="J305" s="70">
        <f>0.182883020598464-(+I305/52)</f>
        <v>0.1825558201714077</v>
      </c>
      <c r="K305" s="70">
        <f>0.101123662949135-(+J305/52)</f>
        <v>9.7612974099684849E-2</v>
      </c>
      <c r="L305" s="70">
        <f>0.145053841399639-(+K305/52)</f>
        <v>0.14317666882079891</v>
      </c>
      <c r="M305" s="70">
        <f>0.0608028411815789-(+L305/52)</f>
        <v>5.8049443704255847E-2</v>
      </c>
      <c r="N305" s="70">
        <f>0.0905289657966318-(+M305/52)</f>
        <v>8.941263034078073E-2</v>
      </c>
    </row>
    <row r="306" spans="1:14">
      <c r="A306" s="68">
        <v>0.45</v>
      </c>
      <c r="B306" s="69">
        <f t="shared" si="8"/>
        <v>4.5000000000000005E-3</v>
      </c>
      <c r="C306" s="70">
        <f t="shared" si="9"/>
        <v>8.6538461538461547E-5</v>
      </c>
      <c r="F306" s="71">
        <v>39745</v>
      </c>
      <c r="G306" s="69">
        <v>3.9369895321741339E-3</v>
      </c>
      <c r="H306" s="70">
        <f>-0.0476644755166842-(+G306/52)</f>
        <v>-4.7740186853841397E-2</v>
      </c>
      <c r="I306" s="70">
        <f>-0.097311922329627-(+H306/52)</f>
        <v>-9.6393841813206968E-2</v>
      </c>
      <c r="J306" s="70">
        <f>-0.143930215653017-(+I306/52)</f>
        <v>-0.14207648792583993</v>
      </c>
      <c r="K306" s="70">
        <f>-0.248325111068713-(+J306/52)</f>
        <v>-0.245592870916293</v>
      </c>
      <c r="L306" s="70">
        <f>-0.135775286030501-(+K306/52)</f>
        <v>-0.13105234620518769</v>
      </c>
      <c r="M306" s="70">
        <f>-0.0890068668898609-(+L306/52)</f>
        <v>-8.6486629462838055E-2</v>
      </c>
      <c r="N306" s="70">
        <f>-0.0313308479163626-(+M306/52)</f>
        <v>-2.9667643503615712E-2</v>
      </c>
    </row>
    <row r="307" spans="1:14">
      <c r="A307" s="68">
        <v>1.04</v>
      </c>
      <c r="B307" s="69">
        <f t="shared" si="8"/>
        <v>1.04E-2</v>
      </c>
      <c r="C307" s="70">
        <f t="shared" si="9"/>
        <v>1.9999999999999998E-4</v>
      </c>
      <c r="F307" s="71">
        <v>39752</v>
      </c>
      <c r="G307" s="69">
        <v>-7.7231466940426517E-3</v>
      </c>
      <c r="H307" s="70">
        <f>0.0952962424047439-(+G307/52)</f>
        <v>9.5444764456552408E-2</v>
      </c>
      <c r="I307" s="70">
        <f>0.0284173964354206-(+H307/52)</f>
        <v>2.6581920195871515E-2</v>
      </c>
      <c r="J307" s="70">
        <f>0.169607195647388-(+I307/52)</f>
        <v>0.16909600487439047</v>
      </c>
      <c r="K307" s="70">
        <f>0.10714259813911-(+J307/52)</f>
        <v>0.10389075189152558</v>
      </c>
      <c r="L307" s="70">
        <f>0.136850544306439-(+K307/52)</f>
        <v>0.13485264523160198</v>
      </c>
      <c r="M307" s="70">
        <f>0.0629514133386982-(+L307/52)</f>
        <v>6.0358093238090472E-2</v>
      </c>
      <c r="N307" s="70">
        <f>0.099292577196743-(+M307/52)</f>
        <v>9.8131844634472026E-2</v>
      </c>
    </row>
    <row r="308" spans="1:14">
      <c r="A308" s="68">
        <v>0.61</v>
      </c>
      <c r="B308" s="69">
        <f t="shared" si="8"/>
        <v>6.0999999999999995E-3</v>
      </c>
      <c r="C308" s="70">
        <f t="shared" si="9"/>
        <v>1.173076923076923E-4</v>
      </c>
      <c r="F308" s="71">
        <v>39759</v>
      </c>
      <c r="G308" s="69">
        <v>1.3297825298770808E-2</v>
      </c>
      <c r="H308" s="70">
        <f>-0.00552751742369621-(+G308/52)</f>
        <v>-5.7832448332879568E-3</v>
      </c>
      <c r="I308" s="70">
        <f>0.0316550608976866-(+H308/52)</f>
        <v>3.1766277144480597E-2</v>
      </c>
      <c r="J308" s="70">
        <f>-0.0105243344985211-(+I308/52)</f>
        <v>-1.1135224443607265E-2</v>
      </c>
      <c r="K308" s="70">
        <f>-0.00353715651917603-(+J308/52)</f>
        <v>-3.3230175875681978E-3</v>
      </c>
      <c r="L308" s="70">
        <f>-0.0824874872891988-(+K308/52)</f>
        <v>-8.2423583104822493E-2</v>
      </c>
      <c r="M308" s="70">
        <f>0.0502832771826223-(+L308/52)</f>
        <v>5.1868346088484271E-2</v>
      </c>
      <c r="N308" s="70">
        <f>-0.0302450754413725-(+M308/52)</f>
        <v>-3.1242543635381814E-2</v>
      </c>
    </row>
    <row r="309" spans="1:14">
      <c r="A309" s="68">
        <v>0.39</v>
      </c>
      <c r="B309" s="69">
        <f t="shared" si="8"/>
        <v>3.9000000000000003E-3</v>
      </c>
      <c r="C309" s="70">
        <f t="shared" si="9"/>
        <v>7.5000000000000007E-5</v>
      </c>
      <c r="F309" s="71">
        <v>39766</v>
      </c>
      <c r="G309" s="69">
        <v>-6.154191830371375E-4</v>
      </c>
      <c r="H309" s="70">
        <f>-0.0312483217872294-(+G309/52)</f>
        <v>-3.1236486802940222E-2</v>
      </c>
      <c r="I309" s="70">
        <f>-0.0711635814367964-(+H309/52)</f>
        <v>-7.0562879767509079E-2</v>
      </c>
      <c r="J309" s="70">
        <f>-0.0695243840798292-(+I309/52)</f>
        <v>-6.8167405622761718E-2</v>
      </c>
      <c r="K309" s="70">
        <f>-0.102875924404273-(+J309/52)</f>
        <v>-0.10156501275768143</v>
      </c>
      <c r="L309" s="70">
        <f>-0.100021877806692-(+K309/52)</f>
        <v>-9.8068704484428892E-2</v>
      </c>
      <c r="M309" s="70">
        <f>-0.064172954010284-(+L309/52)</f>
        <v>-6.2287017385583447E-2</v>
      </c>
      <c r="N309" s="70">
        <f>-0.049972055734356-(+M309/52)</f>
        <v>-4.8774228476940934E-2</v>
      </c>
    </row>
    <row r="310" spans="1:14">
      <c r="A310" s="68">
        <v>0.21</v>
      </c>
      <c r="B310" s="69">
        <f t="shared" si="8"/>
        <v>2.0999999999999999E-3</v>
      </c>
      <c r="C310" s="70">
        <f t="shared" si="9"/>
        <v>4.0384615384615382E-5</v>
      </c>
      <c r="F310" s="71">
        <v>39773</v>
      </c>
      <c r="G310" s="69">
        <v>1.6877580407314962E-3</v>
      </c>
      <c r="H310" s="70">
        <f>-0.0620041160533008-(+G310/52)</f>
        <v>-6.2036572938699484E-2</v>
      </c>
      <c r="I310" s="70">
        <f>-0.0810454047507264-(+H310/52)</f>
        <v>-7.9852393732674484E-2</v>
      </c>
      <c r="J310" s="70">
        <f>-0.0937027236990439-(+I310/52)</f>
        <v>-9.2167100742646307E-2</v>
      </c>
      <c r="K310" s="70">
        <f>-0.146722843011541-(+J310/52)</f>
        <v>-0.14495039876649013</v>
      </c>
      <c r="L310" s="70">
        <f>-0.175362559893551-(+K310/52)</f>
        <v>-0.17257505222496466</v>
      </c>
      <c r="M310" s="70">
        <f>-0.119758134399733-(+L310/52)</f>
        <v>-0.11643938339540676</v>
      </c>
      <c r="N310" s="70">
        <f>-0.060322676620145-(+M310/52)</f>
        <v>-5.8083457708694865E-2</v>
      </c>
    </row>
    <row r="311" spans="1:14">
      <c r="A311" s="68">
        <v>7.0000000000000007E-2</v>
      </c>
      <c r="B311" s="69">
        <f t="shared" si="8"/>
        <v>7.000000000000001E-4</v>
      </c>
      <c r="C311" s="70">
        <f t="shared" si="9"/>
        <v>1.3461538461538463E-5</v>
      </c>
      <c r="F311" s="71">
        <v>39780</v>
      </c>
      <c r="G311" s="69">
        <v>1.9368928717291078E-2</v>
      </c>
      <c r="H311" s="70">
        <f>0.064226350976988-(+G311/52)</f>
        <v>6.3853871578578567E-2</v>
      </c>
      <c r="I311" s="70">
        <f>0.109428681435849-(+H311/52)</f>
        <v>0.10820072236703018</v>
      </c>
      <c r="J311" s="70">
        <f>0.051521342622729-(+I311/52)</f>
        <v>4.9440559500286113E-2</v>
      </c>
      <c r="K311" s="70">
        <f>0.149238735605534-(+J311/52)</f>
        <v>0.14828795561514388</v>
      </c>
      <c r="L311" s="70">
        <f>0.231155915333982-(+K311/52)</f>
        <v>0.22830422387984461</v>
      </c>
      <c r="M311" s="70">
        <f>0.078413499402036-(+L311/52)</f>
        <v>7.4023033558192827E-2</v>
      </c>
      <c r="N311" s="70">
        <f>0.0668144235681852-(+M311/52)</f>
        <v>6.5390903692066113E-2</v>
      </c>
    </row>
    <row r="312" spans="1:14">
      <c r="A312" s="68">
        <v>7.0000000000000007E-2</v>
      </c>
      <c r="B312" s="69">
        <f t="shared" si="8"/>
        <v>7.000000000000001E-4</v>
      </c>
      <c r="C312" s="70">
        <f t="shared" si="9"/>
        <v>1.3461538461538463E-5</v>
      </c>
      <c r="F312" s="71">
        <v>39787</v>
      </c>
      <c r="G312" s="69">
        <v>5.476429519592426E-3</v>
      </c>
      <c r="H312" s="70">
        <f>-0.0749831666192324-(+G312/52)</f>
        <v>-7.5088482571532264E-2</v>
      </c>
      <c r="I312" s="70">
        <f>-0.0706844195281475-(+H312/52)</f>
        <v>-6.9240410247925724E-2</v>
      </c>
      <c r="J312" s="70">
        <f>-0.0940834676653203-(+I312/52)</f>
        <v>-9.2751921314398661E-2</v>
      </c>
      <c r="K312" s="70">
        <f>-0.0683329597250243-(+J312/52)</f>
        <v>-6.6549268930516631E-2</v>
      </c>
      <c r="L312" s="70">
        <f>0.072909315455187-(+K312/52)</f>
        <v>7.4189109088466168E-2</v>
      </c>
      <c r="M312" s="70">
        <f>-0.0697704297258003-(+L312/52)</f>
        <v>-7.1197143362116966E-2</v>
      </c>
      <c r="N312" s="70">
        <f>-0.0633920621644228-(+M312/52)</f>
        <v>-6.2022886330535931E-2</v>
      </c>
    </row>
    <row r="313" spans="1:14">
      <c r="A313" s="68">
        <v>0.04</v>
      </c>
      <c r="B313" s="69">
        <f t="shared" si="8"/>
        <v>4.0000000000000002E-4</v>
      </c>
      <c r="C313" s="70">
        <f t="shared" si="9"/>
        <v>7.6923076923076919E-6</v>
      </c>
      <c r="F313" s="71">
        <v>39794</v>
      </c>
      <c r="G313" s="69">
        <v>1.3868705998161521E-2</v>
      </c>
      <c r="H313" s="70">
        <f>0.0488829855092041-(+G313/52)</f>
        <v>4.8616279624624073E-2</v>
      </c>
      <c r="I313" s="70">
        <f>0.106467783171986-(+H313/52)</f>
        <v>0.10553285471766631</v>
      </c>
      <c r="J313" s="70">
        <f>0.0485917065282842-(+I313/52)</f>
        <v>4.6562228552944465E-2</v>
      </c>
      <c r="K313" s="70">
        <f>0.0988170188875968-(+J313/52)</f>
        <v>9.792159141542478E-2</v>
      </c>
      <c r="L313" s="70">
        <f>-0.0206988694758478-(+K313/52)</f>
        <v>-2.2581977003067508E-2</v>
      </c>
      <c r="M313" s="70">
        <f>0.0845260854710795-(+L313/52)</f>
        <v>8.4960354259600024E-2</v>
      </c>
      <c r="N313" s="70">
        <f>0.0418425108387228-(+M313/52)</f>
        <v>4.0208657872192029E-2</v>
      </c>
    </row>
    <row r="314" spans="1:14">
      <c r="A314" s="68">
        <v>0.02</v>
      </c>
      <c r="B314" s="69">
        <f t="shared" si="8"/>
        <v>2.0000000000000001E-4</v>
      </c>
      <c r="C314" s="70">
        <f t="shared" si="9"/>
        <v>3.8461538461538459E-6</v>
      </c>
      <c r="F314" s="71">
        <v>39801</v>
      </c>
      <c r="G314" s="69">
        <v>2.5096553140966555E-2</v>
      </c>
      <c r="H314" s="70">
        <f>0.0143806655171673-(+G314/52)</f>
        <v>1.3898039495225636E-2</v>
      </c>
      <c r="I314" s="70">
        <f>0.0589086707903602-(+H314/52)</f>
        <v>5.8641400800067398E-2</v>
      </c>
      <c r="J314" s="70">
        <f>0.017337161660806-(+I314/52)</f>
        <v>1.620944241465086E-2</v>
      </c>
      <c r="K314" s="70">
        <f>0.0386406434754683-(+J314/52)</f>
        <v>3.8328923429032706E-2</v>
      </c>
      <c r="L314" s="70">
        <f>0.0669053466106547-(+K314/52)</f>
        <v>6.616825192932714E-2</v>
      </c>
      <c r="M314" s="70">
        <f>0.0869935319548242-(+L314/52)</f>
        <v>8.5721065571567917E-2</v>
      </c>
      <c r="N314" s="70">
        <f>0.0110186362882264-(+M314/52)</f>
        <v>9.3701542580039397E-3</v>
      </c>
    </row>
    <row r="315" spans="1:14">
      <c r="A315" s="68">
        <v>0.03</v>
      </c>
      <c r="B315" s="69">
        <f t="shared" si="8"/>
        <v>2.9999999999999997E-4</v>
      </c>
      <c r="C315" s="70">
        <f t="shared" si="9"/>
        <v>5.7692307692307689E-6</v>
      </c>
      <c r="F315" s="71">
        <v>39808</v>
      </c>
      <c r="G315" s="69">
        <v>2.888350211890564E-4</v>
      </c>
      <c r="H315" s="70">
        <f>-0.00851312940379877-(+G315/52)</f>
        <v>-8.5186839234370204E-3</v>
      </c>
      <c r="I315" s="70">
        <f>-0.0103466241686844-(+H315/52)</f>
        <v>-1.0182803324002919E-2</v>
      </c>
      <c r="J315" s="70">
        <f>-0.00434446192094991-(+I315/52)</f>
        <v>-4.1486387801037E-3</v>
      </c>
      <c r="K315" s="70">
        <f>-0.0181517919887561-(+J315/52)</f>
        <v>-1.8072010473754105E-2</v>
      </c>
      <c r="L315" s="70">
        <f>-0.0329989826145121-(+K315/52)</f>
        <v>-3.2651443951555288E-2</v>
      </c>
      <c r="M315" s="70">
        <f>-0.0444892522845833-(+L315/52)</f>
        <v>-4.3861339900899549E-2</v>
      </c>
      <c r="N315" s="70">
        <f>-0.00951059087366151-(+M315/52)</f>
        <v>-8.6671035678749803E-3</v>
      </c>
    </row>
    <row r="316" spans="1:14">
      <c r="A316" s="68">
        <v>0.02</v>
      </c>
      <c r="B316" s="69">
        <f t="shared" si="8"/>
        <v>2.0000000000000001E-4</v>
      </c>
      <c r="C316" s="70">
        <f t="shared" si="9"/>
        <v>3.8461538461538459E-6</v>
      </c>
      <c r="F316" s="71">
        <v>39815</v>
      </c>
      <c r="G316" s="69">
        <v>-5.3627477540709736E-4</v>
      </c>
      <c r="H316" s="70">
        <f>0.0281702163984805-(+G316/52)</f>
        <v>2.8180529374930638E-2</v>
      </c>
      <c r="I316" s="70">
        <f>0.0523668840620103-(+H316/52)</f>
        <v>5.1824950804800096E-2</v>
      </c>
      <c r="J316" s="70">
        <f>0.0388312408033787-(+I316/52)</f>
        <v>3.783460713405562E-2</v>
      </c>
      <c r="K316" s="70">
        <f>0.069612144549339-(+J316/52)</f>
        <v>6.8884555950607163E-2</v>
      </c>
      <c r="L316" s="70">
        <f>0.0603346678389003-(+K316/52)</f>
        <v>5.900996483985016E-2</v>
      </c>
      <c r="M316" s="70">
        <f>0.0403138894804432-(+L316/52)</f>
        <v>3.9179082464292234E-2</v>
      </c>
      <c r="N316" s="70">
        <f>0.0491002091573649-(+M316/52)</f>
        <v>4.8346765263820819E-2</v>
      </c>
    </row>
    <row r="317" spans="1:14">
      <c r="A317" s="68">
        <v>0.09</v>
      </c>
      <c r="B317" s="69">
        <f t="shared" si="8"/>
        <v>8.9999999999999998E-4</v>
      </c>
      <c r="C317" s="70">
        <f t="shared" si="9"/>
        <v>1.7307692307692306E-5</v>
      </c>
      <c r="F317" s="71">
        <v>39822</v>
      </c>
      <c r="G317" s="69">
        <v>3.0615927359544759E-3</v>
      </c>
      <c r="H317" s="70">
        <f>0.0035424190847829-(+G317/52)</f>
        <v>3.48354230139916E-3</v>
      </c>
      <c r="I317" s="70">
        <f>-0.0160377136400019-(+H317/52)</f>
        <v>-1.6104704838105732E-2</v>
      </c>
      <c r="J317" s="70">
        <f>0.00247726617734526-(+I317/52)</f>
        <v>2.786972039616524E-3</v>
      </c>
      <c r="K317" s="70">
        <f>-0.0429662145433376-(+J317/52)</f>
        <v>-4.301981015948407E-2</v>
      </c>
      <c r="L317" s="70">
        <f>-0.0226844136479257-(+K317/52)</f>
        <v>-2.1857109606397161E-2</v>
      </c>
      <c r="M317" s="70">
        <f>-0.0232621614580102-(+L317/52)</f>
        <v>-2.2841832427117945E-2</v>
      </c>
      <c r="N317" s="70">
        <f>-0.0173707066719304-(+M317/52)</f>
        <v>-1.6931440663716595E-2</v>
      </c>
    </row>
    <row r="318" spans="1:14">
      <c r="A318" s="68">
        <v>0.11</v>
      </c>
      <c r="B318" s="69">
        <f t="shared" si="8"/>
        <v>1.1000000000000001E-3</v>
      </c>
      <c r="C318" s="70">
        <f t="shared" si="9"/>
        <v>2.1153846153846154E-5</v>
      </c>
      <c r="F318" s="71">
        <v>39829</v>
      </c>
      <c r="G318" s="69">
        <v>-5.7719568536395514E-3</v>
      </c>
      <c r="H318" s="70">
        <f>-0.0440963556389008-(+G318/52)</f>
        <v>-4.3985356468638499E-2</v>
      </c>
      <c r="I318" s="70">
        <f>-0.0863763330880989-(+H318/52)</f>
        <v>-8.5530460848317391E-2</v>
      </c>
      <c r="J318" s="70">
        <f>-0.0415751711145227-(+I318/52)</f>
        <v>-3.9930354559747361E-2</v>
      </c>
      <c r="K318" s="70">
        <f>-0.135049153277118-(+J318/52)</f>
        <v>-0.13428126184327671</v>
      </c>
      <c r="L318" s="70">
        <f>-0.00455608656143772-(+K318/52)</f>
        <v>-1.973754602913168E-3</v>
      </c>
      <c r="M318" s="70">
        <f>-0.0813624123564678-(+L318/52)</f>
        <v>-8.1324455537180998E-2</v>
      </c>
      <c r="N318" s="70">
        <f>-0.0238047408597832-(+M318/52)</f>
        <v>-2.2240809022529721E-2</v>
      </c>
    </row>
    <row r="319" spans="1:14">
      <c r="A319" s="68">
        <v>0.12</v>
      </c>
      <c r="B319" s="69">
        <f t="shared" si="8"/>
        <v>1.1999999999999999E-3</v>
      </c>
      <c r="C319" s="70">
        <f t="shared" si="9"/>
        <v>2.3076923076923076E-5</v>
      </c>
      <c r="F319" s="71">
        <v>39836</v>
      </c>
      <c r="G319" s="69">
        <v>-1.5930401478724893E-2</v>
      </c>
      <c r="H319" s="70">
        <f>-0.0380454381536242-(+G319/52)</f>
        <v>-3.7739084279033337E-2</v>
      </c>
      <c r="I319" s="70">
        <f>-0.0909418249905072-(+H319/52)</f>
        <v>-9.0216073369756553E-2</v>
      </c>
      <c r="J319" s="70">
        <f>-0.0575786584976706-(+I319/52)</f>
        <v>-5.584373400979066E-2</v>
      </c>
      <c r="K319" s="70">
        <f>-0.113461647279459-(+J319/52)</f>
        <v>-0.11238772931773225</v>
      </c>
      <c r="L319" s="70">
        <f>0.00817199938579701-(+K319/52)</f>
        <v>1.0333301872676476E-2</v>
      </c>
      <c r="M319" s="70">
        <f>-0.0665076566766912-(+L319/52)</f>
        <v>-6.6706374020396517E-2</v>
      </c>
      <c r="N319" s="70">
        <f>-0.0220667421202455-(+M319/52)</f>
        <v>-2.0783927235237875E-2</v>
      </c>
    </row>
    <row r="320" spans="1:14">
      <c r="A320" s="68">
        <v>0.11</v>
      </c>
      <c r="B320" s="69">
        <f t="shared" si="8"/>
        <v>1.1000000000000001E-3</v>
      </c>
      <c r="C320" s="70">
        <f t="shared" si="9"/>
        <v>2.1153846153846154E-5</v>
      </c>
      <c r="F320" s="71">
        <v>39843</v>
      </c>
      <c r="G320" s="69">
        <v>5.5968782191725215E-4</v>
      </c>
      <c r="H320" s="70">
        <f>0.0323373945641988-(+G320/52)</f>
        <v>3.2326631336854234E-2</v>
      </c>
      <c r="I320" s="70">
        <f>0.0531849771344209-(+H320/52)</f>
        <v>5.2563311147173705E-2</v>
      </c>
      <c r="J320" s="70">
        <f>0.0057290679090934-(+I320/52)</f>
        <v>4.7182350024169827E-3</v>
      </c>
      <c r="K320" s="70">
        <f>0.054399066298292-(+J320/52)</f>
        <v>5.4308331009783981E-2</v>
      </c>
      <c r="L320" s="70">
        <f>0.014768103467549-(+K320/52)</f>
        <v>1.3723712486591617E-2</v>
      </c>
      <c r="M320" s="70">
        <f>0.0259063136456212-(+L320/52)</f>
        <v>2.5642396097802129E-2</v>
      </c>
      <c r="N320" s="70">
        <f>0.0118259356938443-(+M320/52)</f>
        <v>1.1332812691963491E-2</v>
      </c>
    </row>
    <row r="321" spans="1:14">
      <c r="A321" s="68">
        <v>0.19</v>
      </c>
      <c r="B321" s="69">
        <f t="shared" si="8"/>
        <v>1.9E-3</v>
      </c>
      <c r="C321" s="70">
        <f t="shared" si="9"/>
        <v>3.6538461538461537E-5</v>
      </c>
      <c r="F321" s="71">
        <v>39850</v>
      </c>
      <c r="G321" s="69">
        <v>-8.389973348424145E-4</v>
      </c>
      <c r="H321" s="70">
        <f>0.0352100400906395-(+G321/52)</f>
        <v>3.5226174654771084E-2</v>
      </c>
      <c r="I321" s="70">
        <f>0.00419857768052508-(+H321/52)</f>
        <v>3.5211512448564053E-3</v>
      </c>
      <c r="J321" s="70">
        <f>0.0405685659264446-(+I321/52)</f>
        <v>4.0500851479428134E-2</v>
      </c>
      <c r="K321" s="70">
        <f>0.00792134005551863-(+J321/52)</f>
        <v>7.1424775270680892E-3</v>
      </c>
      <c r="L321" s="70">
        <f>0.00894065678645838-(+K321/52)</f>
        <v>8.8033014493993783E-3</v>
      </c>
      <c r="M321" s="70">
        <f>0.0115504284487053-(+L321/52)</f>
        <v>1.1381134190063005E-2</v>
      </c>
      <c r="N321" s="70">
        <f>0.0317287562216646-(+M321/52)</f>
        <v>3.150988825647108E-2</v>
      </c>
    </row>
    <row r="322" spans="1:14">
      <c r="A322" s="68">
        <v>0.28999999999999998</v>
      </c>
      <c r="B322" s="69">
        <f t="shared" si="8"/>
        <v>2.8999999999999998E-3</v>
      </c>
      <c r="C322" s="70">
        <f t="shared" si="9"/>
        <v>5.5769230769230765E-5</v>
      </c>
      <c r="F322" s="71">
        <v>39857</v>
      </c>
      <c r="G322" s="69">
        <v>3.0003109522540317E-3</v>
      </c>
      <c r="H322" s="70">
        <f>-0.0389305157995173-(+G322/52)</f>
        <v>-3.8988214087060644E-2</v>
      </c>
      <c r="I322" s="70">
        <f>-0.00590382284445781-(+H322/52)</f>
        <v>-5.1540494966297208E-3</v>
      </c>
      <c r="J322" s="70">
        <f>-0.0248092714460428-(+I322/52)</f>
        <v>-2.4710155109569153E-2</v>
      </c>
      <c r="K322" s="70">
        <f>0.0227964960146885-(+J322/52)</f>
        <v>2.3271691305257136E-2</v>
      </c>
      <c r="L322" s="70">
        <f>-0.0313582430540203-(+K322/52)</f>
        <v>-3.1805775579121405E-2</v>
      </c>
      <c r="M322" s="70">
        <f>0.00363965944206155-(+L322/52)</f>
        <v>4.2513089724292696E-3</v>
      </c>
      <c r="N322" s="70">
        <f>-0.0345358157910649-(+M322/52)</f>
        <v>-3.4617571732842384E-2</v>
      </c>
    </row>
    <row r="323" spans="1:14">
      <c r="A323" s="68">
        <v>0.3</v>
      </c>
      <c r="B323" s="69">
        <f t="shared" si="8"/>
        <v>3.0000000000000001E-3</v>
      </c>
      <c r="C323" s="70">
        <f t="shared" si="9"/>
        <v>5.7692307692307691E-5</v>
      </c>
      <c r="F323" s="71">
        <v>39864</v>
      </c>
      <c r="G323" s="69">
        <v>-9.7797450037364394E-3</v>
      </c>
      <c r="H323" s="70">
        <f>-0.043252279413375-(+G323/52)</f>
        <v>-4.3064207394072372E-2</v>
      </c>
      <c r="I323" s="70">
        <f>-0.110948235116825-(+H323/52)</f>
        <v>-0.11012007728232361</v>
      </c>
      <c r="J323" s="70">
        <f>-0.0571513884741713-(+I323/52)</f>
        <v>-5.5033694680280458E-2</v>
      </c>
      <c r="K323" s="70">
        <f>-0.0856807314822581-(+J323/52)</f>
        <v>-8.4622391199945024E-2</v>
      </c>
      <c r="L323" s="70">
        <f>-0.070534794695026-(+K323/52)</f>
        <v>-6.890744101810399E-2</v>
      </c>
      <c r="M323" s="70">
        <f>-0.0917636685557444-(+L323/52)</f>
        <v>-9.04385254592424E-2</v>
      </c>
      <c r="N323" s="70">
        <f>-0.0632885845320862-(+M323/52)</f>
        <v>-6.1549382119408462E-2</v>
      </c>
    </row>
    <row r="324" spans="1:14">
      <c r="A324" s="68">
        <v>0.3</v>
      </c>
      <c r="B324" s="69">
        <f t="shared" si="8"/>
        <v>3.0000000000000001E-3</v>
      </c>
      <c r="C324" s="70">
        <f t="shared" si="9"/>
        <v>5.7692307692307691E-5</v>
      </c>
      <c r="F324" s="71">
        <v>39871</v>
      </c>
      <c r="G324" s="69">
        <v>-1.2716585051731148E-2</v>
      </c>
      <c r="H324" s="70">
        <f>-0.0241793960110481-(+G324/52)</f>
        <v>-2.3934846298514806E-2</v>
      </c>
      <c r="I324" s="70">
        <f>-0.034494182910856-(+H324/52)</f>
        <v>-3.4033897405115331E-2</v>
      </c>
      <c r="J324" s="70">
        <f>-0.0256805449990147-(+I324/52)</f>
        <v>-2.5026046971993253E-2</v>
      </c>
      <c r="K324" s="70">
        <f>-0.0515248265991413-(+J324/52)</f>
        <v>-5.1043556465064512E-2</v>
      </c>
      <c r="L324" s="70">
        <f>0.0640409770087936-(+K324/52)</f>
        <v>6.5022583863890995E-2</v>
      </c>
      <c r="M324" s="70">
        <f>-0.0557512839784542-(+L324/52)</f>
        <v>-5.7001718283529026E-2</v>
      </c>
      <c r="N324" s="70">
        <f>-0.0204759392854224-(+M324/52)</f>
        <v>-1.9379752395354534E-2</v>
      </c>
    </row>
    <row r="325" spans="1:14">
      <c r="A325" s="68">
        <v>0.28999999999999998</v>
      </c>
      <c r="B325" s="69">
        <f t="shared" ref="B325:B388" si="10">+A325/100</f>
        <v>2.8999999999999998E-3</v>
      </c>
      <c r="C325" s="70">
        <f t="shared" ref="C325:C388" si="11">+B325/52</f>
        <v>5.5769230769230765E-5</v>
      </c>
      <c r="F325" s="71">
        <v>39878</v>
      </c>
      <c r="G325" s="69">
        <v>-3.4924675958964029E-3</v>
      </c>
      <c r="H325" s="70">
        <f>-0.0901300305724316-(+G325/52)</f>
        <v>-9.0062867734048979E-2</v>
      </c>
      <c r="I325" s="70">
        <f>-0.0677822731879374-(+H325/52)</f>
        <v>-6.6050294962282624E-2</v>
      </c>
      <c r="J325" s="70">
        <f>-0.0745866529907615-(+I325/52)</f>
        <v>-7.331645501071761E-2</v>
      </c>
      <c r="K325" s="70">
        <f>-0.00501064035596833-(+J325/52)</f>
        <v>-3.600708528839145E-3</v>
      </c>
      <c r="L325" s="70">
        <f>-0.0508352637142523-(+K325/52)</f>
        <v>-5.0766019319466935E-2</v>
      </c>
      <c r="M325" s="70">
        <f>-0.0760901108559205-(+L325/52)</f>
        <v>-7.5113841253623068E-2</v>
      </c>
      <c r="N325" s="70">
        <f>-0.0767667114175409-(+M325/52)</f>
        <v>-7.532221447035585E-2</v>
      </c>
    </row>
    <row r="326" spans="1:14">
      <c r="A326" s="68">
        <v>0.24</v>
      </c>
      <c r="B326" s="69">
        <f t="shared" si="10"/>
        <v>2.3999999999999998E-3</v>
      </c>
      <c r="C326" s="70">
        <f t="shared" si="11"/>
        <v>4.6153846153846151E-5</v>
      </c>
      <c r="F326" s="71">
        <v>39885</v>
      </c>
      <c r="G326" s="69">
        <v>4.4539482611855611E-3</v>
      </c>
      <c r="H326" s="70">
        <f>0.000618737431895938-(+G326/52)</f>
        <v>5.3308458071929261E-4</v>
      </c>
      <c r="I326" s="70">
        <f>0.105873188436812-(+H326/52)</f>
        <v>0.1058629368102597</v>
      </c>
      <c r="J326" s="70">
        <f>0.0092805794703278-(+I326/52)</f>
        <v>7.2447537624381903E-3</v>
      </c>
      <c r="K326" s="70">
        <f>0.0384884602671542-(+J326/52)</f>
        <v>3.8349138079415E-2</v>
      </c>
      <c r="L326" s="70">
        <f>0.0834535332779989-(+K326/52)</f>
        <v>8.2716049853394757E-2</v>
      </c>
      <c r="M326" s="70">
        <f>0.0609710131921386-(+L326/52)</f>
        <v>5.9380319925727162E-2</v>
      </c>
      <c r="N326" s="70">
        <f>0.0420555372987184-(+M326/52)</f>
        <v>4.0913608069377494E-2</v>
      </c>
    </row>
    <row r="327" spans="1:14">
      <c r="A327" s="68">
        <v>0.22</v>
      </c>
      <c r="B327" s="69">
        <f t="shared" si="10"/>
        <v>2.2000000000000001E-3</v>
      </c>
      <c r="C327" s="70">
        <f t="shared" si="11"/>
        <v>4.2307692307692307E-5</v>
      </c>
      <c r="F327" s="71">
        <v>39892</v>
      </c>
      <c r="G327" s="69">
        <v>2.274283146207216E-2</v>
      </c>
      <c r="H327" s="70">
        <f>0.0676153832941134-(+G327/52)</f>
        <v>6.7178021150612013E-2</v>
      </c>
      <c r="I327" s="70">
        <f>0.0403600981522909-(+H327/52)</f>
        <v>3.9068213130163745E-2</v>
      </c>
      <c r="J327" s="70">
        <f>0.0666094380771195-(+I327/52)</f>
        <v>6.5858126286154811E-2</v>
      </c>
      <c r="K327" s="70">
        <f>0.0963949036238193-(+J327/52)</f>
        <v>9.5128401195239409E-2</v>
      </c>
      <c r="L327" s="70">
        <f>0.0404612025733807-(+K327/52)</f>
        <v>3.863181024270302E-2</v>
      </c>
      <c r="M327" s="70">
        <f>0.118173974827446-(+L327/52)</f>
        <v>0.11743105539970171</v>
      </c>
      <c r="N327" s="70">
        <f>0.0666041201838549-(+M327/52)</f>
        <v>6.4345830656937567E-2</v>
      </c>
    </row>
    <row r="328" spans="1:14">
      <c r="A328" s="68">
        <v>0.22</v>
      </c>
      <c r="B328" s="69">
        <f t="shared" si="10"/>
        <v>2.2000000000000001E-3</v>
      </c>
      <c r="C328" s="70">
        <f t="shared" si="11"/>
        <v>4.2307692307692307E-5</v>
      </c>
      <c r="F328" s="71">
        <v>39899</v>
      </c>
      <c r="G328" s="69">
        <v>-6.1996720661171905E-3</v>
      </c>
      <c r="H328" s="70">
        <f>-0.0139810636226882-(+G328/52)</f>
        <v>-1.3861839159878254E-2</v>
      </c>
      <c r="I328" s="70">
        <f>0.0177379632592019-(+H328/52)</f>
        <v>1.8004537089199558E-2</v>
      </c>
      <c r="J328" s="70">
        <f>-0.0172855081605871-(+I328/52)</f>
        <v>-1.7631749258456324E-2</v>
      </c>
      <c r="K328" s="70">
        <f>0.226062603528066-(+J328/52)</f>
        <v>0.22640167562919017</v>
      </c>
      <c r="L328" s="70">
        <f>0.0363420184033478-(+K328/52)</f>
        <v>3.1988140025863379E-2</v>
      </c>
      <c r="M328" s="70">
        <f>0.0448579749612315-(+L328/52)</f>
        <v>4.4242818422272588E-2</v>
      </c>
      <c r="N328" s="70">
        <f>0.0102374951030033-(+M328/52)</f>
        <v>9.3866716718057491E-3</v>
      </c>
    </row>
    <row r="329" spans="1:14">
      <c r="A329" s="68">
        <v>0.18</v>
      </c>
      <c r="B329" s="69">
        <f t="shared" si="10"/>
        <v>1.8E-3</v>
      </c>
      <c r="C329" s="70">
        <f t="shared" si="11"/>
        <v>3.4615384615384612E-5</v>
      </c>
      <c r="F329" s="71">
        <v>39906</v>
      </c>
      <c r="G329" s="69">
        <v>-9.5015055777354044E-4</v>
      </c>
      <c r="H329" s="70">
        <f>0.00593931779429399-(+G329/52)</f>
        <v>5.9575899204050197E-3</v>
      </c>
      <c r="I329" s="70">
        <f>0.0568483386336221-(+H329/52)</f>
        <v>5.6733769596691234E-2</v>
      </c>
      <c r="J329" s="70">
        <f>0.0360423506843252-(+I329/52)</f>
        <v>3.4951316653619599E-2</v>
      </c>
      <c r="K329" s="70">
        <f>0.0343746953215315-(+J329/52)</f>
        <v>3.3702554616654203E-2</v>
      </c>
      <c r="L329" s="70">
        <f>0.0709086097071511-(+K329/52)</f>
        <v>7.0260483656830824E-2</v>
      </c>
      <c r="M329" s="70">
        <f>0.0144144796380091-(+L329/52)</f>
        <v>1.3063316490762353E-2</v>
      </c>
      <c r="N329" s="70">
        <f>0.0108288457035823-(+M329/52)</f>
        <v>1.0577628078759947E-2</v>
      </c>
    </row>
    <row r="330" spans="1:14">
      <c r="A330" s="68">
        <v>0.21</v>
      </c>
      <c r="B330" s="69">
        <f t="shared" si="10"/>
        <v>2.0999999999999999E-3</v>
      </c>
      <c r="C330" s="70">
        <f t="shared" si="11"/>
        <v>4.0384615384615382E-5</v>
      </c>
      <c r="F330" s="71">
        <v>39913</v>
      </c>
      <c r="G330" s="69">
        <v>-4.5307842122690155E-4</v>
      </c>
      <c r="H330" s="70">
        <f>-0.00340629840796104-(+G330/52)</f>
        <v>-3.3975853613989839E-3</v>
      </c>
      <c r="I330" s="70">
        <f>0.00389454970566066-(+H330/52)</f>
        <v>3.9598878856875637E-3</v>
      </c>
      <c r="J330" s="70">
        <f>0.00779803446802453-(+I330/52)</f>
        <v>7.7218827779151544E-3</v>
      </c>
      <c r="K330" s="70">
        <f>-0.0450346731300073-(+J330/52)</f>
        <v>-4.5183170875736436E-2</v>
      </c>
      <c r="L330" s="70">
        <f>-0.0160878943693568-(+K330/52)</f>
        <v>-1.5218987237131099E-2</v>
      </c>
      <c r="M330" s="70">
        <f>0.00682291815352989-(+L330/52)</f>
        <v>7.1155909850131802E-3</v>
      </c>
      <c r="N330" s="70">
        <f>0.0104015866581737-(+M330/52)</f>
        <v>1.026474837000037E-2</v>
      </c>
    </row>
    <row r="331" spans="1:14">
      <c r="A331" s="68">
        <v>0.19</v>
      </c>
      <c r="B331" s="69">
        <f t="shared" si="10"/>
        <v>1.9E-3</v>
      </c>
      <c r="C331" s="70">
        <f t="shared" si="11"/>
        <v>3.6538461538461537E-5</v>
      </c>
      <c r="F331" s="71">
        <v>39920</v>
      </c>
      <c r="G331" s="69">
        <v>7.8555214043770655E-3</v>
      </c>
      <c r="H331" s="70">
        <f>0.0169106696722845-(+G331/52)</f>
        <v>1.6759601952969556E-2</v>
      </c>
      <c r="I331" s="70">
        <f>0.0445963451944544-(+H331/52)</f>
        <v>4.4274045156897292E-2</v>
      </c>
      <c r="J331" s="70">
        <f>0.00610535985584558-(+I331/52)</f>
        <v>5.2539359105206315E-3</v>
      </c>
      <c r="K331" s="70">
        <f>0.0360544553408393-(+J331/52)</f>
        <v>3.5953418111790827E-2</v>
      </c>
      <c r="L331" s="70">
        <f>-0.0198942614395662-(+K331/52)</f>
        <v>-2.0585673326331409E-2</v>
      </c>
      <c r="M331" s="70">
        <f>0.0112708404219121-(+L331/52)</f>
        <v>1.1666718755110781E-2</v>
      </c>
      <c r="N331" s="70">
        <f>0.0152519181310848-(+M331/52)</f>
        <v>1.5027558155024979E-2</v>
      </c>
    </row>
    <row r="332" spans="1:14">
      <c r="A332" s="68">
        <v>0.15</v>
      </c>
      <c r="B332" s="69">
        <f t="shared" si="10"/>
        <v>1.5E-3</v>
      </c>
      <c r="C332" s="70">
        <f t="shared" si="11"/>
        <v>2.8846153846153845E-5</v>
      </c>
      <c r="F332" s="71">
        <v>39927</v>
      </c>
      <c r="G332" s="69">
        <v>8.7736626131385302E-4</v>
      </c>
      <c r="H332" s="70">
        <f>-0.014396722124857-(+G332/52)</f>
        <v>-1.4413594552959191E-2</v>
      </c>
      <c r="I332" s="70">
        <f>0.0249412913269479-(+H332/52)</f>
        <v>2.521847583758173E-2</v>
      </c>
      <c r="J332" s="70">
        <f>-0.0152761292044473-(+I332/52)</f>
        <v>-1.5761099893631565E-2</v>
      </c>
      <c r="K332" s="70">
        <f>-0.0240481780136776-(+J332/52)</f>
        <v>-2.3745079938800071E-2</v>
      </c>
      <c r="L332" s="70">
        <f>0.000162971809609166-(+K332/52)</f>
        <v>6.1960796227839812E-4</v>
      </c>
      <c r="M332" s="70">
        <f>0.0121756319131935-(+L332/52)</f>
        <v>1.2163716375457377E-2</v>
      </c>
      <c r="N332" s="70">
        <f>0.00469241733583586-(+M332/52)</f>
        <v>4.4584997132309104E-3</v>
      </c>
    </row>
    <row r="333" spans="1:14">
      <c r="A333" s="68">
        <v>0.13</v>
      </c>
      <c r="B333" s="69">
        <f t="shared" si="10"/>
        <v>1.2999999999999999E-3</v>
      </c>
      <c r="C333" s="70">
        <f t="shared" si="11"/>
        <v>2.4999999999999998E-5</v>
      </c>
      <c r="F333" s="71">
        <v>39934</v>
      </c>
      <c r="G333" s="69">
        <v>3.0942865719136088E-3</v>
      </c>
      <c r="H333" s="70">
        <f>0.0401753816174083-(+G333/52)</f>
        <v>4.0115876106409966E-2</v>
      </c>
      <c r="I333" s="70">
        <f>-0.0326110042026813-(+H333/52)</f>
        <v>-3.3382463358573804E-2</v>
      </c>
      <c r="J333" s="70">
        <f>0.0403126872271832-(+I333/52)</f>
        <v>4.0954657676386542E-2</v>
      </c>
      <c r="K333" s="70">
        <f>0.0295075337642325-(+J333/52)</f>
        <v>2.8719944193532757E-2</v>
      </c>
      <c r="L333" s="70">
        <f>-0.0190247913119083-(+K333/52)</f>
        <v>-1.9577097931014701E-2</v>
      </c>
      <c r="M333" s="70">
        <f>0.0290098961904169-(+L333/52)</f>
        <v>2.9386378842936416E-2</v>
      </c>
      <c r="N333" s="70">
        <f>0.0266323929120752-(+M333/52)</f>
        <v>2.6067270242018731E-2</v>
      </c>
    </row>
    <row r="334" spans="1:14">
      <c r="A334" s="68">
        <v>0.13</v>
      </c>
      <c r="B334" s="69">
        <f t="shared" si="10"/>
        <v>1.2999999999999999E-3</v>
      </c>
      <c r="C334" s="70">
        <f t="shared" si="11"/>
        <v>2.4999999999999998E-5</v>
      </c>
      <c r="F334" s="71">
        <v>39941</v>
      </c>
      <c r="G334" s="69">
        <v>7.0074826542463114E-3</v>
      </c>
      <c r="H334" s="70">
        <f>0.0124504324476224-(+G334/52)</f>
        <v>1.2315673165809971E-2</v>
      </c>
      <c r="I334" s="70">
        <f>0.0974718914243896-(+H334/52)</f>
        <v>9.7235051555816326E-2</v>
      </c>
      <c r="J334" s="70">
        <f>0.045277534006143-(+I334/52)</f>
        <v>4.3407629168531144E-2</v>
      </c>
      <c r="K334" s="70">
        <f>0.195268636600679-(+J334/52)</f>
        <v>0.19443387450128416</v>
      </c>
      <c r="L334" s="70">
        <f>-0.0208430545129943-(+K334/52)</f>
        <v>-2.4582167484172843E-2</v>
      </c>
      <c r="M334" s="70">
        <f>0.0517000026920074-(+L334/52)</f>
        <v>5.2172736682087648E-2</v>
      </c>
      <c r="N334" s="70">
        <f>0.0319069608346161-(+M334/52)</f>
        <v>3.090363897534518E-2</v>
      </c>
    </row>
    <row r="335" spans="1:14">
      <c r="A335" s="68">
        <v>0.19</v>
      </c>
      <c r="B335" s="69">
        <f t="shared" si="10"/>
        <v>1.9E-3</v>
      </c>
      <c r="C335" s="70">
        <f t="shared" si="11"/>
        <v>3.6538461538461537E-5</v>
      </c>
      <c r="F335" s="71">
        <v>39948</v>
      </c>
      <c r="G335" s="69">
        <v>8.8923981263878318E-3</v>
      </c>
      <c r="H335" s="70">
        <f>-0.00864282244820863-(+G335/52)</f>
        <v>-8.8138301044853179E-3</v>
      </c>
      <c r="I335" s="70">
        <f>-0.0368026381993318-(+H335/52)</f>
        <v>-3.6633141466553235E-2</v>
      </c>
      <c r="J335" s="70">
        <f>-0.0103633739997376-(+I335/52)</f>
        <v>-9.6588905099961927E-3</v>
      </c>
      <c r="K335" s="70">
        <f>-0.0582315777544834-(+J335/52)</f>
        <v>-5.8045829860060398E-2</v>
      </c>
      <c r="L335" s="70">
        <f>-0.0326138473850649-(+K335/52)</f>
        <v>-3.1497581426217586E-2</v>
      </c>
      <c r="M335" s="70">
        <f>-0.0226019069559096-(+L335/52)</f>
        <v>-2.1996184236174644E-2</v>
      </c>
      <c r="N335" s="70">
        <f>-0.0273868164068975-(+M335/52)</f>
        <v>-2.696381286389414E-2</v>
      </c>
    </row>
    <row r="336" spans="1:14">
      <c r="A336" s="68">
        <v>0.18</v>
      </c>
      <c r="B336" s="69">
        <f t="shared" si="10"/>
        <v>1.8E-3</v>
      </c>
      <c r="C336" s="70">
        <f t="shared" si="11"/>
        <v>3.4615384615384612E-5</v>
      </c>
      <c r="F336" s="71">
        <v>39955</v>
      </c>
      <c r="G336" s="69">
        <v>1.605828568790373E-3</v>
      </c>
      <c r="H336" s="70">
        <f>0.0252134824469989-(+G336/52)</f>
        <v>2.5182601128368315E-2</v>
      </c>
      <c r="I336" s="70">
        <f>0.0542765435206747-(+H336/52)</f>
        <v>5.3792262729744543E-2</v>
      </c>
      <c r="J336" s="70">
        <f>0.0321580063626723-(+I336/52)</f>
        <v>3.1123539771715673E-2</v>
      </c>
      <c r="K336" s="70">
        <f>0.0704238063149789-(+J336/52)</f>
        <v>6.9825276703984362E-2</v>
      </c>
      <c r="L336" s="70">
        <f>0.0399701218018481-(+K336/52)</f>
        <v>3.8627328019079171E-2</v>
      </c>
      <c r="M336" s="70">
        <f>0.0386478806845709-(+L336/52)</f>
        <v>3.7905047453434766E-2</v>
      </c>
      <c r="N336" s="70">
        <f>0.0132508111350438-(+M336/52)</f>
        <v>1.2521867914785439E-2</v>
      </c>
    </row>
    <row r="337" spans="1:14">
      <c r="A337" s="68">
        <v>0.18</v>
      </c>
      <c r="B337" s="69">
        <f t="shared" si="10"/>
        <v>1.8E-3</v>
      </c>
      <c r="C337" s="70">
        <f t="shared" si="11"/>
        <v>3.4615384615384612E-5</v>
      </c>
      <c r="F337" s="71">
        <v>39962</v>
      </c>
      <c r="G337" s="69">
        <v>3.9198334433761571E-3</v>
      </c>
      <c r="H337" s="70">
        <f>0.0298883359631024-(+G337/52)</f>
        <v>2.981295455072978E-2</v>
      </c>
      <c r="I337" s="70">
        <f>0.0441873515049488-(+H337/52)</f>
        <v>4.3614025455896301E-2</v>
      </c>
      <c r="J337" s="70">
        <f>0.0128104692677164-(+I337/52)</f>
        <v>1.1971738008949163E-2</v>
      </c>
      <c r="K337" s="70">
        <f>0.0554765531467626-(+J337/52)</f>
        <v>5.5246327415821271E-2</v>
      </c>
      <c r="L337" s="70">
        <f>0.0672796218779445-(+K337/52)</f>
        <v>6.621719250456333E-2</v>
      </c>
      <c r="M337" s="70">
        <f>0.0168241501251252-(+L337/52)</f>
        <v>1.5550742576960522E-2</v>
      </c>
      <c r="N337" s="70">
        <f>0.041015257110567-(+M337/52)</f>
        <v>4.0716204368702373E-2</v>
      </c>
    </row>
    <row r="338" spans="1:14">
      <c r="A338" s="68">
        <v>0.16</v>
      </c>
      <c r="B338" s="69">
        <f t="shared" si="10"/>
        <v>1.6000000000000001E-3</v>
      </c>
      <c r="C338" s="70">
        <f t="shared" si="11"/>
        <v>3.0769230769230768E-5</v>
      </c>
      <c r="F338" s="71">
        <v>39969</v>
      </c>
      <c r="G338" s="69">
        <v>-4.5140394856239977E-3</v>
      </c>
      <c r="H338" s="70">
        <f>-0.0308550131109868-(+G338/52)</f>
        <v>-3.0768204659340184E-2</v>
      </c>
      <c r="I338" s="70">
        <f>0.0389787097806946-(+H338/52)</f>
        <v>3.9570406024143447E-2</v>
      </c>
      <c r="J338" s="70">
        <f>-0.00655563093192663-(+I338/52)</f>
        <v>-7.3166002785447735E-3</v>
      </c>
      <c r="K338" s="70">
        <f>0.0649047038336804-(+J338/52)</f>
        <v>6.5045407685190876E-2</v>
      </c>
      <c r="L338" s="70">
        <f>-0.0437309521311302-(+K338/52)</f>
        <v>-4.4981825355845412E-2</v>
      </c>
      <c r="M338" s="70">
        <f>0.000520736470150732-(+L338/52)</f>
        <v>1.3857715731477591E-3</v>
      </c>
      <c r="N338" s="70">
        <f>0.0191019004969337-(+M338/52)</f>
        <v>1.9075251043603934E-2</v>
      </c>
    </row>
    <row r="339" spans="1:14">
      <c r="A339" s="68">
        <v>0.15</v>
      </c>
      <c r="B339" s="69">
        <f t="shared" si="10"/>
        <v>1.5E-3</v>
      </c>
      <c r="C339" s="70">
        <f t="shared" si="11"/>
        <v>2.8846153846153845E-5</v>
      </c>
      <c r="F339" s="71">
        <v>39976</v>
      </c>
      <c r="G339" s="69">
        <v>4.2192970055796966E-5</v>
      </c>
      <c r="H339" s="70">
        <f>0.0101767053011591-(+G339/52)</f>
        <v>1.0175893897888796E-2</v>
      </c>
      <c r="I339" s="70">
        <f>0.00309793434360115-(+H339/52)</f>
        <v>2.9022440763340576E-3</v>
      </c>
      <c r="J339" s="70">
        <f>0.0504234394644304-(+I339/52)</f>
        <v>5.0367627078347049E-2</v>
      </c>
      <c r="K339" s="70">
        <f>-0.0276490091063204-(+J339/52)</f>
        <v>-2.8617617319365535E-2</v>
      </c>
      <c r="L339" s="70">
        <f>-0.00573085416716595-(+K339/52)</f>
        <v>-5.1805153725627663E-3</v>
      </c>
      <c r="M339" s="70">
        <f>-0.000340780946007878-(+L339/52)</f>
        <v>-2.4115565038167094E-4</v>
      </c>
      <c r="N339" s="70">
        <f>0.0198979106559717-(+M339/52)</f>
        <v>1.9902548264632884E-2</v>
      </c>
    </row>
    <row r="340" spans="1:14">
      <c r="A340" s="68">
        <v>0.19</v>
      </c>
      <c r="B340" s="69">
        <f t="shared" si="10"/>
        <v>1.9E-3</v>
      </c>
      <c r="C340" s="70">
        <f t="shared" si="11"/>
        <v>3.6538461538461537E-5</v>
      </c>
      <c r="F340" s="71">
        <v>39983</v>
      </c>
      <c r="G340" s="69">
        <v>1.865885102244142E-3</v>
      </c>
      <c r="H340" s="70">
        <f>0.0107061709075039-(+G340/52)</f>
        <v>1.0670288501691511E-2</v>
      </c>
      <c r="I340" s="70">
        <f>-0.0425020707965573-(+H340/52)</f>
        <v>-4.2707268652359062E-2</v>
      </c>
      <c r="J340" s="70">
        <f>-0.043531355942501-(+I340/52)</f>
        <v>-4.2710062314571022E-2</v>
      </c>
      <c r="K340" s="70">
        <f>-0.0730552041225662-(+J340/52)</f>
        <v>-7.2233856770362911E-2</v>
      </c>
      <c r="L340" s="70">
        <f>-0.0182024133736366-(+K340/52)</f>
        <v>-1.6813300743437315E-2</v>
      </c>
      <c r="M340" s="70">
        <f>-0.0253689436528056-(+L340/52)</f>
        <v>-2.5045610946201037E-2</v>
      </c>
      <c r="N340" s="70">
        <f>-0.0189066356633488-(+M340/52)</f>
        <v>-1.842498929899878E-2</v>
      </c>
    </row>
    <row r="341" spans="1:14">
      <c r="A341" s="68">
        <v>0.17</v>
      </c>
      <c r="B341" s="69">
        <f t="shared" si="10"/>
        <v>1.7000000000000001E-3</v>
      </c>
      <c r="C341" s="70">
        <f t="shared" si="11"/>
        <v>3.2692307692307693E-5</v>
      </c>
      <c r="F341" s="71">
        <v>39990</v>
      </c>
      <c r="G341" s="69">
        <v>1.053458520159342E-2</v>
      </c>
      <c r="H341" s="70">
        <f>-0.00281381897764575-(+G341/52)</f>
        <v>-3.0164071545994695E-3</v>
      </c>
      <c r="I341" s="70">
        <f>0.00877690505244942-(+H341/52)</f>
        <v>8.8349128823455633E-3</v>
      </c>
      <c r="J341" s="70">
        <f>0.0137141187455933-(+I341/52)</f>
        <v>1.3544216574778962E-2</v>
      </c>
      <c r="K341" s="70">
        <f>-0.0180706514200746-(+J341/52)</f>
        <v>-1.8331117123435735E-2</v>
      </c>
      <c r="L341" s="70">
        <f>0.063278497481289-(+K341/52)</f>
        <v>6.363101896443199E-2</v>
      </c>
      <c r="M341" s="70">
        <f>0.0118603970848224-(+L341/52)</f>
        <v>1.0636723643198709E-2</v>
      </c>
      <c r="N341" s="70">
        <f>0.0162862321136615-(+M341/52)</f>
        <v>1.608167973590768E-2</v>
      </c>
    </row>
    <row r="342" spans="1:14">
      <c r="A342" s="68">
        <v>0.19</v>
      </c>
      <c r="B342" s="69">
        <f t="shared" si="10"/>
        <v>1.9E-3</v>
      </c>
      <c r="C342" s="70">
        <f t="shared" si="11"/>
        <v>3.6538461538461537E-5</v>
      </c>
      <c r="F342" s="71">
        <v>39997</v>
      </c>
      <c r="G342" s="69">
        <v>3.2212416521748516E-3</v>
      </c>
      <c r="H342" s="70">
        <f>-0.00676326338655853-(+G342/52)</f>
        <v>-6.8252103414080468E-3</v>
      </c>
      <c r="I342" s="70">
        <f>-0.00930253690063089-(+H342/52)</f>
        <v>-9.1712828556038111E-3</v>
      </c>
      <c r="J342" s="70">
        <f>-0.026618542747575-(+I342/52)</f>
        <v>-2.6442171923428775E-2</v>
      </c>
      <c r="K342" s="70">
        <f>-0.000977511583229754-(+J342/52)</f>
        <v>-4.6900827700996979E-4</v>
      </c>
      <c r="L342" s="70">
        <f>-0.0122408063330438-(+K342/52)</f>
        <v>-1.2231786943101302E-2</v>
      </c>
      <c r="M342" s="70">
        <f>0.00362011425985632-(+L342/52)</f>
        <v>3.855340931839037E-3</v>
      </c>
      <c r="N342" s="70">
        <f>-0.012028284239144-(+M342/52)</f>
        <v>-1.2102425410910136E-2</v>
      </c>
    </row>
    <row r="343" spans="1:14">
      <c r="A343" s="68">
        <v>0.18</v>
      </c>
      <c r="B343" s="69">
        <f t="shared" si="10"/>
        <v>1.8E-3</v>
      </c>
      <c r="C343" s="70">
        <f t="shared" si="11"/>
        <v>3.4615384615384612E-5</v>
      </c>
      <c r="F343" s="71">
        <v>40004</v>
      </c>
      <c r="G343" s="69">
        <v>7.7293222690994236E-3</v>
      </c>
      <c r="H343" s="70">
        <f>-0.0202475705170121-(+G343/52)</f>
        <v>-2.0396211329879396E-2</v>
      </c>
      <c r="I343" s="70">
        <f>-0.0316435741187666-(+H343/52)</f>
        <v>-3.1251339285499689E-2</v>
      </c>
      <c r="J343" s="70">
        <f>-0.0224990343762071-(+I343/52)</f>
        <v>-2.1898047082255186E-2</v>
      </c>
      <c r="K343" s="70">
        <f>-0.085584846753805-(+J343/52)</f>
        <v>-8.5163730463761633E-2</v>
      </c>
      <c r="L343" s="70">
        <f>-0.0162022656846814-(+K343/52)</f>
        <v>-1.4564501637301367E-2</v>
      </c>
      <c r="M343" s="70">
        <f>-0.03525020821983-(+L343/52)</f>
        <v>-3.4970121649881898E-2</v>
      </c>
      <c r="N343" s="70">
        <f>-0.0160436245211212-(+M343/52)</f>
        <v>-1.5371122181700395E-2</v>
      </c>
    </row>
    <row r="344" spans="1:14">
      <c r="A344" s="68">
        <v>0.19</v>
      </c>
      <c r="B344" s="69">
        <f t="shared" si="10"/>
        <v>1.9E-3</v>
      </c>
      <c r="C344" s="70">
        <f t="shared" si="11"/>
        <v>3.6538461538461537E-5</v>
      </c>
      <c r="F344" s="71">
        <v>40011</v>
      </c>
      <c r="G344" s="69">
        <v>-1.7164090900127465E-3</v>
      </c>
      <c r="H344" s="70">
        <f>0.0304697028973834-(+G344/52)</f>
        <v>3.0502710764499032E-2</v>
      </c>
      <c r="I344" s="70">
        <f>0.0674212511025733-(+H344/52)</f>
        <v>6.6834660510948316E-2</v>
      </c>
      <c r="J344" s="70">
        <f>0.0330336856663044-(+I344/52)</f>
        <v>3.1748403733401549E-2</v>
      </c>
      <c r="K344" s="70">
        <f>0.169562393691047-(+J344/52)</f>
        <v>0.16895184746540468</v>
      </c>
      <c r="L344" s="70">
        <f>0.0468402230724986-(+K344/52)</f>
        <v>4.3591149082779279E-2</v>
      </c>
      <c r="M344" s="70">
        <f>0.0836373313946696-(+L344/52)</f>
        <v>8.2799040066154614E-2</v>
      </c>
      <c r="N344" s="70">
        <f>0.0541882348413416-(+M344/52)</f>
        <v>5.2595945609300171E-2</v>
      </c>
    </row>
    <row r="345" spans="1:14">
      <c r="A345" s="68">
        <v>0.18</v>
      </c>
      <c r="B345" s="69">
        <f t="shared" si="10"/>
        <v>1.8E-3</v>
      </c>
      <c r="C345" s="70">
        <f t="shared" si="11"/>
        <v>3.4615384615384612E-5</v>
      </c>
      <c r="F345" s="71">
        <v>40018</v>
      </c>
      <c r="G345" s="69">
        <v>3.4617314714194439E-3</v>
      </c>
      <c r="H345" s="70">
        <f>0.0257647155161505-(+G345/52)</f>
        <v>2.5698143757084742E-2</v>
      </c>
      <c r="I345" s="70">
        <f>0.062913172722836-(+H345/52)</f>
        <v>6.2418977650584372E-2</v>
      </c>
      <c r="J345" s="70">
        <f>-0.0121763854622882-(+I345/52)</f>
        <v>-1.337675041710713E-2</v>
      </c>
      <c r="K345" s="70">
        <f>0.0432388980850287-(+J345/52)</f>
        <v>4.3496143285357683E-2</v>
      </c>
      <c r="L345" s="70">
        <f>0.0461813186813186-(+K345/52)</f>
        <v>4.5344854387369411E-2</v>
      </c>
      <c r="M345" s="70">
        <f>0.0509934528551661-(+L345/52)</f>
        <v>5.0121436424639766E-2</v>
      </c>
      <c r="N345" s="70">
        <f>0.031895539370486-(+M345/52)</f>
        <v>3.0931665593089078E-2</v>
      </c>
    </row>
    <row r="346" spans="1:14">
      <c r="A346" s="68">
        <v>0.19</v>
      </c>
      <c r="B346" s="69">
        <f t="shared" si="10"/>
        <v>1.9E-3</v>
      </c>
      <c r="C346" s="70">
        <f t="shared" si="11"/>
        <v>3.6538461538461537E-5</v>
      </c>
      <c r="F346" s="71">
        <v>40025</v>
      </c>
      <c r="G346" s="69">
        <v>9.5467458816525068E-3</v>
      </c>
      <c r="H346" s="70">
        <f>0.00934016488620521-(+G346/52)</f>
        <v>9.1565736192503536E-3</v>
      </c>
      <c r="I346" s="70">
        <f>0.0120424093166925-(+H346/52)</f>
        <v>1.1866321362476147E-2</v>
      </c>
      <c r="J346" s="70">
        <f>-0.0118940826454815-(+I346/52)</f>
        <v>-1.2122281133221426E-2</v>
      </c>
      <c r="K346" s="70">
        <f>-0.00509466960687409-(+J346/52)</f>
        <v>-4.8615488158506009E-3</v>
      </c>
      <c r="L346" s="70">
        <f>0.023090369155907-(+K346/52)</f>
        <v>2.3183860479288741E-2</v>
      </c>
      <c r="M346" s="70">
        <f>0.015228889294182-(+L346/52)</f>
        <v>1.4783045823426448E-2</v>
      </c>
      <c r="N346" s="70">
        <f>0.00980004835162237-(+M346/52)</f>
        <v>9.5157590088641702E-3</v>
      </c>
    </row>
    <row r="347" spans="1:14">
      <c r="A347" s="68">
        <v>0.19</v>
      </c>
      <c r="B347" s="69">
        <f t="shared" si="10"/>
        <v>1.9E-3</v>
      </c>
      <c r="C347" s="70">
        <f t="shared" si="11"/>
        <v>3.6538461538461537E-5</v>
      </c>
      <c r="F347" s="71">
        <v>40032</v>
      </c>
      <c r="G347" s="69">
        <v>-2.7235332018115139E-3</v>
      </c>
      <c r="H347" s="70">
        <f>0.00470236340497125-(+G347/52)</f>
        <v>4.7547390434676253E-3</v>
      </c>
      <c r="I347" s="70">
        <f>0.0110948423418779-(+H347/52)</f>
        <v>1.1003405052580446E-2</v>
      </c>
      <c r="J347" s="70">
        <f>-0.00860177129869102-(+I347/52)</f>
        <v>-8.813375242009874E-3</v>
      </c>
      <c r="K347" s="70">
        <f>0.0269744216855192-(+J347/52)</f>
        <v>2.7143909670942466E-2</v>
      </c>
      <c r="L347" s="70">
        <f>-0.037097960354296-(+K347/52)</f>
        <v>-3.7619958617198739E-2</v>
      </c>
      <c r="M347" s="70">
        <f>0.0208894727387048-(+L347/52)</f>
        <v>2.1612933481343237E-2</v>
      </c>
      <c r="N347" s="70">
        <f>0.000811664613174718-(+M347/52)</f>
        <v>3.9603127699504033E-4</v>
      </c>
    </row>
    <row r="348" spans="1:14">
      <c r="A348" s="68">
        <v>0.18</v>
      </c>
      <c r="B348" s="69">
        <f t="shared" si="10"/>
        <v>1.8E-3</v>
      </c>
      <c r="C348" s="70">
        <f t="shared" si="11"/>
        <v>3.4615384615384612E-5</v>
      </c>
      <c r="F348" s="71">
        <v>40039</v>
      </c>
      <c r="G348" s="69">
        <v>8.6200755540198955E-3</v>
      </c>
      <c r="H348" s="70">
        <f>0.00850192867826506-(+G348/52)</f>
        <v>8.3361579945339069E-3</v>
      </c>
      <c r="I348" s="70">
        <f>0.00954537110689593-(+H348/52)</f>
        <v>9.3850603762318172E-3</v>
      </c>
      <c r="J348" s="70">
        <f>-0.020897154640262-(+I348/52)</f>
        <v>-2.1077636570574151E-2</v>
      </c>
      <c r="K348" s="70">
        <f>0.00235172708058387-(+J348/52)</f>
        <v>2.7570662454026035E-3</v>
      </c>
      <c r="L348" s="70">
        <f>-0.0126546629518199-(+K348/52)</f>
        <v>-1.2707683456539181E-2</v>
      </c>
      <c r="M348" s="70">
        <f>-0.0100852905432529-(+L348/52)</f>
        <v>-9.8409120152425315E-3</v>
      </c>
      <c r="N348" s="70">
        <f>-0.000554284914115038-(+M348/52)</f>
        <v>-3.6503660612960474E-4</v>
      </c>
    </row>
    <row r="349" spans="1:14">
      <c r="A349" s="68">
        <v>0.18</v>
      </c>
      <c r="B349" s="69">
        <f t="shared" si="10"/>
        <v>1.8E-3</v>
      </c>
      <c r="C349" s="70">
        <f t="shared" si="11"/>
        <v>3.4615384615384612E-5</v>
      </c>
      <c r="F349" s="71">
        <v>40046</v>
      </c>
      <c r="G349" s="69">
        <v>2.1811919808727978E-3</v>
      </c>
      <c r="H349" s="70">
        <f>0.024602436826307-(+G349/52)</f>
        <v>2.456049082667483E-2</v>
      </c>
      <c r="I349" s="70">
        <f>-0.00856112491666164-(+H349/52)</f>
        <v>-9.0334420479438494E-3</v>
      </c>
      <c r="J349" s="70">
        <f>0.0259791816658704-(+I349/52)</f>
        <v>2.6152901705253938E-2</v>
      </c>
      <c r="K349" s="70">
        <f>-0.0345645158096897-(+J349/52)</f>
        <v>-3.5067456227098434E-2</v>
      </c>
      <c r="L349" s="70">
        <f>0.0273862135751386-(+K349/52)</f>
        <v>2.806058773335203E-2</v>
      </c>
      <c r="M349" s="70">
        <f>-0.0169097019692804-(+L349/52)</f>
        <v>-1.7449328656460247E-2</v>
      </c>
      <c r="N349" s="70">
        <f>0.0101461204808023-(+M349/52)</f>
        <v>1.0481684493426536E-2</v>
      </c>
    </row>
    <row r="350" spans="1:14">
      <c r="A350" s="68">
        <v>0.17</v>
      </c>
      <c r="B350" s="69">
        <f t="shared" si="10"/>
        <v>1.7000000000000001E-3</v>
      </c>
      <c r="C350" s="70">
        <f t="shared" si="11"/>
        <v>3.2692307692307693E-5</v>
      </c>
      <c r="F350" s="71">
        <v>40053</v>
      </c>
      <c r="G350" s="69">
        <v>8.0811513520432244E-3</v>
      </c>
      <c r="H350" s="70">
        <f>-0.00943291686289727-(+G350/52)</f>
        <v>-9.5883236196673324E-3</v>
      </c>
      <c r="I350" s="70">
        <f>0.0285542530808536-(+H350/52)</f>
        <v>2.8738643919693357E-2</v>
      </c>
      <c r="J350" s="70">
        <f>-0.00219045120671558-(+I350/52)</f>
        <v>-2.7431174359404519E-3</v>
      </c>
      <c r="K350" s="70">
        <f>0.0406265220846471-(+J350/52)</f>
        <v>4.0679274343030571E-2</v>
      </c>
      <c r="L350" s="70">
        <f>-0.0178439222353232-(+K350/52)</f>
        <v>-1.8626215972689174E-2</v>
      </c>
      <c r="M350" s="70">
        <f>0.0299314576964588-(+L350/52)</f>
        <v>3.0289654157472052E-2</v>
      </c>
      <c r="N350" s="70">
        <f>0.00492385933481664-(+M350/52)</f>
        <v>4.3413659856344853E-3</v>
      </c>
    </row>
    <row r="351" spans="1:14">
      <c r="A351" s="68">
        <v>0.16</v>
      </c>
      <c r="B351" s="69">
        <f t="shared" si="10"/>
        <v>1.6000000000000001E-3</v>
      </c>
      <c r="C351" s="70">
        <f t="shared" si="11"/>
        <v>3.0769230769230768E-5</v>
      </c>
      <c r="F351" s="71">
        <v>40060</v>
      </c>
      <c r="G351" s="69">
        <v>-2.7898641265470918E-4</v>
      </c>
      <c r="H351" s="70">
        <f>-0.00829219862122964-(+G351/52)</f>
        <v>-8.2868334979093565E-3</v>
      </c>
      <c r="I351" s="70">
        <f>-0.0318081407443363-(+H351/52)</f>
        <v>-3.1648778561684195E-2</v>
      </c>
      <c r="J351" s="70">
        <f>-0.00538298739368768-(+I351/52)</f>
        <v>-4.7743570367322153E-3</v>
      </c>
      <c r="K351" s="70">
        <f>0.0199143711601279-(+J351/52)</f>
        <v>2.0006185718526599E-2</v>
      </c>
      <c r="L351" s="70">
        <f>0.0170746290880581-(+K351/52)</f>
        <v>1.6689894747317205E-2</v>
      </c>
      <c r="M351" s="70">
        <f>-0.0140068470603726-(+L351/52)</f>
        <v>-1.4327806574744086E-2</v>
      </c>
      <c r="N351" s="70">
        <f>-0.00913236757204385-(+M351/52)</f>
        <v>-8.8568328302218481E-3</v>
      </c>
    </row>
    <row r="352" spans="1:14">
      <c r="A352" s="68">
        <v>0.14000000000000001</v>
      </c>
      <c r="B352" s="69">
        <f t="shared" si="10"/>
        <v>1.4000000000000002E-3</v>
      </c>
      <c r="C352" s="70">
        <f t="shared" si="11"/>
        <v>2.6923076923076927E-5</v>
      </c>
      <c r="F352" s="71">
        <v>40067</v>
      </c>
      <c r="G352" s="69">
        <v>1.1883586738753716E-2</v>
      </c>
      <c r="H352" s="70">
        <f>0.0321771009588268-(+G352/52)</f>
        <v>3.1948570444620003E-2</v>
      </c>
      <c r="I352" s="70">
        <f>0.0699420900775543-(+H352/52)</f>
        <v>6.932769449208083E-2</v>
      </c>
      <c r="J352" s="70">
        <f>0.0387901696326499-(+I352/52)</f>
        <v>3.7456944738571418E-2</v>
      </c>
      <c r="K352" s="70">
        <f>0.0872852167276135-(+J352/52)</f>
        <v>8.6564890867256356E-2</v>
      </c>
      <c r="L352" s="70">
        <f>0.0750197868962709-(+K352/52)</f>
        <v>7.3355077456515969E-2</v>
      </c>
      <c r="M352" s="70">
        <f>0.0691706312773001-(+L352/52)</f>
        <v>6.7759956710828628E-2</v>
      </c>
      <c r="N352" s="70">
        <f>0.0266281290082937-(+M352/52)</f>
        <v>2.532505291770084E-2</v>
      </c>
    </row>
    <row r="353" spans="1:14">
      <c r="A353" s="68">
        <v>0.14000000000000001</v>
      </c>
      <c r="B353" s="69">
        <f t="shared" si="10"/>
        <v>1.4000000000000002E-3</v>
      </c>
      <c r="C353" s="70">
        <f t="shared" si="11"/>
        <v>2.6923076923076927E-5</v>
      </c>
      <c r="F353" s="71">
        <v>40074</v>
      </c>
      <c r="G353" s="69">
        <v>1.8865798280130602E-3</v>
      </c>
      <c r="H353" s="70">
        <f>0.0112360318024098-(+G353/52)</f>
        <v>1.1199751421101857E-2</v>
      </c>
      <c r="I353" s="70">
        <f>0.0386281484881519-(+H353/52)</f>
        <v>3.8412768653130709E-2</v>
      </c>
      <c r="J353" s="70">
        <f>0.00557262543178304-(+I353/52)</f>
        <v>4.8339183422997575E-3</v>
      </c>
      <c r="K353" s="70">
        <f>-0.000995201706060173-(+J353/52)</f>
        <v>-1.0881616741813221E-3</v>
      </c>
      <c r="L353" s="70">
        <f>0.05151147932721-(+K353/52)</f>
        <v>5.1532405513251951E-2</v>
      </c>
      <c r="M353" s="70">
        <f>0.0190688330748493-(+L353/52)</f>
        <v>1.8077825276517533E-2</v>
      </c>
      <c r="N353" s="70">
        <f>0.0215617880341688-(+M353/52)</f>
        <v>2.1214137548081925E-2</v>
      </c>
    </row>
    <row r="354" spans="1:14">
      <c r="A354" s="68">
        <v>0.11</v>
      </c>
      <c r="B354" s="69">
        <f t="shared" si="10"/>
        <v>1.1000000000000001E-3</v>
      </c>
      <c r="C354" s="70">
        <f t="shared" si="11"/>
        <v>2.1153846153846154E-5</v>
      </c>
      <c r="F354" s="71">
        <v>40081</v>
      </c>
      <c r="G354" s="69">
        <v>2.0417000754852995E-3</v>
      </c>
      <c r="H354" s="70">
        <f>-0.0230937054623807-(+G354/52)</f>
        <v>-2.3132968925370801E-2</v>
      </c>
      <c r="I354" s="70">
        <f>-0.00567608998881351-(+H354/52)</f>
        <v>-5.2312252017871486E-3</v>
      </c>
      <c r="J354" s="70">
        <f>-0.0467125948137885-(+I354/52)</f>
        <v>-4.6611994329138748E-2</v>
      </c>
      <c r="K354" s="70">
        <f>-0.00281068772903554-(+J354/52)</f>
        <v>-1.9143032227059487E-3</v>
      </c>
      <c r="L354" s="70">
        <f>-0.0145954308459886-(+K354/52)</f>
        <v>-1.4558617322475024E-2</v>
      </c>
      <c r="M354" s="70">
        <f>-0.00250753281242013-(+L354/52)</f>
        <v>-2.2275594023725333E-3</v>
      </c>
      <c r="N354" s="70">
        <f>-0.0114221836071743-(+M354/52)</f>
        <v>-1.1379345926359443E-2</v>
      </c>
    </row>
    <row r="355" spans="1:14">
      <c r="A355" s="68">
        <v>0.11</v>
      </c>
      <c r="B355" s="69">
        <f t="shared" si="10"/>
        <v>1.1000000000000001E-3</v>
      </c>
      <c r="C355" s="70">
        <f t="shared" si="11"/>
        <v>2.1153846153846154E-5</v>
      </c>
      <c r="F355" s="71">
        <v>40088</v>
      </c>
      <c r="G355" s="69">
        <v>2.6027014105627342E-3</v>
      </c>
      <c r="H355" s="70">
        <f>-0.00286247666459232-(+G355/52)</f>
        <v>-2.9125286147954495E-3</v>
      </c>
      <c r="I355" s="70">
        <f>-0.00855579321647824-(+H355/52)</f>
        <v>-8.4997830508090969E-3</v>
      </c>
      <c r="J355" s="70">
        <f>0.00510322584926559-(+I355/52)</f>
        <v>5.2666832156273028E-3</v>
      </c>
      <c r="K355" s="70">
        <f>-0.016715427429713-(+J355/52)</f>
        <v>-1.6816709799244295E-2</v>
      </c>
      <c r="L355" s="70">
        <f>-0.0243670281692744-(+K355/52)</f>
        <v>-2.4043629903904316E-2</v>
      </c>
      <c r="M355" s="70">
        <f>0.0160660253226772-(+L355/52)</f>
        <v>1.6528402820829204E-2</v>
      </c>
      <c r="N355" s="70">
        <f>-0.00283815782844536-(+M355/52)</f>
        <v>-3.1560117288459218E-3</v>
      </c>
    </row>
    <row r="356" spans="1:14">
      <c r="A356" s="68">
        <v>0.12</v>
      </c>
      <c r="B356" s="69">
        <f t="shared" si="10"/>
        <v>1.1999999999999999E-3</v>
      </c>
      <c r="C356" s="70">
        <f t="shared" si="11"/>
        <v>2.3076923076923076E-5</v>
      </c>
      <c r="F356" s="71">
        <v>40095</v>
      </c>
      <c r="G356" s="69">
        <v>3.8616924145384152E-3</v>
      </c>
      <c r="H356" s="70">
        <f>0.0118086758750763-(+G356/52)</f>
        <v>1.17344125594121E-2</v>
      </c>
      <c r="I356" s="70">
        <f>0.0313571115033669-(+H356/52)</f>
        <v>3.1131449723378203E-2</v>
      </c>
      <c r="J356" s="70">
        <f>0.00523577493430526-(+I356/52)</f>
        <v>4.6370932088556794E-3</v>
      </c>
      <c r="K356" s="70">
        <f>0.0105816506104973-(+J356/52)</f>
        <v>1.0492475741096229E-2</v>
      </c>
      <c r="L356" s="70">
        <f>0.0442574831582238-(+K356/52)</f>
        <v>4.4055704778587335E-2</v>
      </c>
      <c r="M356" s="70">
        <f>0.0433998296860276-(+L356/52)</f>
        <v>4.2552604594131689E-2</v>
      </c>
      <c r="N356" s="70">
        <f>0.0365912535788469-(+M356/52)</f>
        <v>3.5772934259728981E-2</v>
      </c>
    </row>
    <row r="357" spans="1:14">
      <c r="A357" s="68">
        <v>0.08</v>
      </c>
      <c r="B357" s="69">
        <f t="shared" si="10"/>
        <v>8.0000000000000004E-4</v>
      </c>
      <c r="C357" s="70">
        <f t="shared" si="11"/>
        <v>1.5384615384615384E-5</v>
      </c>
      <c r="F357" s="71">
        <v>40102</v>
      </c>
      <c r="G357" s="69">
        <v>-2.1006921429532438E-3</v>
      </c>
      <c r="H357" s="70">
        <f>0.000137062342806657-(+G357/52)</f>
        <v>1.7746026863268093E-4</v>
      </c>
      <c r="I357" s="70">
        <f>0.0175313885203815-(+H357/52)</f>
        <v>1.7527975822907795E-2</v>
      </c>
      <c r="J357" s="70">
        <f>0.000532016210074118-(+I357/52)</f>
        <v>1.9493975194127578E-4</v>
      </c>
      <c r="K357" s="70">
        <f>0.0146582947726527-(+J357/52)</f>
        <v>1.4654545931269213E-2</v>
      </c>
      <c r="L357" s="70">
        <f>0.0597287493990741-(+K357/52)</f>
        <v>5.9446931208088152E-2</v>
      </c>
      <c r="M357" s="70">
        <f>0.0188680156468828-(+L357/52)</f>
        <v>1.7724805431342642E-2</v>
      </c>
      <c r="N357" s="70">
        <f>0.0126456825960746-(+M357/52)</f>
        <v>1.2304820953164163E-2</v>
      </c>
    </row>
    <row r="358" spans="1:14">
      <c r="A358" s="68">
        <v>7.0000000000000007E-2</v>
      </c>
      <c r="B358" s="69">
        <f t="shared" si="10"/>
        <v>7.000000000000001E-4</v>
      </c>
      <c r="C358" s="70">
        <f t="shared" si="11"/>
        <v>1.3461538461538463E-5</v>
      </c>
      <c r="F358" s="71">
        <v>40109</v>
      </c>
      <c r="G358" s="69">
        <v>3.558818204113594E-4</v>
      </c>
      <c r="H358" s="70">
        <f>0.00815409177807157-(+G358/52)</f>
        <v>8.1472478969098119E-3</v>
      </c>
      <c r="I358" s="70">
        <f>-0.00450757120672091-(+H358/52)</f>
        <v>-4.6642490508922519E-3</v>
      </c>
      <c r="J358" s="70">
        <f>-0.0116981330252343-(+I358/52)</f>
        <v>-1.1608435928101757E-2</v>
      </c>
      <c r="K358" s="70">
        <f>-0.0138891960632534-(+J358/52)</f>
        <v>-1.3665956910789905E-2</v>
      </c>
      <c r="L358" s="70">
        <f>-0.0187173734620531-(+K358/52)</f>
        <v>-1.8454566598384063E-2</v>
      </c>
      <c r="M358" s="70">
        <f>0.000701498267583679-(+L358/52)</f>
        <v>1.0563937790910648E-3</v>
      </c>
      <c r="N358" s="70">
        <f>-0.0082093024499553-(+M358/52)</f>
        <v>-8.2296177149378206E-3</v>
      </c>
    </row>
    <row r="359" spans="1:14">
      <c r="A359" s="68">
        <v>7.0000000000000007E-2</v>
      </c>
      <c r="B359" s="69">
        <f t="shared" si="10"/>
        <v>7.000000000000001E-4</v>
      </c>
      <c r="C359" s="70">
        <f t="shared" si="11"/>
        <v>1.3461538461538463E-5</v>
      </c>
      <c r="F359" s="71">
        <v>40116</v>
      </c>
      <c r="G359" s="69">
        <v>-6.3824369978528986E-4</v>
      </c>
      <c r="H359" s="70">
        <f>0.0000883578356409064-(+G359/52)</f>
        <v>1.0063175294446966E-4</v>
      </c>
      <c r="I359" s="70">
        <f>-0.0509431432147326-(+H359/52)</f>
        <v>-5.0945078440750767E-2</v>
      </c>
      <c r="J359" s="70">
        <f>-0.00978412487545667-(+I359/52)</f>
        <v>-8.8044118285191559E-3</v>
      </c>
      <c r="K359" s="70">
        <f>-0.0690470316459954-(+J359/52)</f>
        <v>-6.8877716033908493E-2</v>
      </c>
      <c r="L359" s="70">
        <f>-0.0578696300259159-(+K359/52)</f>
        <v>-5.6545058563725353E-2</v>
      </c>
      <c r="M359" s="70">
        <f>-0.056672587329781-(+L359/52)</f>
        <v>-5.5585182357401661E-2</v>
      </c>
      <c r="N359" s="70">
        <f>-0.0277490185928131-(+M359/52)</f>
        <v>-2.6680072778247684E-2</v>
      </c>
    </row>
    <row r="360" spans="1:14">
      <c r="A360" s="68">
        <v>7.0000000000000007E-2</v>
      </c>
      <c r="B360" s="69">
        <f t="shared" si="10"/>
        <v>7.000000000000001E-4</v>
      </c>
      <c r="C360" s="70">
        <f t="shared" si="11"/>
        <v>1.3461538461538463E-5</v>
      </c>
      <c r="F360" s="71">
        <v>40123</v>
      </c>
      <c r="G360" s="69">
        <v>1.5690229413373293E-3</v>
      </c>
      <c r="H360" s="70">
        <f>0.0166098054940125-(+G360/52)</f>
        <v>1.6579631975909857E-2</v>
      </c>
      <c r="I360" s="70">
        <f>0.0189616763139178-(+H360/52)</f>
        <v>1.8642837237457997E-2</v>
      </c>
      <c r="J360" s="70">
        <f>0.0186413732500654-(+I360/52)</f>
        <v>1.8282857149345057E-2</v>
      </c>
      <c r="K360" s="70">
        <f>-0.0179867207601354-(+J360/52)</f>
        <v>-1.8338314166853574E-2</v>
      </c>
      <c r="L360" s="70">
        <f>0.0560667097352926-(+K360/52)</f>
        <v>5.6419369623116701E-2</v>
      </c>
      <c r="M360" s="70">
        <f>0.0664942759590281-(+L360/52)</f>
        <v>6.5409288081660466E-2</v>
      </c>
      <c r="N360" s="70">
        <f>0.0116637641290723-(+M360/52)</f>
        <v>1.0405893204424983E-2</v>
      </c>
    </row>
    <row r="361" spans="1:14">
      <c r="A361" s="68">
        <v>0.05</v>
      </c>
      <c r="B361" s="69">
        <f t="shared" si="10"/>
        <v>5.0000000000000001E-4</v>
      </c>
      <c r="C361" s="70">
        <f t="shared" si="11"/>
        <v>9.6153846153846157E-6</v>
      </c>
      <c r="F361" s="71">
        <v>40130</v>
      </c>
      <c r="G361" s="69">
        <v>5.1737130235056748E-3</v>
      </c>
      <c r="H361" s="70">
        <f>0.0269945048333401-(+G361/52)</f>
        <v>2.6895010352118838E-2</v>
      </c>
      <c r="I361" s="70">
        <f>0.0143194560640447-(+H361/52)</f>
        <v>1.3802244326503952E-2</v>
      </c>
      <c r="J361" s="70">
        <f>0.0340322410704879-(+I361/52)</f>
        <v>3.3766813294978208E-2</v>
      </c>
      <c r="K361" s="70">
        <f>0.0393701946430236-(+J361/52)</f>
        <v>3.87208328488894E-2</v>
      </c>
      <c r="L361" s="70">
        <f>0.038766055519514-(+K361/52)</f>
        <v>3.8021424118573822E-2</v>
      </c>
      <c r="M361" s="70">
        <f>0.0167276356736956-(+L361/52)</f>
        <v>1.5996454440646103E-2</v>
      </c>
      <c r="N361" s="70">
        <f>0.0193525396781886-(+M361/52)</f>
        <v>1.9044915554330022E-2</v>
      </c>
    </row>
    <row r="362" spans="1:14">
      <c r="A362" s="68">
        <v>7.0000000000000007E-2</v>
      </c>
      <c r="B362" s="69">
        <f t="shared" si="10"/>
        <v>7.000000000000001E-4</v>
      </c>
      <c r="C362" s="70">
        <f t="shared" si="11"/>
        <v>1.3461538461538463E-5</v>
      </c>
      <c r="F362" s="71">
        <v>40137</v>
      </c>
      <c r="G362" s="69">
        <v>5.3320213965635408E-3</v>
      </c>
      <c r="H362" s="70">
        <f>0.00776571369056922-(+G362/52)</f>
        <v>7.663174817558383E-3</v>
      </c>
      <c r="I362" s="70">
        <f>-0.0279566364543602-(+H362/52)</f>
        <v>-2.8104005200851705E-2</v>
      </c>
      <c r="J362" s="70">
        <f>-6.36845323007369E-06-(+I362/52)</f>
        <v>5.3409318524784367E-4</v>
      </c>
      <c r="K362" s="70">
        <f>-0.0367695307152332-(+J362/52)</f>
        <v>-3.6779801738026426E-2</v>
      </c>
      <c r="L362" s="70">
        <f>0.00693929337363125-(+K362/52)</f>
        <v>7.6465972532086812E-3</v>
      </c>
      <c r="M362" s="70">
        <f>-0.0100992794828576-(+L362/52)</f>
        <v>-1.024632943003469E-2</v>
      </c>
      <c r="N362" s="70">
        <f>-0.00285045849355955-(+M362/52)</f>
        <v>-2.6534136968281137E-3</v>
      </c>
    </row>
    <row r="363" spans="1:14">
      <c r="A363" s="68">
        <v>0.04</v>
      </c>
      <c r="B363" s="69">
        <f t="shared" si="10"/>
        <v>4.0000000000000002E-4</v>
      </c>
      <c r="C363" s="70">
        <f t="shared" si="11"/>
        <v>7.6923076923076919E-6</v>
      </c>
      <c r="F363" s="71">
        <v>40144</v>
      </c>
      <c r="G363" s="69">
        <v>8.1498589411421445E-3</v>
      </c>
      <c r="H363" s="70">
        <f>0.00821615197297456-(+G363/52)</f>
        <v>8.0594239164141334E-3</v>
      </c>
      <c r="I363" s="70">
        <f>-0.0172564131413141-(+H363/52)</f>
        <v>-1.7411402062783604E-2</v>
      </c>
      <c r="J363" s="70">
        <f>0.0233596352126759-(+I363/52)</f>
        <v>2.3694469867729433E-2</v>
      </c>
      <c r="K363" s="70">
        <f>-0.0698329772009959-(+J363/52)</f>
        <v>-7.0288640083067622E-2</v>
      </c>
      <c r="L363" s="70">
        <f>-0.0027947710494873-(+K363/52)</f>
        <v>-1.4430664325052302E-3</v>
      </c>
      <c r="M363" s="70">
        <f>-0.0142158811834873-(+L363/52)</f>
        <v>-1.4188129905939121E-2</v>
      </c>
      <c r="N363" s="70">
        <f>0.0101723254496913-(+M363/52)</f>
        <v>1.0445174101728591E-2</v>
      </c>
    </row>
    <row r="364" spans="1:14">
      <c r="A364" s="68">
        <v>0.05</v>
      </c>
      <c r="B364" s="69">
        <f t="shared" si="10"/>
        <v>5.0000000000000001E-4</v>
      </c>
      <c r="C364" s="70">
        <f t="shared" si="11"/>
        <v>9.6153846153846157E-6</v>
      </c>
      <c r="F364" s="71">
        <v>40151</v>
      </c>
      <c r="G364" s="69">
        <v>-5.0288957979764412E-3</v>
      </c>
      <c r="H364" s="70">
        <f>0.0104555734228549-(+G364/52)</f>
        <v>1.055228295743137E-2</v>
      </c>
      <c r="I364" s="70">
        <f>0.0324856533623366-(+H364/52)</f>
        <v>3.2282724843924457E-2</v>
      </c>
      <c r="J364" s="70">
        <f>0.0246249012079083-(+I364/52)</f>
        <v>2.4004079576294367E-2</v>
      </c>
      <c r="K364" s="70">
        <f>0.00926262546431672-(+J364/52)</f>
        <v>8.8010085493879821E-3</v>
      </c>
      <c r="L364" s="70">
        <f>0.0082350414180185-(+K364/52)</f>
        <v>8.0657912536071935E-3</v>
      </c>
      <c r="M364" s="70">
        <f>0.0233182749981018-(+L364/52)</f>
        <v>2.3163163627840121E-2</v>
      </c>
      <c r="N364" s="70">
        <f>0.0287520489505635-(+M364/52)</f>
        <v>2.830660349618196E-2</v>
      </c>
    </row>
    <row r="365" spans="1:14">
      <c r="A365" s="68">
        <v>0.06</v>
      </c>
      <c r="B365" s="69">
        <f t="shared" si="10"/>
        <v>5.9999999999999995E-4</v>
      </c>
      <c r="C365" s="70">
        <f t="shared" si="11"/>
        <v>1.1538461538461538E-5</v>
      </c>
      <c r="F365" s="71">
        <v>40158</v>
      </c>
      <c r="G365" s="69">
        <v>-3.0878250317494587E-3</v>
      </c>
      <c r="H365" s="70">
        <f>0.00315113396440552-(+G365/52)</f>
        <v>3.2105152150160863E-3</v>
      </c>
      <c r="I365" s="70">
        <f>-0.0126593390346559-(+H365/52)</f>
        <v>-1.2721079711867748E-2</v>
      </c>
      <c r="J365" s="70">
        <f>-0.00680239055439486-(+I365/52)</f>
        <v>-6.5577544060897112E-3</v>
      </c>
      <c r="K365" s="70">
        <f>-0.0630634863458155-(+J365/52)</f>
        <v>-6.2937375684159927E-2</v>
      </c>
      <c r="L365" s="70">
        <f>-0.0187744070069878-(+K365/52)</f>
        <v>-1.7564072859215494E-2</v>
      </c>
      <c r="M365" s="70">
        <f>-0.0237653605379086-(+L365/52)</f>
        <v>-2.342758990600061E-2</v>
      </c>
      <c r="N365" s="70">
        <f>0.0211858249081359-(+M365/52)</f>
        <v>2.1636355483251296E-2</v>
      </c>
    </row>
    <row r="366" spans="1:14">
      <c r="A366" s="68">
        <v>0.03</v>
      </c>
      <c r="B366" s="69">
        <f t="shared" si="10"/>
        <v>2.9999999999999997E-4</v>
      </c>
      <c r="C366" s="70">
        <f t="shared" si="11"/>
        <v>5.7692307692307689E-6</v>
      </c>
      <c r="F366" s="71">
        <v>40165</v>
      </c>
      <c r="G366" s="69">
        <v>-3.6638804279405055E-3</v>
      </c>
      <c r="H366" s="70">
        <f>-0.000151689441150823-(+G366/52)</f>
        <v>-8.1230202151967129E-5</v>
      </c>
      <c r="I366" s="70">
        <f>0.0223115474424546-(+H366/52)</f>
        <v>2.2313109561726753E-2</v>
      </c>
      <c r="J366" s="70">
        <f>-0.0054058020644782-(+I366/52)</f>
        <v>-5.834900325280638E-3</v>
      </c>
      <c r="K366" s="70">
        <f>0.0453048647986048-(+J366/52)</f>
        <v>4.5417074420244813E-2</v>
      </c>
      <c r="L366" s="70">
        <f>0.0414324404180343-(+K366/52)</f>
        <v>4.05590351407219E-2</v>
      </c>
      <c r="M366" s="70">
        <f>-0.0294121838261489-(+L366/52)</f>
        <v>-3.0192165271162783E-2</v>
      </c>
      <c r="N366" s="70">
        <f>0.000086400552963576-(+M366/52)</f>
        <v>6.6701911587055266E-4</v>
      </c>
    </row>
    <row r="367" spans="1:14">
      <c r="A367" s="68">
        <v>0.04</v>
      </c>
      <c r="B367" s="69">
        <f t="shared" si="10"/>
        <v>4.0000000000000002E-4</v>
      </c>
      <c r="C367" s="70">
        <f t="shared" si="11"/>
        <v>7.6923076923076919E-6</v>
      </c>
      <c r="F367" s="71">
        <v>40172</v>
      </c>
      <c r="G367" s="69">
        <v>-7.9186651471327956E-3</v>
      </c>
      <c r="H367" s="70">
        <f>0.0194697649721228-(+G367/52)</f>
        <v>1.9622046994183046E-2</v>
      </c>
      <c r="I367" s="70">
        <f>0.00306679666222659-(+H367/52)</f>
        <v>2.689449604646147E-3</v>
      </c>
      <c r="J367" s="70">
        <f>0.0105875408868449-(+I367/52)</f>
        <v>1.0535820702140167E-2</v>
      </c>
      <c r="K367" s="70">
        <f>0.0446898786806252-(+J367/52)</f>
        <v>4.448726674404558E-2</v>
      </c>
      <c r="L367" s="70">
        <f>0.0298324012218668-(+K367/52)</f>
        <v>2.8976876861404384E-2</v>
      </c>
      <c r="M367" s="70">
        <f>0.0186460336803159-(+L367/52)</f>
        <v>1.8088786048365817E-2</v>
      </c>
      <c r="N367" s="70">
        <f>0.0130148646931774-(+M367/52)</f>
        <v>1.2667003423016519E-2</v>
      </c>
    </row>
    <row r="368" spans="1:14">
      <c r="A368" s="68">
        <v>7.0000000000000007E-2</v>
      </c>
      <c r="B368" s="69">
        <f t="shared" si="10"/>
        <v>7.000000000000001E-4</v>
      </c>
      <c r="C368" s="70">
        <f t="shared" si="11"/>
        <v>1.3461538461538463E-5</v>
      </c>
      <c r="F368" s="71">
        <v>40179</v>
      </c>
      <c r="G368" s="69">
        <v>-7.152046648021879E-4</v>
      </c>
      <c r="H368" s="70">
        <f>0.0120478192393071-(+G368/52)</f>
        <v>1.2061573175168681E-2</v>
      </c>
      <c r="I368" s="70">
        <f>0.0265219792004163-(+H368/52)</f>
        <v>2.6290025870124595E-2</v>
      </c>
      <c r="J368" s="70">
        <f>0.00949101395665765-(+I368/52)</f>
        <v>8.9854365360783305E-3</v>
      </c>
      <c r="K368" s="70">
        <f>0.0102659346490601-(+J368/52)</f>
        <v>1.0093137792597056E-2</v>
      </c>
      <c r="L368" s="70">
        <f>-0.00551955653430653-(+K368/52)</f>
        <v>-5.7136553380103192E-3</v>
      </c>
      <c r="M368" s="70">
        <f>0.0119052766607574-(+L368/52)</f>
        <v>1.2015154648026828E-2</v>
      </c>
      <c r="N368" s="70">
        <f>0.00679756792551279-(+M368/52)</f>
        <v>6.5665072592045815E-3</v>
      </c>
    </row>
    <row r="369" spans="1:14">
      <c r="A369" s="68">
        <v>0.08</v>
      </c>
      <c r="B369" s="69">
        <f t="shared" si="10"/>
        <v>8.0000000000000004E-4</v>
      </c>
      <c r="C369" s="70">
        <f t="shared" si="11"/>
        <v>1.5384615384615384E-5</v>
      </c>
      <c r="F369" s="71">
        <v>40186</v>
      </c>
      <c r="G369" s="69">
        <v>4.0616178251047198E-3</v>
      </c>
      <c r="H369" s="70">
        <f>-0.0193300942916487-(+G369/52)</f>
        <v>-1.9408202326746869E-2</v>
      </c>
      <c r="I369" s="70">
        <f>0.043587270116603-(+H369/52)</f>
        <v>4.3960504776732752E-2</v>
      </c>
      <c r="J369" s="70">
        <f>-0.00236249894531301-(+I369/52)</f>
        <v>-3.2078932679424858E-3</v>
      </c>
      <c r="K369" s="70">
        <f>0.0641666666666668-(+J369/52)</f>
        <v>6.4228356921819538E-2</v>
      </c>
      <c r="L369" s="70">
        <f>0.0143441153901641-(+K369/52)</f>
        <v>1.3108954680129108E-2</v>
      </c>
      <c r="M369" s="70">
        <f>0.0362451987218749-(+L369/52)</f>
        <v>3.5993103439564723E-2</v>
      </c>
      <c r="N369" s="70">
        <f>0.0022173390934321-(+M369/52)</f>
        <v>1.5251640272866246E-3</v>
      </c>
    </row>
    <row r="370" spans="1:14">
      <c r="A370" s="68">
        <v>0.06</v>
      </c>
      <c r="B370" s="69">
        <f t="shared" si="10"/>
        <v>5.9999999999999995E-4</v>
      </c>
      <c r="C370" s="70">
        <f t="shared" si="11"/>
        <v>1.1538461538461538E-5</v>
      </c>
      <c r="F370" s="71">
        <v>40193</v>
      </c>
      <c r="G370" s="69">
        <v>8.788519466334202E-3</v>
      </c>
      <c r="H370" s="70">
        <f>-0.000381102322849833-(+G370/52)</f>
        <v>-5.5011231258702913E-4</v>
      </c>
      <c r="I370" s="70">
        <f>-0.0244083218320297-(+H370/52)</f>
        <v>-2.4397742749095334E-2</v>
      </c>
      <c r="J370" s="70">
        <f>0.0019270965481412-(+I370/52)</f>
        <v>2.3962839087007257E-3</v>
      </c>
      <c r="K370" s="70">
        <f>0.0350252723001351-(+J370/52)</f>
        <v>3.4979189917275472E-2</v>
      </c>
      <c r="L370" s="70">
        <f>0.00409221710913216-(+K370/52)</f>
        <v>3.4195403799537859E-3</v>
      </c>
      <c r="M370" s="70">
        <f>-0.0017685734576528-(+L370/52)</f>
        <v>-1.8343338495749883E-3</v>
      </c>
      <c r="N370" s="70">
        <f>-0.00401221064354463-(+M370/52)</f>
        <v>-3.9769349925912649E-3</v>
      </c>
    </row>
    <row r="371" spans="1:14">
      <c r="A371" s="68">
        <v>0.05</v>
      </c>
      <c r="B371" s="69">
        <f t="shared" si="10"/>
        <v>5.0000000000000001E-4</v>
      </c>
      <c r="C371" s="70">
        <f t="shared" si="11"/>
        <v>9.6153846153846157E-6</v>
      </c>
      <c r="F371" s="71">
        <v>40200</v>
      </c>
      <c r="G371" s="69">
        <v>-4.5030076171640853E-3</v>
      </c>
      <c r="H371" s="70">
        <f>-0.0234311035556028-(+G371/52)</f>
        <v>-2.3344507255272724E-2</v>
      </c>
      <c r="I371" s="70">
        <f>-0.0386113367041298-(+H371/52)</f>
        <v>-3.8162403872297634E-2</v>
      </c>
      <c r="J371" s="70">
        <f>0.00657811435427763-(+I371/52)</f>
        <v>7.3120067364372005E-3</v>
      </c>
      <c r="K371" s="70">
        <f>-0.0148520072448815-(+J371/52)</f>
        <v>-1.4992622759043754E-2</v>
      </c>
      <c r="L371" s="70">
        <f>-0.0398255773535588-(+K371/52)</f>
        <v>-3.9537257685115651E-2</v>
      </c>
      <c r="M371" s="70">
        <f>-0.0387480550238905-(+L371/52)</f>
        <v>-3.7987723145330582E-2</v>
      </c>
      <c r="N371" s="70">
        <f>-0.020171817360442-(+M371/52)</f>
        <v>-1.9441284223031798E-2</v>
      </c>
    </row>
    <row r="372" spans="1:14">
      <c r="A372" s="68">
        <v>0.06</v>
      </c>
      <c r="B372" s="69">
        <f t="shared" si="10"/>
        <v>5.9999999999999995E-4</v>
      </c>
      <c r="C372" s="70">
        <f t="shared" si="11"/>
        <v>1.1538461538461538E-5</v>
      </c>
      <c r="F372" s="71">
        <v>40207</v>
      </c>
      <c r="G372" s="69">
        <v>-7.9449316887427368E-4</v>
      </c>
      <c r="H372" s="70">
        <f>-0.0165437882395105-(+G372/52)</f>
        <v>-1.6528509524724455E-2</v>
      </c>
      <c r="I372" s="70">
        <f>-0.0303156919471531-(+H372/52)</f>
        <v>-2.9997835994754554E-2</v>
      </c>
      <c r="J372" s="70">
        <f>-0.0158735863523098-(+I372/52)</f>
        <v>-1.5296704890872214E-2</v>
      </c>
      <c r="K372" s="70">
        <f>-0.0444923340439199-(+J372/52)</f>
        <v>-4.4198166642172354E-2</v>
      </c>
      <c r="L372" s="70">
        <f>-0.00447264914411488-(+K372/52)</f>
        <v>-3.6226844009961809E-3</v>
      </c>
      <c r="M372" s="70">
        <f>-0.0319299803750232-(+L372/52)</f>
        <v>-3.1860313367311731E-2</v>
      </c>
      <c r="N372" s="70">
        <f>-0.0297725790674927-(+M372/52)</f>
        <v>-2.9159880733505936E-2</v>
      </c>
    </row>
    <row r="373" spans="1:14">
      <c r="A373" s="68">
        <v>7.0000000000000007E-2</v>
      </c>
      <c r="B373" s="69">
        <f t="shared" si="10"/>
        <v>7.000000000000001E-4</v>
      </c>
      <c r="C373" s="70">
        <f t="shared" si="11"/>
        <v>1.3461538461538463E-5</v>
      </c>
      <c r="F373" s="71">
        <v>40214</v>
      </c>
      <c r="G373" s="69">
        <v>-2.2095210315142104E-3</v>
      </c>
      <c r="H373" s="70">
        <f>-0.0258871455810291-(+G373/52)</f>
        <v>-2.5844654791961519E-2</v>
      </c>
      <c r="I373" s="70">
        <f>-0.0257273732131816-(+H373/52)</f>
        <v>-2.5230360621028493E-2</v>
      </c>
      <c r="J373" s="70">
        <f>-0.016385260569467-(+I373/52)</f>
        <v>-1.5900061326754915E-2</v>
      </c>
      <c r="K373" s="70">
        <f>-0.0164209131605995-(+J373/52)</f>
        <v>-1.6115142750469599E-2</v>
      </c>
      <c r="L373" s="70">
        <f>-0.0450019818253883-(+K373/52)</f>
        <v>-4.4692075234033117E-2</v>
      </c>
      <c r="M373" s="70">
        <f>-0.0645506560126271-(+L373/52)</f>
        <v>-6.3691193027357235E-2</v>
      </c>
      <c r="N373" s="70">
        <f>-0.0124551049127303-(+M373/52)</f>
        <v>-1.1230274277588813E-2</v>
      </c>
    </row>
    <row r="374" spans="1:14">
      <c r="A374" s="68">
        <v>0.1</v>
      </c>
      <c r="B374" s="69">
        <f t="shared" si="10"/>
        <v>1E-3</v>
      </c>
      <c r="C374" s="70">
        <f t="shared" si="11"/>
        <v>1.9230769230769231E-5</v>
      </c>
      <c r="F374" s="71">
        <v>40221</v>
      </c>
      <c r="G374" s="69">
        <v>-3.8791217659533321E-3</v>
      </c>
      <c r="H374" s="70">
        <f>0.00615943723319669-(+G374/52)</f>
        <v>6.2340357286957918E-3</v>
      </c>
      <c r="I374" s="70">
        <f>0.0199793284138163-(+H374/52)</f>
        <v>1.9859443111341381E-2</v>
      </c>
      <c r="J374" s="70">
        <f>0.00907785794730268-(+I374/52)</f>
        <v>8.6959455797768846E-3</v>
      </c>
      <c r="K374" s="70">
        <f>-0.0204391925355098-(+J374/52)</f>
        <v>-2.060642225819782E-2</v>
      </c>
      <c r="L374" s="70">
        <f>0.0579574942836418-(+K374/52)</f>
        <v>5.8353771634760992E-2</v>
      </c>
      <c r="M374" s="70">
        <f>0.00654352949861066-(+L374/52)</f>
        <v>5.4213415825575643E-3</v>
      </c>
      <c r="N374" s="70">
        <f>0.008624356629376-(+M374/52)</f>
        <v>8.5201000604806631E-3</v>
      </c>
    </row>
    <row r="375" spans="1:14">
      <c r="A375" s="68">
        <v>0.11</v>
      </c>
      <c r="B375" s="69">
        <f t="shared" si="10"/>
        <v>1.1000000000000001E-3</v>
      </c>
      <c r="C375" s="70">
        <f t="shared" si="11"/>
        <v>2.1153846153846154E-5</v>
      </c>
      <c r="F375" s="71">
        <v>40228</v>
      </c>
      <c r="G375" s="69">
        <v>-1.7742309243843277E-3</v>
      </c>
      <c r="H375" s="70">
        <f>0.0197263148110032-(+G375/52)</f>
        <v>1.9760434636472129E-2</v>
      </c>
      <c r="I375" s="70">
        <f>0.0318705195337722-(+H375/52)</f>
        <v>3.1490511175378502E-2</v>
      </c>
      <c r="J375" s="70">
        <f>0.0110014779019924-(+I375/52)</f>
        <v>1.0395891148619737E-2</v>
      </c>
      <c r="K375" s="70">
        <f>-0.0122200931295472-(+J375/52)</f>
        <v>-1.2420014113174503E-2</v>
      </c>
      <c r="L375" s="70">
        <f>0.0336150256708339-(+K375/52)</f>
        <v>3.3853872096087256E-2</v>
      </c>
      <c r="M375" s="70">
        <f>0.0276698062799249-(+L375/52)</f>
        <v>2.7018770278077069E-2</v>
      </c>
      <c r="N375" s="70">
        <f>0.0225679251847712-(+M375/52)</f>
        <v>2.2048333448654336E-2</v>
      </c>
    </row>
    <row r="376" spans="1:14">
      <c r="A376" s="68">
        <v>0.1</v>
      </c>
      <c r="B376" s="69">
        <f t="shared" si="10"/>
        <v>1E-3</v>
      </c>
      <c r="C376" s="70">
        <f t="shared" si="11"/>
        <v>1.9230769230769231E-5</v>
      </c>
      <c r="F376" s="71">
        <v>40235</v>
      </c>
      <c r="G376" s="69">
        <v>8.8252958151695138E-3</v>
      </c>
      <c r="H376" s="70">
        <f>-0.006993006993007-(+G376/52)</f>
        <v>-7.1627242202217979E-3</v>
      </c>
      <c r="I376" s="70">
        <f>0.0210749407352934-(+H376/52)</f>
        <v>2.1212685431836128E-2</v>
      </c>
      <c r="J376" s="70">
        <f>-0.015849523543791-(+I376/52)</f>
        <v>-1.6257459802095541E-2</v>
      </c>
      <c r="K376" s="70">
        <f>0.0213438977949758-(+J376/52)</f>
        <v>2.1656541252708408E-2</v>
      </c>
      <c r="L376" s="70">
        <f>-0.0106595330349767-(+K376/52)</f>
        <v>-1.1076004982144168E-2</v>
      </c>
      <c r="M376" s="70">
        <f>-0.00517392545469379-(+L376/52)</f>
        <v>-4.9609253588833247E-3</v>
      </c>
      <c r="N376" s="70">
        <f>0.00284057223869055-(+M376/52)</f>
        <v>2.9359746494383061E-3</v>
      </c>
    </row>
    <row r="377" spans="1:14">
      <c r="A377" s="68">
        <v>0.12</v>
      </c>
      <c r="B377" s="69">
        <f t="shared" si="10"/>
        <v>1.1999999999999999E-3</v>
      </c>
      <c r="C377" s="70">
        <f t="shared" si="11"/>
        <v>2.3076923076923076E-5</v>
      </c>
      <c r="F377" s="71">
        <v>40242</v>
      </c>
      <c r="G377" s="69">
        <v>2.3252690796813015E-3</v>
      </c>
      <c r="H377" s="70">
        <f>0.017585962703596-(+G377/52)</f>
        <v>1.7541245990525207E-2</v>
      </c>
      <c r="I377" s="70">
        <f>0.040841523259091-(+H377/52)</f>
        <v>4.0504191605427058E-2</v>
      </c>
      <c r="J377" s="70">
        <f>0.00510323574730353-(+I377/52)</f>
        <v>4.3243089856607022E-3</v>
      </c>
      <c r="K377" s="70">
        <f>0.0601677842258772-(+J377/52)</f>
        <v>6.0084624437691421E-2</v>
      </c>
      <c r="L377" s="70">
        <f>0.0206970220643875-(+K377/52)</f>
        <v>1.9541548517508819E-2</v>
      </c>
      <c r="M377" s="70">
        <f>0.0462951101910731-(+L377/52)</f>
        <v>4.5919311181121011E-2</v>
      </c>
      <c r="N377" s="70">
        <f>0.0354142890924607-(+M377/52)</f>
        <v>3.4531225415900681E-2</v>
      </c>
    </row>
    <row r="378" spans="1:14">
      <c r="A378" s="68">
        <v>0.14000000000000001</v>
      </c>
      <c r="B378" s="69">
        <f t="shared" si="10"/>
        <v>1.4000000000000002E-3</v>
      </c>
      <c r="C378" s="70">
        <f t="shared" si="11"/>
        <v>2.6923076923076927E-5</v>
      </c>
      <c r="F378" s="71">
        <v>40249</v>
      </c>
      <c r="G378" s="69">
        <v>6.8869615388806991E-5</v>
      </c>
      <c r="H378" s="70">
        <f>0.00342805593143884-(+G378/52)</f>
        <v>3.426731515758286E-3</v>
      </c>
      <c r="I378" s="70">
        <f>0.0101729006304878-(+H378/52)</f>
        <v>1.0107001947492448E-2</v>
      </c>
      <c r="J378" s="70">
        <f>0.00330516685267179-(+I378/52)</f>
        <v>3.1108014306046273E-3</v>
      </c>
      <c r="K378" s="70">
        <f>0.0345642596479286-(+J378/52)</f>
        <v>3.4504436543493895E-2</v>
      </c>
      <c r="L378" s="70">
        <f>0.00389133234598903-(+K378/52)</f>
        <v>3.2277854893833779E-3</v>
      </c>
      <c r="M378" s="70">
        <f>-0.0028012301906012-(+L378/52)</f>
        <v>-2.8633029884739571E-3</v>
      </c>
      <c r="N378" s="70">
        <f>0.0222376684953951-(+M378/52)</f>
        <v>2.2292732014404213E-2</v>
      </c>
    </row>
    <row r="379" spans="1:14">
      <c r="A379" s="68">
        <v>0.16</v>
      </c>
      <c r="B379" s="69">
        <f t="shared" si="10"/>
        <v>1.6000000000000001E-3</v>
      </c>
      <c r="C379" s="70">
        <f t="shared" si="11"/>
        <v>3.0769230769230768E-5</v>
      </c>
      <c r="F379" s="71">
        <v>40256</v>
      </c>
      <c r="G379" s="69">
        <v>2.2684196130580967E-3</v>
      </c>
      <c r="H379" s="70">
        <f>-0.00606850669783335-(+G379/52)</f>
        <v>-6.1121301519306212E-3</v>
      </c>
      <c r="I379" s="70">
        <f>-0.0210513776144041-(+H379/52)</f>
        <v>-2.0933836649943895E-2</v>
      </c>
      <c r="J379" s="70">
        <f>0.000201690533379739-(+I379/52)</f>
        <v>6.042643151094293E-4</v>
      </c>
      <c r="K379" s="70">
        <f>0.0184638581741754-(+J379/52)</f>
        <v>1.845223770657714E-2</v>
      </c>
      <c r="L379" s="70">
        <f>-0.00339279089897368-(+K379/52)</f>
        <v>-3.7476416241001634E-3</v>
      </c>
      <c r="M379" s="70">
        <f>-0.00810808156209484-(+L379/52)</f>
        <v>-8.0360115308621451E-3</v>
      </c>
      <c r="N379" s="70">
        <f>0.00598366149572118-(+M379/52)</f>
        <v>6.1382001790069906E-3</v>
      </c>
    </row>
    <row r="380" spans="1:14">
      <c r="A380" s="68">
        <v>0.16</v>
      </c>
      <c r="B380" s="69">
        <f t="shared" si="10"/>
        <v>1.6000000000000001E-3</v>
      </c>
      <c r="C380" s="70">
        <f t="shared" si="11"/>
        <v>3.0769230769230768E-5</v>
      </c>
      <c r="F380" s="71">
        <v>40263</v>
      </c>
      <c r="G380" s="69">
        <v>-9.74904687820893E-3</v>
      </c>
      <c r="H380" s="70">
        <f>-0.0072620609005214-(+G380/52)</f>
        <v>-7.0745792297866135E-3</v>
      </c>
      <c r="I380" s="70">
        <f>0.0010995410611222-(+H380/52)</f>
        <v>1.2355906616950195E-3</v>
      </c>
      <c r="J380" s="70">
        <f>-0.0208860372746716-(+I380/52)</f>
        <v>-2.0909798633550351E-2</v>
      </c>
      <c r="K380" s="70">
        <f>0.0172677556403963-(+J380/52)</f>
        <v>1.7669867152579961E-2</v>
      </c>
      <c r="L380" s="70">
        <f>-0.0257199651552633-(+K380/52)</f>
        <v>-2.6059770292812916E-2</v>
      </c>
      <c r="M380" s="70">
        <f>-0.0245527867586261-(+L380/52)</f>
        <v>-2.4051637329918159E-2</v>
      </c>
      <c r="N380" s="70">
        <f>-0.00609773760899168-(+M380/52)</f>
        <v>-5.6352061218778692E-3</v>
      </c>
    </row>
    <row r="381" spans="1:14">
      <c r="A381" s="68">
        <v>0.14000000000000001</v>
      </c>
      <c r="B381" s="69">
        <f t="shared" si="10"/>
        <v>1.4000000000000002E-3</v>
      </c>
      <c r="C381" s="70">
        <f t="shared" si="11"/>
        <v>2.6923076923076927E-5</v>
      </c>
      <c r="F381" s="71">
        <v>40270</v>
      </c>
      <c r="G381" s="69">
        <v>4.2969942431928644E-3</v>
      </c>
      <c r="H381" s="70">
        <f>0.0273082855525112-(+G381/52)</f>
        <v>2.7225651047834417E-2</v>
      </c>
      <c r="I381" s="70">
        <f>0.024653894742326-(+H381/52)</f>
        <v>2.4130324529867644E-2</v>
      </c>
      <c r="J381" s="70">
        <f>0.055968845174497-(+I381/52)</f>
        <v>5.5504800471999551E-2</v>
      </c>
      <c r="K381" s="70">
        <f>0.00821168687982355-(+J381/52)</f>
        <v>7.1442868707466359E-3</v>
      </c>
      <c r="L381" s="70">
        <f>0.0267482778778608-(+K381/52)</f>
        <v>2.6610887745731057E-2</v>
      </c>
      <c r="M381" s="70">
        <f>0.0200290334697026-(+L381/52)</f>
        <v>1.9517285628438543E-2</v>
      </c>
      <c r="N381" s="70">
        <f>0.0301948383148015-(+M381/52)</f>
        <v>2.9819505898869988E-2</v>
      </c>
    </row>
    <row r="382" spans="1:14">
      <c r="A382" s="68">
        <v>0.16</v>
      </c>
      <c r="B382" s="69">
        <f t="shared" si="10"/>
        <v>1.6000000000000001E-3</v>
      </c>
      <c r="C382" s="70">
        <f t="shared" si="11"/>
        <v>3.0769230769230768E-5</v>
      </c>
      <c r="F382" s="71">
        <v>40277</v>
      </c>
      <c r="G382" s="69">
        <v>3.4369425895364891E-4</v>
      </c>
      <c r="H382" s="70">
        <f>0.00579034393629361-(+G382/52)</f>
        <v>5.7837344313137326E-3</v>
      </c>
      <c r="I382" s="70">
        <f>0.0268951141390005-(+H382/52)</f>
        <v>2.6783888476859852E-2</v>
      </c>
      <c r="J382" s="70">
        <f>0.0163652482269504-(+I382/52)</f>
        <v>1.5850173448549248E-2</v>
      </c>
      <c r="K382" s="70">
        <f>0.0198108585726033-(+J382/52)</f>
        <v>1.9506047544746583E-2</v>
      </c>
      <c r="L382" s="70">
        <f>-0.0131699989319294-(+K382/52)</f>
        <v>-1.3545115230866834E-2</v>
      </c>
      <c r="M382" s="70">
        <f>0.00268212579617839-(+L382/52)</f>
        <v>2.9426087813873678E-3</v>
      </c>
      <c r="N382" s="70">
        <f>0.0116418881643162-(+M382/52)</f>
        <v>1.1585299533904905E-2</v>
      </c>
    </row>
    <row r="383" spans="1:14">
      <c r="A383" s="68">
        <v>0.17</v>
      </c>
      <c r="B383" s="69">
        <f t="shared" si="10"/>
        <v>1.7000000000000001E-3</v>
      </c>
      <c r="C383" s="70">
        <f t="shared" si="11"/>
        <v>3.2692307692307693E-5</v>
      </c>
      <c r="F383" s="71">
        <v>40284</v>
      </c>
      <c r="G383" s="69">
        <v>4.6109562359437266E-3</v>
      </c>
      <c r="H383" s="70">
        <f>-0.00615382677324075-(+G383/52)</f>
        <v>-6.2424990085473602E-3</v>
      </c>
      <c r="I383" s="70">
        <f>-0.0136152094266759-(+H383/52)</f>
        <v>-1.349516136881922E-2</v>
      </c>
      <c r="J383" s="70">
        <f>-0.0014828253929487-(+I383/52)</f>
        <v>-1.2233030589329458E-3</v>
      </c>
      <c r="K383" s="70">
        <f>-0.00254781441273738-(+J383/52)</f>
        <v>-2.5242893539117466E-3</v>
      </c>
      <c r="L383" s="70">
        <f>-0.0150207474674474-(+K383/52)</f>
        <v>-1.4972203441410635E-2</v>
      </c>
      <c r="M383" s="70">
        <f>0.00232755497545896-(+L383/52)</f>
        <v>2.615481964716857E-3</v>
      </c>
      <c r="N383" s="70">
        <f>-0.0117968939351567-(+M383/52)</f>
        <v>-1.1847191665247409E-2</v>
      </c>
    </row>
    <row r="384" spans="1:14">
      <c r="A384" s="68">
        <v>0.16</v>
      </c>
      <c r="B384" s="69">
        <f t="shared" si="10"/>
        <v>1.6000000000000001E-3</v>
      </c>
      <c r="C384" s="70">
        <f t="shared" si="11"/>
        <v>3.0769230769230768E-5</v>
      </c>
      <c r="F384" s="71">
        <v>40291</v>
      </c>
      <c r="G384" s="69">
        <v>-5.7409272406693272E-4</v>
      </c>
      <c r="H384" s="70">
        <f>0.00257944304310913-(+G384/52)</f>
        <v>2.5904832878027246E-3</v>
      </c>
      <c r="I384" s="70">
        <f>0.00457176797336405-(+H384/52)</f>
        <v>4.5219509870601518E-3</v>
      </c>
      <c r="J384" s="70">
        <f>-0.0135224850623712-(+I384/52)</f>
        <v>-1.3609445658276202E-2</v>
      </c>
      <c r="K384" s="70">
        <f>-0.0112149371954916-(+J384/52)</f>
        <v>-1.0953217086678596E-2</v>
      </c>
      <c r="L384" s="70">
        <f>0.00697934288192985-(+K384/52)</f>
        <v>7.1899816720582847E-3</v>
      </c>
      <c r="M384" s="70">
        <f>-0.031232670522063-(+L384/52)</f>
        <v>-3.1370939400371813E-2</v>
      </c>
      <c r="N384" s="70">
        <f>0.0143431894612224-(+M384/52)</f>
        <v>1.4946476757383396E-2</v>
      </c>
    </row>
    <row r="385" spans="1:14">
      <c r="A385" s="68">
        <v>0.16</v>
      </c>
      <c r="B385" s="69">
        <f t="shared" si="10"/>
        <v>1.6000000000000001E-3</v>
      </c>
      <c r="C385" s="70">
        <f t="shared" si="11"/>
        <v>3.0769230769230768E-5</v>
      </c>
      <c r="F385" s="71">
        <v>40298</v>
      </c>
      <c r="G385" s="69">
        <v>2.5029995541333543E-3</v>
      </c>
      <c r="H385" s="70">
        <f>-0.0259050653315886-(+G385/52)</f>
        <v>-2.5953199938398855E-2</v>
      </c>
      <c r="I385" s="70">
        <f>-0.00833579687636622-(+H385/52)</f>
        <v>-7.8366968775508573E-3</v>
      </c>
      <c r="J385" s="70">
        <f>-0.0209454991971286-(+I385/52)</f>
        <v>-2.079479348794493E-2</v>
      </c>
      <c r="K385" s="70">
        <f>-0.0264722382892854-(+J385/52)</f>
        <v>-2.6072338414517227E-2</v>
      </c>
      <c r="L385" s="70">
        <f>-0.0221868457665734-(+K385/52)</f>
        <v>-2.1685454643217299E-2</v>
      </c>
      <c r="M385" s="70">
        <f>-0.0410661351323724-(+L385/52)</f>
        <v>-4.0649107158464377E-2</v>
      </c>
      <c r="N385" s="70">
        <f>-0.0274949083503056-(+M385/52)</f>
        <v>-2.6713194751104362E-2</v>
      </c>
    </row>
    <row r="386" spans="1:14">
      <c r="A386" s="68">
        <v>0.16</v>
      </c>
      <c r="B386" s="69">
        <f t="shared" si="10"/>
        <v>1.6000000000000001E-3</v>
      </c>
      <c r="C386" s="70">
        <f t="shared" si="11"/>
        <v>3.0769230769230768E-5</v>
      </c>
      <c r="F386" s="71">
        <v>40305</v>
      </c>
      <c r="G386" s="69">
        <v>-4.4522031184599173E-3</v>
      </c>
      <c r="H386" s="70">
        <f>-0.0750705733476103-(+G386/52)</f>
        <v>-7.4984954056870695E-2</v>
      </c>
      <c r="I386" s="70">
        <f>-0.105077529632569-(+H386/52)</f>
        <v>-0.10363551128532149</v>
      </c>
      <c r="J386" s="70">
        <f>-0.0842840259520996-(+I386/52)</f>
        <v>-8.2291035350458813E-2</v>
      </c>
      <c r="K386" s="70">
        <f>-0.121964512267034-(+J386/52)</f>
        <v>-0.12038199235644825</v>
      </c>
      <c r="L386" s="70">
        <f>-0.0679979156485655-(+K386/52)</f>
        <v>-6.5682877334018411E-2</v>
      </c>
      <c r="M386" s="70">
        <f>-0.113039307128581-(+L386/52)</f>
        <v>-0.11177617487215757</v>
      </c>
      <c r="N386" s="70">
        <f>-0.0656530158502473-(+M386/52)</f>
        <v>-6.3503474025782727E-2</v>
      </c>
    </row>
    <row r="387" spans="1:14">
      <c r="A387" s="68">
        <v>0.14000000000000001</v>
      </c>
      <c r="B387" s="69">
        <f t="shared" si="10"/>
        <v>1.4000000000000002E-3</v>
      </c>
      <c r="C387" s="70">
        <f t="shared" si="11"/>
        <v>2.6923076923076927E-5</v>
      </c>
      <c r="F387" s="71">
        <v>40312</v>
      </c>
      <c r="G387" s="69">
        <v>-2.9720000929219E-3</v>
      </c>
      <c r="H387" s="70">
        <f>0.0249847397335243-(+G387/52)</f>
        <v>2.5041893581465104E-2</v>
      </c>
      <c r="I387" s="70">
        <f>0.0173875509639159-(+H387/52)</f>
        <v>1.6905976087349263E-2</v>
      </c>
      <c r="J387" s="70">
        <f>0.0323574730354391-(+I387/52)</f>
        <v>3.2032358110682384E-2</v>
      </c>
      <c r="K387" s="70">
        <f>0.0604070211142203-(+J387/52)</f>
        <v>5.9791014227476409E-2</v>
      </c>
      <c r="L387" s="70">
        <f>0.0478928756969512-(+K387/52)</f>
        <v>4.6743048500268961E-2</v>
      </c>
      <c r="M387" s="70">
        <f>0.00999903855398512-(+L387/52)</f>
        <v>9.1001337751337938E-3</v>
      </c>
      <c r="N387" s="70">
        <f>0.0300797281668662-(+M387/52)</f>
        <v>2.9904725594267476E-2</v>
      </c>
    </row>
    <row r="388" spans="1:14">
      <c r="A388" s="68">
        <v>0.16</v>
      </c>
      <c r="B388" s="69">
        <f t="shared" si="10"/>
        <v>1.6000000000000001E-3</v>
      </c>
      <c r="C388" s="70">
        <f t="shared" si="11"/>
        <v>3.0769230769230768E-5</v>
      </c>
      <c r="F388" s="71">
        <v>40319</v>
      </c>
      <c r="G388" s="69">
        <v>6.3292788297642233E-3</v>
      </c>
      <c r="H388" s="70">
        <f>-0.0573079239910191-(+G388/52)</f>
        <v>-5.7429640891591485E-2</v>
      </c>
      <c r="I388" s="70">
        <f>-0.0754956259482491-(+H388/52)</f>
        <v>-7.4391209777256953E-2</v>
      </c>
      <c r="J388" s="70">
        <f>-0.0267763745375686-(+I388/52)</f>
        <v>-2.5345774349544426E-2</v>
      </c>
      <c r="K388" s="70">
        <f>-0.0919188381320679-(+J388/52)</f>
        <v>-9.1431419394576663E-2</v>
      </c>
      <c r="L388" s="70">
        <f>-0.0230745342473455-(+K388/52)</f>
        <v>-2.1316237720526716E-2</v>
      </c>
      <c r="M388" s="70">
        <f>-0.0512613041408852-(+L388/52)</f>
        <v>-5.085137649241353E-2</v>
      </c>
      <c r="N388" s="70">
        <f>-0.060002384595513-(+M388/52)</f>
        <v>-5.9024473509120434E-2</v>
      </c>
    </row>
    <row r="389" spans="1:14">
      <c r="A389" s="68">
        <v>0.17</v>
      </c>
      <c r="B389" s="69">
        <f t="shared" ref="B389:B452" si="12">+A389/100</f>
        <v>1.7000000000000001E-3</v>
      </c>
      <c r="C389" s="70">
        <f t="shared" ref="C389:C452" si="13">+B389/52</f>
        <v>3.2692307692307693E-5</v>
      </c>
      <c r="F389" s="71">
        <v>40326</v>
      </c>
      <c r="G389" s="69">
        <v>-5.3448371100336635E-3</v>
      </c>
      <c r="H389" s="70">
        <f>-0.00463998373464238-(+G389/52)</f>
        <v>-4.5371984056032716E-3</v>
      </c>
      <c r="I389" s="70">
        <f>0.0201769787904787-(+H389/52)</f>
        <v>2.0264232605971072E-2</v>
      </c>
      <c r="J389" s="70">
        <f>0.0377305317796334-(+I389/52)</f>
        <v>3.7340834998749337E-2</v>
      </c>
      <c r="K389" s="70">
        <f>0.0169075106332391-(+J389/52)</f>
        <v>1.6189417652493921E-2</v>
      </c>
      <c r="L389" s="70">
        <f>0.00942989551370161-(+K389/52)</f>
        <v>9.1185605588459569E-3</v>
      </c>
      <c r="M389" s="70">
        <f>0.0130687804143881-(+L389/52)</f>
        <v>1.289342348056414E-2</v>
      </c>
      <c r="N389" s="70">
        <f>0.0102000909023645-(+M389/52)</f>
        <v>9.9521404508151889E-3</v>
      </c>
    </row>
    <row r="390" spans="1:14">
      <c r="A390" s="68">
        <v>0.17</v>
      </c>
      <c r="B390" s="69">
        <f t="shared" si="12"/>
        <v>1.7000000000000001E-3</v>
      </c>
      <c r="C390" s="70">
        <f t="shared" si="13"/>
        <v>3.2692307692307693E-5</v>
      </c>
      <c r="F390" s="71">
        <v>40333</v>
      </c>
      <c r="G390" s="69">
        <v>-2.4708744289279405E-4</v>
      </c>
      <c r="H390" s="70">
        <f>-0.0189309658075389-(+G390/52)</f>
        <v>-1.892621412594481E-2</v>
      </c>
      <c r="I390" s="70">
        <f>-0.0260022198209475-(+H390/52)</f>
        <v>-2.5638254164679332E-2</v>
      </c>
      <c r="J390" s="70">
        <f>0.0150184098674363-(+I390/52)</f>
        <v>1.5511453216757056E-2</v>
      </c>
      <c r="K390" s="70">
        <f>0.0011898267217416-(+J390/52)</f>
        <v>8.9152954449627203E-4</v>
      </c>
      <c r="L390" s="70">
        <f>0.00573104726875836-(+K390/52)</f>
        <v>5.7139024698257389E-3</v>
      </c>
      <c r="M390" s="70">
        <f>-0.0290749498601035-(+L390/52)</f>
        <v>-2.9184832599907843E-2</v>
      </c>
      <c r="N390" s="70">
        <f>-0.00908738961202032-(+M390/52)</f>
        <v>-8.5261428312528604E-3</v>
      </c>
    </row>
    <row r="391" spans="1:14">
      <c r="A391" s="68">
        <v>0.15</v>
      </c>
      <c r="B391" s="69">
        <f t="shared" si="12"/>
        <v>1.5E-3</v>
      </c>
      <c r="C391" s="70">
        <f t="shared" si="13"/>
        <v>2.8846153846153845E-5</v>
      </c>
      <c r="F391" s="71">
        <v>40340</v>
      </c>
      <c r="G391" s="69">
        <v>1.9295759429563263E-3</v>
      </c>
      <c r="H391" s="70">
        <f>0.0274906678960753-(+G391/52)</f>
        <v>2.7453560666403063E-2</v>
      </c>
      <c r="I391" s="70">
        <f>0.0184886773793567-(+H391/52)</f>
        <v>1.7960724289618181E-2</v>
      </c>
      <c r="J391" s="70">
        <f>0.00965050368038228-(+I391/52)</f>
        <v>9.3051051363511605E-3</v>
      </c>
      <c r="K391" s="70">
        <f>-0.0109811410837909-(+J391/52)</f>
        <v>-1.1160085413336114E-2</v>
      </c>
      <c r="L391" s="70">
        <f>0.0536046285826313-(+K391/52)</f>
        <v>5.3819245609810842E-2</v>
      </c>
      <c r="M391" s="70">
        <f>0.0349949952502694-(+L391/52)</f>
        <v>3.3960009757773038E-2</v>
      </c>
      <c r="N391" s="70">
        <f>0.0343123538200806-(+M391/52)</f>
        <v>3.3659276709354195E-2</v>
      </c>
    </row>
    <row r="392" spans="1:14">
      <c r="A392" s="68">
        <v>0.1</v>
      </c>
      <c r="B392" s="69">
        <f t="shared" si="12"/>
        <v>1E-3</v>
      </c>
      <c r="C392" s="70">
        <f t="shared" si="13"/>
        <v>1.9230769230769231E-5</v>
      </c>
      <c r="F392" s="71">
        <v>40347</v>
      </c>
      <c r="G392" s="69">
        <v>6.1812212646029921E-3</v>
      </c>
      <c r="H392" s="70">
        <f>0.0469391152056392-(+G392/52)</f>
        <v>4.6820245565935295E-2</v>
      </c>
      <c r="I392" s="70">
        <f>0.033136835464251-(+H392/52)</f>
        <v>3.2236446126444551E-2</v>
      </c>
      <c r="J392" s="70">
        <f>0.023140730150122-(+I392/52)</f>
        <v>2.2520798493844221E-2</v>
      </c>
      <c r="K392" s="70">
        <f>0.0504937610847002-(+J392/52)</f>
        <v>5.006066880597243E-2</v>
      </c>
      <c r="L392" s="70">
        <f>0.0169608858145158-(+K392/52)</f>
        <v>1.5998180645170178E-2</v>
      </c>
      <c r="M392" s="70">
        <f>0.032099297770112-(+L392/52)</f>
        <v>3.1791640450012572E-2</v>
      </c>
      <c r="N392" s="70">
        <f>0.037589456167754-(+M392/52)</f>
        <v>3.697807846679222E-2</v>
      </c>
    </row>
    <row r="393" spans="1:14">
      <c r="A393" s="68">
        <v>0.09</v>
      </c>
      <c r="B393" s="69">
        <f t="shared" si="12"/>
        <v>8.9999999999999998E-4</v>
      </c>
      <c r="C393" s="70">
        <f t="shared" si="13"/>
        <v>1.7307692307692306E-5</v>
      </c>
      <c r="F393" s="71">
        <v>40354</v>
      </c>
      <c r="G393" s="69">
        <v>3.4879852510809957E-3</v>
      </c>
      <c r="H393" s="70">
        <f>-0.0359935022292885-(+G393/52)</f>
        <v>-3.6060578868732367E-2</v>
      </c>
      <c r="I393" s="70">
        <f>-0.0168981293742158-(+H393/52)</f>
        <v>-1.6204656703663254E-2</v>
      </c>
      <c r="J393" s="70">
        <f>0.00162025743421096-(+I393/52)</f>
        <v>1.9318854477429457E-3</v>
      </c>
      <c r="K393" s="70">
        <f>0.0227671190453594-(+J393/52)</f>
        <v>2.2729967402133573E-2</v>
      </c>
      <c r="L393" s="70">
        <f>-0.0204145872987656-(+K393/52)</f>
        <v>-2.0851702056498937E-2</v>
      </c>
      <c r="M393" s="70">
        <f>-0.02097868708632-(+L393/52)</f>
        <v>-2.0577692816002711E-2</v>
      </c>
      <c r="N393" s="70">
        <f>-0.0207212082451912-(+M393/52)</f>
        <v>-2.0325483383344993E-2</v>
      </c>
    </row>
    <row r="394" spans="1:14">
      <c r="A394" s="68">
        <v>0.13</v>
      </c>
      <c r="B394" s="69">
        <f t="shared" si="12"/>
        <v>1.2999999999999999E-3</v>
      </c>
      <c r="C394" s="70">
        <f t="shared" si="13"/>
        <v>2.4999999999999998E-5</v>
      </c>
      <c r="F394" s="71">
        <v>40361</v>
      </c>
      <c r="G394" s="69">
        <v>5.5230192690737855E-3</v>
      </c>
      <c r="H394" s="70">
        <f>-0.0115231826069497-(+G394/52)</f>
        <v>-1.1629394515970351E-2</v>
      </c>
      <c r="I394" s="70">
        <f>-0.0432820393367206-(+H394/52)</f>
        <v>-4.3058397134490396E-2</v>
      </c>
      <c r="J394" s="70">
        <f>-0.00487094989536486-(+I394/52)</f>
        <v>-4.0429037966246599E-3</v>
      </c>
      <c r="K394" s="70">
        <f>-0.0418491983258366-(+J394/52)</f>
        <v>-4.177145017590151E-2</v>
      </c>
      <c r="L394" s="70">
        <f>-0.0126720329163027-(+K394/52)</f>
        <v>-1.1868735797535364E-2</v>
      </c>
      <c r="M394" s="70">
        <f>-0.00831524787241817-(+L394/52)</f>
        <v>-8.0870029532347978E-3</v>
      </c>
      <c r="N394" s="70">
        <f>-0.0212149222839574-(+M394/52)</f>
        <v>-2.1059402996395193E-2</v>
      </c>
    </row>
    <row r="395" spans="1:14">
      <c r="A395" s="68">
        <v>0.17</v>
      </c>
      <c r="B395" s="69">
        <f t="shared" si="12"/>
        <v>1.7000000000000001E-3</v>
      </c>
      <c r="C395" s="70">
        <f t="shared" si="13"/>
        <v>3.2692307692307693E-5</v>
      </c>
      <c r="F395" s="71">
        <v>40368</v>
      </c>
      <c r="G395" s="69">
        <v>3.0060718195291962E-3</v>
      </c>
      <c r="H395" s="70">
        <f>0.0331952615505147-(+G395/52)</f>
        <v>3.3137452477062214E-2</v>
      </c>
      <c r="I395" s="70">
        <f>0.0603708888753627-(+H395/52)</f>
        <v>5.9733630173880732E-2</v>
      </c>
      <c r="J395" s="70">
        <f>0.0426390785704791-(+I395/52)</f>
        <v>4.1490354913289083E-2</v>
      </c>
      <c r="K395" s="70">
        <f>0.0266833171925174-(+J395/52)</f>
        <v>2.5885425751877224E-2</v>
      </c>
      <c r="L395" s="70">
        <f>0.0404926578310791-(+K395/52)</f>
        <v>3.9994861182004543E-2</v>
      </c>
      <c r="M395" s="70">
        <f>0.0816919937051243-(+L395/52)</f>
        <v>8.0922861759316511E-2</v>
      </c>
      <c r="N395" s="70">
        <f>0.0518490004362666-(+M395/52)</f>
        <v>5.0292791556279741E-2</v>
      </c>
    </row>
    <row r="396" spans="1:14">
      <c r="A396" s="68">
        <v>0.16</v>
      </c>
      <c r="B396" s="69">
        <f t="shared" si="12"/>
        <v>1.6000000000000001E-3</v>
      </c>
      <c r="C396" s="70">
        <f t="shared" si="13"/>
        <v>3.0769230769230768E-5</v>
      </c>
      <c r="F396" s="71">
        <v>40375</v>
      </c>
      <c r="G396" s="69">
        <v>8.2226013472376791E-3</v>
      </c>
      <c r="H396" s="70">
        <f>0.00200804622719016-(+G396/52)</f>
        <v>1.8499192782048199E-3</v>
      </c>
      <c r="I396" s="70">
        <f>0.0104616120545324-(+H396/52)</f>
        <v>1.0426036683797692E-2</v>
      </c>
      <c r="J396" s="70">
        <f>-0.000962106898190591-(+I396/52)</f>
        <v>-1.162607603648239E-3</v>
      </c>
      <c r="K396" s="70">
        <f>0.00805758967357578-(+J396/52)</f>
        <v>8.0799475121074767E-3</v>
      </c>
      <c r="L396" s="70">
        <f>-0.0144256661562549-(+K396/52)</f>
        <v>-1.4581049762256966E-2</v>
      </c>
      <c r="M396" s="70">
        <f>0.0243804024755486-(+L396/52)</f>
        <v>2.4660807278668925E-2</v>
      </c>
      <c r="N396" s="70">
        <f>-0.0163806438076091-(+M396/52)</f>
        <v>-1.6854890101429657E-2</v>
      </c>
    </row>
    <row r="397" spans="1:14">
      <c r="A397" s="68">
        <v>0.15</v>
      </c>
      <c r="B397" s="69">
        <f t="shared" si="12"/>
        <v>1.5E-3</v>
      </c>
      <c r="C397" s="70">
        <f t="shared" si="13"/>
        <v>2.8846153846153845E-5</v>
      </c>
      <c r="F397" s="71">
        <v>40382</v>
      </c>
      <c r="G397" s="69">
        <v>2.6012672490399263E-3</v>
      </c>
      <c r="H397" s="70">
        <f>0.032730024594816-(+G397/52)</f>
        <v>3.2680000224642153E-2</v>
      </c>
      <c r="I397" s="70">
        <f>0.0200627730937289-(+H397/52)</f>
        <v>1.9434311550947318E-2</v>
      </c>
      <c r="J397" s="70">
        <f>0.0240758359826422-(+I397/52)</f>
        <v>2.3702099222047059E-2</v>
      </c>
      <c r="K397" s="70">
        <f>0.0460580749379457-(+J397/52)</f>
        <v>4.5602265337521715E-2</v>
      </c>
      <c r="L397" s="70">
        <f>0.0523247884171504-(+K397/52)</f>
        <v>5.1447821776044213E-2</v>
      </c>
      <c r="M397" s="70">
        <f>-0.00809426854774726-(+L397/52)</f>
        <v>-9.0836497357481109E-3</v>
      </c>
      <c r="N397" s="70">
        <f>0.0243972616330986-(+M397/52)</f>
        <v>2.4571947204939912E-2</v>
      </c>
    </row>
    <row r="398" spans="1:14">
      <c r="A398" s="68">
        <v>0.16</v>
      </c>
      <c r="B398" s="69">
        <f t="shared" si="12"/>
        <v>1.6000000000000001E-3</v>
      </c>
      <c r="C398" s="70">
        <f t="shared" si="13"/>
        <v>3.0769230769230768E-5</v>
      </c>
      <c r="F398" s="71">
        <v>40389</v>
      </c>
      <c r="G398" s="69">
        <v>6.214334958585554E-3</v>
      </c>
      <c r="H398" s="70">
        <f>0.0167996526081528-(+G398/52)</f>
        <v>1.6680146166641541E-2</v>
      </c>
      <c r="I398" s="70">
        <f>0.0284255714119968-(+H398/52)</f>
        <v>2.8104799370330617E-2</v>
      </c>
      <c r="J398" s="70">
        <f>0.0248297662614291-(+I398/52)</f>
        <v>2.4289289350461204E-2</v>
      </c>
      <c r="K398" s="70">
        <f>0.0446516007532957-(+J398/52)</f>
        <v>4.4184499035017602E-2</v>
      </c>
      <c r="L398" s="70">
        <f>-0.000343135259266455-(+K398/52)</f>
        <v>-1.1928371637860242E-3</v>
      </c>
      <c r="M398" s="70">
        <f>0.00914470446104966-(+L398/52)</f>
        <v>9.1676436372763147E-3</v>
      </c>
      <c r="N398" s="70">
        <f>-0.00640684171275267-(+M398/52)</f>
        <v>-6.5831425519310609E-3</v>
      </c>
    </row>
    <row r="399" spans="1:14">
      <c r="A399" s="68">
        <v>0.15</v>
      </c>
      <c r="B399" s="69">
        <f t="shared" si="12"/>
        <v>1.5E-3</v>
      </c>
      <c r="C399" s="70">
        <f t="shared" si="13"/>
        <v>2.8846153846153845E-5</v>
      </c>
      <c r="F399" s="71">
        <v>40396</v>
      </c>
      <c r="G399" s="69">
        <v>8.0834429331456091E-3</v>
      </c>
      <c r="H399" s="70">
        <f>0.033030828773522-(+G399/52)</f>
        <v>3.2875377947884588E-2</v>
      </c>
      <c r="I399" s="70">
        <f>0.0393727436823105-(+H399/52)</f>
        <v>3.8740524875620415E-2</v>
      </c>
      <c r="J399" s="70">
        <f>0.0334595505928526-(+I399/52)</f>
        <v>3.2714540499090665E-2</v>
      </c>
      <c r="K399" s="70">
        <f>-0.0026635539290802-(+J399/52)</f>
        <v>-3.2926797079088667E-3</v>
      </c>
      <c r="L399" s="70">
        <f>0.0064104375520489-(+K399/52)</f>
        <v>6.4737583156625322E-3</v>
      </c>
      <c r="M399" s="70">
        <f>0.0257555687341695-(+L399/52)</f>
        <v>2.5631073381945219E-2</v>
      </c>
      <c r="N399" s="70">
        <f>0.0256269038625563-(+M399/52)</f>
        <v>2.5133998605211198E-2</v>
      </c>
    </row>
    <row r="400" spans="1:14">
      <c r="A400" s="68">
        <v>0.16</v>
      </c>
      <c r="B400" s="69">
        <f t="shared" si="12"/>
        <v>1.6000000000000001E-3</v>
      </c>
      <c r="C400" s="70">
        <f t="shared" si="13"/>
        <v>3.0769230769230768E-5</v>
      </c>
      <c r="F400" s="71">
        <v>40403</v>
      </c>
      <c r="G400" s="69">
        <v>-2.9496548847125375E-3</v>
      </c>
      <c r="H400" s="70">
        <f>-0.0110199599509075-(+G400/52)</f>
        <v>-1.0963235818509182E-2</v>
      </c>
      <c r="I400" s="70">
        <f>-0.0547009660262671-(+H400/52)</f>
        <v>-5.449013456821885E-2</v>
      </c>
      <c r="J400" s="70">
        <f>-0.0253693342889846-(+I400/52)</f>
        <v>-2.4321447085749622E-2</v>
      </c>
      <c r="K400" s="70">
        <f>-0.0594099225913155-(+J400/52)</f>
        <v>-5.8942202455051086E-2</v>
      </c>
      <c r="L400" s="70">
        <f>-0.0301063582917598-(+K400/52)</f>
        <v>-2.8972854398393432E-2</v>
      </c>
      <c r="M400" s="70">
        <f>-0.0394220690102338-(+L400/52)</f>
        <v>-3.8864898733341618E-2</v>
      </c>
      <c r="N400" s="70">
        <f>-0.0270299810390955-(+M400/52)</f>
        <v>-2.6282579140377391E-2</v>
      </c>
    </row>
    <row r="401" spans="1:14">
      <c r="A401" s="68">
        <v>0.15</v>
      </c>
      <c r="B401" s="69">
        <f t="shared" si="12"/>
        <v>1.5E-3</v>
      </c>
      <c r="C401" s="70">
        <f t="shared" si="13"/>
        <v>2.8846153846153845E-5</v>
      </c>
      <c r="F401" s="71">
        <v>40410</v>
      </c>
      <c r="G401" s="69">
        <v>4.1455924260263869E-3</v>
      </c>
      <c r="H401" s="70">
        <f>-0.0161524192705612-(+G401/52)</f>
        <v>-1.6232142201830939E-2</v>
      </c>
      <c r="I401" s="70">
        <f>-0.0168422696416597-(+H401/52)</f>
        <v>-1.6530113060855261E-2</v>
      </c>
      <c r="J401" s="70">
        <f>-0.033795241884587-(+I401/52)</f>
        <v>-3.3477355094955169E-2</v>
      </c>
      <c r="K401" s="70">
        <f>0.0248719648708118-(+J401/52)</f>
        <v>2.55157601610994E-2</v>
      </c>
      <c r="L401" s="70">
        <f>0.0254816931485435-(+K401/52)</f>
        <v>2.4991005453137743E-2</v>
      </c>
      <c r="M401" s="70">
        <f>-0.0140737324078345-(+L401/52)</f>
        <v>-1.4554328666548688E-2</v>
      </c>
      <c r="N401" s="70">
        <f>-0.00814183496544486-(+M401/52)</f>
        <v>-7.8619440295496935E-3</v>
      </c>
    </row>
    <row r="402" spans="1:14">
      <c r="A402" s="68">
        <v>0.16</v>
      </c>
      <c r="B402" s="69">
        <f t="shared" si="12"/>
        <v>1.6000000000000001E-3</v>
      </c>
      <c r="C402" s="70">
        <f t="shared" si="13"/>
        <v>3.0769230769230768E-5</v>
      </c>
      <c r="F402" s="71">
        <v>40417</v>
      </c>
      <c r="G402" s="69">
        <v>-9.2201890540806919E-4</v>
      </c>
      <c r="H402" s="70">
        <f>0.0244172846226872-(+G402/52)</f>
        <v>2.443501575548351E-2</v>
      </c>
      <c r="I402" s="70">
        <f>0.00502665153065265-(+H402/52)</f>
        <v>4.5567473815087368E-3</v>
      </c>
      <c r="J402" s="70">
        <f>0.0209875210869207-(+I402/52)</f>
        <v>2.0899891329583992E-2</v>
      </c>
      <c r="K402" s="70">
        <f>-0.0261387660964829-(+J402/52)</f>
        <v>-2.6540687083590284E-2</v>
      </c>
      <c r="L402" s="70">
        <f>0.00159252327757552-(+K402/52)</f>
        <v>2.1029211061061024E-3</v>
      </c>
      <c r="M402" s="70">
        <f>0.0156724252036788-(+L402/52)</f>
        <v>1.5631984413176758E-2</v>
      </c>
      <c r="N402" s="70">
        <f>0.0173529382798728-(+M402/52)</f>
        <v>1.7052323195004018E-2</v>
      </c>
    </row>
    <row r="403" spans="1:14">
      <c r="A403" s="68">
        <v>0.16</v>
      </c>
      <c r="B403" s="69">
        <f t="shared" si="12"/>
        <v>1.6000000000000001E-3</v>
      </c>
      <c r="C403" s="70">
        <f t="shared" si="13"/>
        <v>3.0769230769230768E-5</v>
      </c>
      <c r="F403" s="71">
        <v>40424</v>
      </c>
      <c r="G403" s="69">
        <v>1.1076194068854997E-3</v>
      </c>
      <c r="H403" s="70">
        <f>0.00867091355656515-(+G403/52)</f>
        <v>8.6496131833558136E-3</v>
      </c>
      <c r="I403" s="70">
        <f>0.0494898552071956-(+H403/52)</f>
        <v>4.9323516492131063E-2</v>
      </c>
      <c r="J403" s="70">
        <f>0.0196492945836485-(+I403/52)</f>
        <v>1.8700765420338286E-2</v>
      </c>
      <c r="K403" s="70">
        <f>0.0367947551589193-(+J403/52)</f>
        <v>3.6435125054682022E-2</v>
      </c>
      <c r="L403" s="70">
        <f>0.0253876328861241-(+K403/52)</f>
        <v>2.4686957404303295E-2</v>
      </c>
      <c r="M403" s="70">
        <f>0.0570094875381271-(+L403/52)</f>
        <v>5.6534738357275113E-2</v>
      </c>
      <c r="N403" s="70">
        <f>0.0228264973233559-(+M403/52)</f>
        <v>2.1739290816485225E-2</v>
      </c>
    </row>
    <row r="404" spans="1:14">
      <c r="A404" s="68">
        <v>0.14000000000000001</v>
      </c>
      <c r="B404" s="69">
        <f t="shared" si="12"/>
        <v>1.4000000000000002E-3</v>
      </c>
      <c r="C404" s="70">
        <f t="shared" si="13"/>
        <v>2.6923076923076927E-5</v>
      </c>
      <c r="F404" s="71">
        <v>40431</v>
      </c>
      <c r="G404" s="69">
        <v>-1.7889029170993971E-3</v>
      </c>
      <c r="H404" s="70">
        <f>0.00803741800355933-(+G404/52)</f>
        <v>8.0718199827343184E-3</v>
      </c>
      <c r="I404" s="70">
        <f>-0.00244483616940234-(+H404/52)</f>
        <v>-2.6000634767626152E-3</v>
      </c>
      <c r="J404" s="70">
        <f>0.0138146264813078-(+I404/52)</f>
        <v>1.3864627702014772E-2</v>
      </c>
      <c r="K404" s="70">
        <f>0.0301451778393713-(+J404/52)</f>
        <v>2.9878550383563324E-2</v>
      </c>
      <c r="L404" s="70">
        <f>0.0081379489878498-(+K404/52)</f>
        <v>7.5633614804735813E-3</v>
      </c>
      <c r="M404" s="70">
        <f>0.00535680122441167-(+L404/52)</f>
        <v>5.2113519651717935E-3</v>
      </c>
      <c r="N404" s="70">
        <f>0.00312325499957427-(+M404/52)</f>
        <v>3.0230366925517354E-3</v>
      </c>
    </row>
    <row r="405" spans="1:14">
      <c r="A405" s="68">
        <v>0.14000000000000001</v>
      </c>
      <c r="B405" s="69">
        <f t="shared" si="12"/>
        <v>1.4000000000000002E-3</v>
      </c>
      <c r="C405" s="70">
        <f t="shared" si="13"/>
        <v>2.6923076923076927E-5</v>
      </c>
      <c r="F405" s="71">
        <v>40438</v>
      </c>
      <c r="G405" s="69">
        <v>2.3432614745055934E-3</v>
      </c>
      <c r="H405" s="70">
        <f>0.00138306415633091-(+G405/52)</f>
        <v>1.3380014356673409E-3</v>
      </c>
      <c r="I405" s="70">
        <f>0.0333436931137059-(+H405/52)</f>
        <v>3.3317962316866144E-2</v>
      </c>
      <c r="J405" s="70">
        <f>-0.00567765962026961-(+I405/52)</f>
        <v>-6.318389664824728E-3</v>
      </c>
      <c r="K405" s="70">
        <f>-0.000108164626561733-(+J405/52)</f>
        <v>1.3342866992588692E-5</v>
      </c>
      <c r="L405" s="70">
        <f>0.00107298632624071-(+K405/52)</f>
        <v>1.0727297326446987E-3</v>
      </c>
      <c r="M405" s="70">
        <f>0.0157204778517814-(+L405/52)</f>
        <v>1.5699848433845923E-2</v>
      </c>
      <c r="N405" s="70">
        <f>-0.000849144722565635-(+M405/52)</f>
        <v>-1.1510648847549796E-3</v>
      </c>
    </row>
    <row r="406" spans="1:14">
      <c r="A406" s="68">
        <v>0.15</v>
      </c>
      <c r="B406" s="69">
        <f t="shared" si="12"/>
        <v>1.5E-3</v>
      </c>
      <c r="C406" s="70">
        <f t="shared" si="13"/>
        <v>2.8846153846153845E-5</v>
      </c>
      <c r="F406" s="71">
        <v>40445</v>
      </c>
      <c r="G406" s="69">
        <v>1.0810090770559916E-2</v>
      </c>
      <c r="H406" s="70">
        <f>0.0125003977977913-(+G406/52)</f>
        <v>1.2292511436818993E-2</v>
      </c>
      <c r="I406" s="70">
        <f>0.0257025006444959-(+H406/52)</f>
        <v>2.5466106193787842E-2</v>
      </c>
      <c r="J406" s="70">
        <f>0.00834591715784179-(+I406/52)</f>
        <v>7.8561843464227919E-3</v>
      </c>
      <c r="K406" s="70">
        <f>-0.00302893716758307-(+J406/52)</f>
        <v>-3.1800176357835081E-3</v>
      </c>
      <c r="L406" s="70">
        <f>0.0389554002363167-(+K406/52)</f>
        <v>3.9016554421620234E-2</v>
      </c>
      <c r="M406" s="70">
        <f>0.0288102251319255-(+L406/52)</f>
        <v>2.8059906777663571E-2</v>
      </c>
      <c r="N406" s="70">
        <f>0.0168226328860519-(+M406/52)</f>
        <v>1.6283019294173754E-2</v>
      </c>
    </row>
    <row r="407" spans="1:14">
      <c r="A407" s="68">
        <v>0.16</v>
      </c>
      <c r="B407" s="69">
        <f t="shared" si="12"/>
        <v>1.6000000000000001E-3</v>
      </c>
      <c r="C407" s="70">
        <f t="shared" si="13"/>
        <v>3.0769230769230768E-5</v>
      </c>
      <c r="F407" s="71">
        <v>40452</v>
      </c>
      <c r="G407" s="69">
        <v>5.5501570906326472E-3</v>
      </c>
      <c r="H407" s="70">
        <f>0.00370256287756404-(+G407/52)</f>
        <v>3.5958290873595662E-3</v>
      </c>
      <c r="I407" s="70">
        <f>0.0110253767981167-(+H407/52)</f>
        <v>1.09562262387444E-2</v>
      </c>
      <c r="J407" s="70">
        <f>0.00293070965040823-(+I407/52)</f>
        <v>2.7200129919708375E-3</v>
      </c>
      <c r="K407" s="70">
        <f>0.00493697668951303-(+J407/52)</f>
        <v>4.8846687473597444E-3</v>
      </c>
      <c r="L407" s="70">
        <f>0.00130074004166678-(+K407/52)</f>
        <v>1.206804104217554E-3</v>
      </c>
      <c r="M407" s="70">
        <f>0.0118013050736-(+L407/52)</f>
        <v>1.1778097302365046E-2</v>
      </c>
      <c r="N407" s="70">
        <f>0.0157828019000654-(+M407/52)</f>
        <v>1.5556300028866071E-2</v>
      </c>
    </row>
    <row r="408" spans="1:14">
      <c r="A408" s="68">
        <v>0.16</v>
      </c>
      <c r="B408" s="69">
        <f t="shared" si="12"/>
        <v>1.6000000000000001E-3</v>
      </c>
      <c r="C408" s="70">
        <f t="shared" si="13"/>
        <v>3.0769230769230768E-5</v>
      </c>
      <c r="F408" s="71">
        <v>40459</v>
      </c>
      <c r="G408" s="69">
        <v>1.0746657061692895E-2</v>
      </c>
      <c r="H408" s="70">
        <f>0.0263860009519753-(+G408/52)</f>
        <v>2.6179334470019668E-2</v>
      </c>
      <c r="I408" s="70">
        <f>0.0194320375879414-(+H408/52)</f>
        <v>1.8928588848133331E-2</v>
      </c>
      <c r="J408" s="70">
        <f>0.0199412359712923-(+I408/52)</f>
        <v>1.9577224647289736E-2</v>
      </c>
      <c r="K408" s="70">
        <f>0.0129251394637394-(+J408/52)</f>
        <v>1.2548654374368444E-2</v>
      </c>
      <c r="L408" s="70">
        <f>-0.00302932065135785-(+K408/52)</f>
        <v>-3.2706409277880122E-3</v>
      </c>
      <c r="M408" s="70">
        <f>0.0386055603605584-(+L408/52)</f>
        <v>3.8668457301477402E-2</v>
      </c>
      <c r="N408" s="70">
        <f>0.0154735783507039-(+M408/52)</f>
        <v>1.4729954171829334E-2</v>
      </c>
    </row>
    <row r="409" spans="1:14">
      <c r="A409" s="68">
        <v>0.13</v>
      </c>
      <c r="B409" s="69">
        <f t="shared" si="12"/>
        <v>1.2999999999999999E-3</v>
      </c>
      <c r="C409" s="70">
        <f t="shared" si="13"/>
        <v>2.4999999999999998E-5</v>
      </c>
      <c r="F409" s="71">
        <v>40466</v>
      </c>
      <c r="G409" s="69">
        <v>-1.6350885820258167E-3</v>
      </c>
      <c r="H409" s="70">
        <f>0.0118073480147181-(+G409/52)</f>
        <v>1.1838792025910904E-2</v>
      </c>
      <c r="I409" s="70">
        <f>0.0170254100892523-(+H409/52)</f>
        <v>1.6797741011830937E-2</v>
      </c>
      <c r="J409" s="70">
        <f>0.0078761642398006-(+I409/52)</f>
        <v>7.5531307588038504E-3</v>
      </c>
      <c r="K409" s="70">
        <f>0.0178767327106456-(+J409/52)</f>
        <v>1.773148019605322E-2</v>
      </c>
      <c r="L409" s="70">
        <f>-0.00349499925465762-(+K409/52)</f>
        <v>-3.8359892584278743E-3</v>
      </c>
      <c r="M409" s="70">
        <f>0.0255457411730728-(+L409/52)</f>
        <v>2.5619510197273335E-2</v>
      </c>
      <c r="N409" s="70">
        <f>0.0103851088253169-(+M409/52)</f>
        <v>9.8924259369077977E-3</v>
      </c>
    </row>
    <row r="410" spans="1:14">
      <c r="A410" s="68">
        <v>0.14000000000000001</v>
      </c>
      <c r="B410" s="69">
        <f t="shared" si="12"/>
        <v>1.4000000000000002E-3</v>
      </c>
      <c r="C410" s="70">
        <f t="shared" si="13"/>
        <v>2.6923076923076927E-5</v>
      </c>
      <c r="F410" s="71">
        <v>40473</v>
      </c>
      <c r="G410" s="69">
        <v>6.4310210884097735E-4</v>
      </c>
      <c r="H410" s="70">
        <f>0.00679065952622183-(+G410/52)</f>
        <v>6.7782921779748883E-3</v>
      </c>
      <c r="I410" s="70">
        <f>-0.00508725867491499-(+H410/52)</f>
        <v>-5.2176104475683532E-3</v>
      </c>
      <c r="J410" s="70">
        <f>0.00263437389366706-(+I410/52)</f>
        <v>2.7347125561202972E-3</v>
      </c>
      <c r="K410" s="70">
        <f>-0.0048128528916389-(+J410/52)</f>
        <v>-4.8654435177181363E-3</v>
      </c>
      <c r="L410" s="70">
        <f>-0.00656263999962796-(+K410/52)</f>
        <v>-6.4690737781333803E-3</v>
      </c>
      <c r="M410" s="70">
        <f>-0.00373148339372539-(+L410/52)</f>
        <v>-3.6070781287612865E-3</v>
      </c>
      <c r="N410" s="70">
        <f>-0.00437955553971447-(+M410/52)</f>
        <v>-4.3101886526229075E-3</v>
      </c>
    </row>
    <row r="411" spans="1:14">
      <c r="A411" s="68">
        <v>0.14000000000000001</v>
      </c>
      <c r="B411" s="69">
        <f t="shared" si="12"/>
        <v>1.4000000000000002E-3</v>
      </c>
      <c r="C411" s="70">
        <f t="shared" si="13"/>
        <v>2.6923076923076927E-5</v>
      </c>
      <c r="F411" s="71">
        <v>40480</v>
      </c>
      <c r="G411" s="69">
        <v>-1.0095822591586776E-3</v>
      </c>
      <c r="H411" s="70">
        <f>0.0178505109559008-(+G411/52)</f>
        <v>1.786992599934616E-2</v>
      </c>
      <c r="I411" s="70">
        <f>0.00854755784061705-(+H411/52)</f>
        <v>8.2039054175527017E-3</v>
      </c>
      <c r="J411" s="70">
        <f>0.0247998255288656-(+I411/52)</f>
        <v>2.464205811698959E-2</v>
      </c>
      <c r="K411" s="70">
        <f>0.00619533048339367-(+J411/52)</f>
        <v>5.72144475037464E-3</v>
      </c>
      <c r="L411" s="70">
        <f>0.0190424548359034-(+K411/52)</f>
        <v>1.8932427052242348E-2</v>
      </c>
      <c r="M411" s="70">
        <f>0.0134648091700156-(+L411/52)</f>
        <v>1.3100724034395555E-2</v>
      </c>
      <c r="N411" s="70">
        <f>0.00154831318885395-(+M411/52)</f>
        <v>1.2963761881924971E-3</v>
      </c>
    </row>
    <row r="412" spans="1:14">
      <c r="A412" s="68">
        <v>0.13</v>
      </c>
      <c r="B412" s="69">
        <f t="shared" si="12"/>
        <v>1.2999999999999999E-3</v>
      </c>
      <c r="C412" s="70">
        <f t="shared" si="13"/>
        <v>2.4999999999999998E-5</v>
      </c>
      <c r="F412" s="71">
        <v>40487</v>
      </c>
      <c r="G412" s="69">
        <v>1.0342663305043147E-2</v>
      </c>
      <c r="H412" s="70">
        <f>0.0167959416673532-(+G412/52)</f>
        <v>1.659704429610237E-2</v>
      </c>
      <c r="I412" s="70">
        <f>0.0315188300516153-(+H412/52)</f>
        <v>3.1199656122844102E-2</v>
      </c>
      <c r="J412" s="70">
        <f>0.0401199850018749-(+I412/52)</f>
        <v>3.9519991614897131E-2</v>
      </c>
      <c r="K412" s="70">
        <f>0.059301575681517-(+J412/52)</f>
        <v>5.8541575842768978E-2</v>
      </c>
      <c r="L412" s="70">
        <f>0.0074349869307768-(+K412/52)</f>
        <v>6.3091873953389343E-3</v>
      </c>
      <c r="M412" s="70">
        <f>0.010798875020338-(+L412/52)</f>
        <v>1.0677544493504559E-2</v>
      </c>
      <c r="N412" s="70">
        <f>0.0159774814020507-(+M412/52)</f>
        <v>1.5772144007944845E-2</v>
      </c>
    </row>
    <row r="413" spans="1:14">
      <c r="A413" s="68">
        <v>0.13</v>
      </c>
      <c r="B413" s="69">
        <f t="shared" si="12"/>
        <v>1.2999999999999999E-3</v>
      </c>
      <c r="C413" s="70">
        <f t="shared" si="13"/>
        <v>2.4999999999999998E-5</v>
      </c>
      <c r="F413" s="71">
        <v>40494</v>
      </c>
      <c r="G413" s="69">
        <v>-1.6961840148086084E-2</v>
      </c>
      <c r="H413" s="70">
        <f>-0.0205005324813632-(+G413/52)</f>
        <v>-2.0174343247746161E-2</v>
      </c>
      <c r="I413" s="70">
        <f>-0.0416637709361317-(+H413/52)</f>
        <v>-4.127580279675197E-2</v>
      </c>
      <c r="J413" s="70">
        <f>-0.0134745415927826-(+I413/52)</f>
        <v>-1.2680776154383525E-2</v>
      </c>
      <c r="K413" s="70">
        <f>-0.00529829656474562-(+J413/52)</f>
        <v>-5.054435484853629E-3</v>
      </c>
      <c r="L413" s="70">
        <f>-0.0199523799752703-(+K413/52)</f>
        <v>-1.9855179292869271E-2</v>
      </c>
      <c r="M413" s="70">
        <f>-0.0312502874382584-(+L413/52)</f>
        <v>-3.0868457067241686E-2</v>
      </c>
      <c r="N413" s="70">
        <f>-0.0204053810397068-(+M413/52)</f>
        <v>-1.9811756865336767E-2</v>
      </c>
    </row>
    <row r="414" spans="1:14">
      <c r="A414" s="68">
        <v>0.13</v>
      </c>
      <c r="B414" s="69">
        <f t="shared" si="12"/>
        <v>1.2999999999999999E-3</v>
      </c>
      <c r="C414" s="70">
        <f t="shared" si="13"/>
        <v>2.4999999999999998E-5</v>
      </c>
      <c r="F414" s="71">
        <v>40501</v>
      </c>
      <c r="G414" s="69">
        <v>-5.7735775575632649E-3</v>
      </c>
      <c r="H414" s="70">
        <f>-0.0133070186841887-(+G414/52)</f>
        <v>-1.3195988346543253E-2</v>
      </c>
      <c r="I414" s="70">
        <f>-0.00499172075371371-(+H414/52)</f>
        <v>-4.7379517470494169E-3</v>
      </c>
      <c r="J414" s="70">
        <f>-0.0107846526097476-(+I414/52)</f>
        <v>-1.0693538153073574E-2</v>
      </c>
      <c r="K414" s="70">
        <f>-0.0284273951755312-(+J414/52)</f>
        <v>-2.8221750211049015E-2</v>
      </c>
      <c r="L414" s="70">
        <f>0.00129654716771903-(+K414/52)</f>
        <v>1.8392731333161264E-3</v>
      </c>
      <c r="M414" s="70">
        <f>-0.0181159592295969-(+L414/52)</f>
        <v>-1.8151329866776058E-2</v>
      </c>
      <c r="N414" s="70">
        <f>-0.00560715776809093-(+M414/52)</f>
        <v>-5.2580937321913901E-3</v>
      </c>
    </row>
    <row r="415" spans="1:14">
      <c r="A415" s="68">
        <v>0.14000000000000001</v>
      </c>
      <c r="B415" s="69">
        <f t="shared" si="12"/>
        <v>1.4000000000000002E-3</v>
      </c>
      <c r="C415" s="70">
        <f t="shared" si="13"/>
        <v>2.6923076923076927E-5</v>
      </c>
      <c r="F415" s="71">
        <v>40508</v>
      </c>
      <c r="G415" s="69">
        <v>-3.5910801225520856E-3</v>
      </c>
      <c r="H415" s="70">
        <f>-0.0227270005150256-(+G415/52)</f>
        <v>-2.2657941281899598E-2</v>
      </c>
      <c r="I415" s="70">
        <f>-0.0208728114928007-(+H415/52)</f>
        <v>-2.0437081852764171E-2</v>
      </c>
      <c r="J415" s="70">
        <f>-0.00766750197178594-(+I415/52)</f>
        <v>-7.2744811669250902E-3</v>
      </c>
      <c r="K415" s="70">
        <f>0.00979419839530092-(+J415/52)</f>
        <v>9.934092263895633E-3</v>
      </c>
      <c r="L415" s="70">
        <f>-0.0062358131765242-(+K415/52)</f>
        <v>-6.4268534123683475E-3</v>
      </c>
      <c r="M415" s="70">
        <f>-0.0499354533015515-(+L415/52)</f>
        <v>-4.9811859966698256E-2</v>
      </c>
      <c r="N415" s="70">
        <f>-0.00621664815667578-(+M415/52)</f>
        <v>-5.2587277727008134E-3</v>
      </c>
    </row>
    <row r="416" spans="1:14">
      <c r="A416" s="68">
        <v>0.16</v>
      </c>
      <c r="B416" s="69">
        <f t="shared" si="12"/>
        <v>1.6000000000000001E-3</v>
      </c>
      <c r="C416" s="70">
        <f t="shared" si="13"/>
        <v>3.0769230769230768E-5</v>
      </c>
      <c r="F416" s="71">
        <v>40515</v>
      </c>
      <c r="G416" s="69">
        <v>-3.8373363189258369E-3</v>
      </c>
      <c r="H416" s="70">
        <f>-0.00310073719107524-(+G416/52)</f>
        <v>-3.0269422618651276E-3</v>
      </c>
      <c r="I416" s="70">
        <f>0.0364779978248014-(+H416/52)</f>
        <v>3.653620825291419E-2</v>
      </c>
      <c r="J416" s="70">
        <f>-0.0129282157050154-(+I416/52)</f>
        <v>-1.3630835094494519E-2</v>
      </c>
      <c r="K416" s="70">
        <f>0.0326721071001028-(+J416/52)</f>
        <v>3.2934238544227695E-2</v>
      </c>
      <c r="L416" s="70">
        <f>0.00119856701883348-(+K416/52)</f>
        <v>5.6521627759833191E-4</v>
      </c>
      <c r="M416" s="70">
        <f>0.0312622456093924-(+L416/52)</f>
        <v>3.1251376065592432E-2</v>
      </c>
      <c r="N416" s="70">
        <f>0.0181533219761499-(+M416/52)</f>
        <v>1.7552333974888507E-2</v>
      </c>
    </row>
    <row r="417" spans="1:14">
      <c r="A417" s="68">
        <v>0.16</v>
      </c>
      <c r="B417" s="69">
        <f t="shared" si="12"/>
        <v>1.6000000000000001E-3</v>
      </c>
      <c r="C417" s="70">
        <f t="shared" si="13"/>
        <v>3.0769230769230768E-5</v>
      </c>
      <c r="F417" s="71">
        <v>40522</v>
      </c>
      <c r="G417" s="69">
        <v>-6.3808564106759402E-3</v>
      </c>
      <c r="H417" s="70">
        <f>-0.0032824976487727-(+G417/52)</f>
        <v>-3.1597888716443168E-3</v>
      </c>
      <c r="I417" s="70">
        <f>-0.00668294512404344-(+H417/52)</f>
        <v>-6.622179953434895E-3</v>
      </c>
      <c r="J417" s="70">
        <f>0.00268066456018754-(+I417/52)</f>
        <v>2.8080141746766726E-3</v>
      </c>
      <c r="K417" s="70">
        <f>-0.0144170915191417-(+J417/52)</f>
        <v>-1.4471091791731635E-2</v>
      </c>
      <c r="L417" s="70">
        <f>-0.0108948368420931-(+K417/52)</f>
        <v>-1.061654661532903E-2</v>
      </c>
      <c r="M417" s="70">
        <f>-0.0134473603695187-(+L417/52)</f>
        <v>-1.3243196011531604E-2</v>
      </c>
      <c r="N417" s="70">
        <f>-0.0091646922867558-(+M417/52)</f>
        <v>-8.9100154403801927E-3</v>
      </c>
    </row>
    <row r="418" spans="1:14">
      <c r="A418" s="68">
        <v>0.14000000000000001</v>
      </c>
      <c r="B418" s="69">
        <f t="shared" si="12"/>
        <v>1.4000000000000002E-3</v>
      </c>
      <c r="C418" s="70">
        <f t="shared" si="13"/>
        <v>2.6923076923076927E-5</v>
      </c>
      <c r="F418" s="71">
        <v>40529</v>
      </c>
      <c r="G418" s="69">
        <v>-3.8566477299627026E-4</v>
      </c>
      <c r="H418" s="70">
        <f>0.00014184659599007-(+G418/52)</f>
        <v>1.4926322623999829E-4</v>
      </c>
      <c r="I418" s="70">
        <f>-0.00528994268224599-(+H418/52)</f>
        <v>-5.2928131289044517E-3</v>
      </c>
      <c r="J418" s="70">
        <f>-0.00345623290943651-(+I418/52)</f>
        <v>-3.3544480415729628E-3</v>
      </c>
      <c r="K418" s="70">
        <f>-0.0314675612432959-(+J418/52)</f>
        <v>-3.1403052627111808E-2</v>
      </c>
      <c r="L418" s="70">
        <f>-0.00951020665124261-(+K418/52)</f>
        <v>-8.9063017930289222E-3</v>
      </c>
      <c r="M418" s="70">
        <f>0.00597748065447151-(+L418/52)</f>
        <v>6.1487556889528354E-3</v>
      </c>
      <c r="N418" s="70">
        <f>0.00152206316111809-(+M418/52)</f>
        <v>1.4038178594074585E-3</v>
      </c>
    </row>
    <row r="419" spans="1:14">
      <c r="A419" s="68">
        <v>0.14000000000000001</v>
      </c>
      <c r="B419" s="69">
        <f t="shared" si="12"/>
        <v>1.4000000000000002E-3</v>
      </c>
      <c r="C419" s="70">
        <f t="shared" si="13"/>
        <v>2.6923076923076927E-5</v>
      </c>
      <c r="F419" s="71">
        <v>40536</v>
      </c>
      <c r="G419" s="69">
        <v>1.7595577617507117E-3</v>
      </c>
      <c r="H419" s="70">
        <f>0.0132946907566134-(+G419/52)</f>
        <v>1.3260853107348963E-2</v>
      </c>
      <c r="I419" s="70">
        <f>0.0143107500222091-(+H419/52)</f>
        <v>1.4055733616298543E-2</v>
      </c>
      <c r="J419" s="70">
        <f>0.0187283873797599-(+I419/52)</f>
        <v>1.8458084810215696E-2</v>
      </c>
      <c r="K419" s="70">
        <f>0.0556280119902332-(+J419/52)</f>
        <v>5.5273048820805977E-2</v>
      </c>
      <c r="L419" s="70">
        <f>0.0143748684111214-(+K419/52)</f>
        <v>1.3311925164567438E-2</v>
      </c>
      <c r="M419" s="70">
        <f>0.00563367675722988-(+L419/52)</f>
        <v>5.3776781963728142E-3</v>
      </c>
      <c r="N419" s="70">
        <f>0.0115150288887389-(+M419/52)</f>
        <v>1.1411612000347116E-2</v>
      </c>
    </row>
    <row r="420" spans="1:14">
      <c r="A420" s="68">
        <v>0.14000000000000001</v>
      </c>
      <c r="B420" s="69">
        <f t="shared" si="12"/>
        <v>1.4000000000000002E-3</v>
      </c>
      <c r="C420" s="70">
        <f t="shared" si="13"/>
        <v>2.6923076923076927E-5</v>
      </c>
      <c r="F420" s="71">
        <v>40543</v>
      </c>
      <c r="G420" s="69">
        <v>8.5401318051843023E-3</v>
      </c>
      <c r="H420" s="70">
        <f>-0.00364519309178098-(+G420/52)</f>
        <v>-3.8094263957268323E-3</v>
      </c>
      <c r="I420" s="70">
        <f>0.0178351049006727-(+H420/52)</f>
        <v>1.7908363100590526E-2</v>
      </c>
      <c r="J420" s="70">
        <f>0.00119656750342943-(+I420/52)</f>
        <v>8.5217590534115073E-4</v>
      </c>
      <c r="K420" s="70">
        <f>0.00984339682256778-(+J420/52)</f>
        <v>9.8270088243881427E-3</v>
      </c>
      <c r="L420" s="70">
        <f>0.0187178675823263-(+K420/52)</f>
        <v>1.8528886643395758E-2</v>
      </c>
      <c r="M420" s="70">
        <f>0.00700140918193273-(+L420/52)</f>
        <v>6.6450844387905038E-3</v>
      </c>
      <c r="N420" s="70">
        <f>0.00199585715174748-(+M420/52)</f>
        <v>1.868067066386124E-3</v>
      </c>
    </row>
    <row r="421" spans="1:14">
      <c r="A421" s="68">
        <v>0.14000000000000001</v>
      </c>
      <c r="B421" s="69">
        <f t="shared" si="12"/>
        <v>1.4000000000000002E-3</v>
      </c>
      <c r="C421" s="70">
        <f t="shared" si="13"/>
        <v>2.6923076923076927E-5</v>
      </c>
      <c r="F421" s="71">
        <v>40550</v>
      </c>
      <c r="G421" s="69">
        <v>-4.2884971830774591E-3</v>
      </c>
      <c r="H421" s="70">
        <f>0.00771406060087836-(+G421/52)</f>
        <v>7.7965317005529262E-3</v>
      </c>
      <c r="I421" s="70">
        <f>-0.00703250283568663-(+H421/52)</f>
        <v>-7.18243613762034E-3</v>
      </c>
      <c r="J421" s="70">
        <f>0.00372042784920269-(+I421/52)</f>
        <v>3.8585516210800043E-3</v>
      </c>
      <c r="K421" s="70">
        <f>0.0212398113086451-(+J421/52)</f>
        <v>2.1165608392855098E-2</v>
      </c>
      <c r="L421" s="70">
        <f>-0.0206981761370887-(+K421/52)</f>
        <v>-2.1105207067720528E-2</v>
      </c>
      <c r="M421" s="70">
        <f>-0.0225718227839399-(+L421/52)</f>
        <v>-2.2165953417252967E-2</v>
      </c>
      <c r="N421" s="70">
        <f>-0.00857529445689059-(+M421/52)</f>
        <v>-8.1490261219434174E-3</v>
      </c>
    </row>
    <row r="422" spans="1:14">
      <c r="A422" s="68">
        <v>0.14000000000000001</v>
      </c>
      <c r="B422" s="69">
        <f t="shared" si="12"/>
        <v>1.4000000000000002E-3</v>
      </c>
      <c r="C422" s="70">
        <f t="shared" si="13"/>
        <v>2.6923076923076927E-5</v>
      </c>
      <c r="F422" s="71">
        <v>40557</v>
      </c>
      <c r="G422" s="69">
        <v>5.3155173072527854E-3</v>
      </c>
      <c r="H422" s="70">
        <f>-0.0151827383477788-(+G422/52)</f>
        <v>-1.5284959834456739E-2</v>
      </c>
      <c r="I422" s="70">
        <f>0.000705079725216022-(+H422/52)</f>
        <v>9.9902126049403617E-4</v>
      </c>
      <c r="J422" s="70">
        <f>-0.0073385445469084-(+I422/52)</f>
        <v>-7.3577564942255936E-3</v>
      </c>
      <c r="K422" s="70">
        <f>0.0486780758157202-(+J422/52)</f>
        <v>4.881957113291685E-2</v>
      </c>
      <c r="L422" s="70">
        <f>-0.0155402461284815-(+K422/52)</f>
        <v>-1.6479084034883747E-2</v>
      </c>
      <c r="M422" s="70">
        <f>0.0494715267451673-(+L422/52)</f>
        <v>4.9788432207376603E-2</v>
      </c>
      <c r="N422" s="70">
        <f>0.0148692064685299-(+M422/52)</f>
        <v>1.3911736618388043E-2</v>
      </c>
    </row>
    <row r="423" spans="1:14">
      <c r="A423" s="68">
        <v>0.15</v>
      </c>
      <c r="B423" s="69">
        <f t="shared" si="12"/>
        <v>1.5E-3</v>
      </c>
      <c r="C423" s="70">
        <f t="shared" si="13"/>
        <v>2.8846153846153845E-5</v>
      </c>
      <c r="F423" s="71">
        <v>40564</v>
      </c>
      <c r="G423" s="69">
        <v>-2.4244841887322011E-3</v>
      </c>
      <c r="H423" s="70">
        <f>0.0192017724713051-(+G423/52)</f>
        <v>1.9248397167242259E-2</v>
      </c>
      <c r="I423" s="70">
        <f>0.00683720985156519-(+H423/52)</f>
        <v>6.4670483675797622E-3</v>
      </c>
      <c r="J423" s="70">
        <f>-0.0237643539709307-(+I423/52)</f>
        <v>-2.3888720285691847E-2</v>
      </c>
      <c r="K423" s="70">
        <f>-0.0321030473736254-(+J423/52)</f>
        <v>-3.164364890659286E-2</v>
      </c>
      <c r="L423" s="70">
        <f>0.012456028282258-(+K423/52)</f>
        <v>1.3064559992000169E-2</v>
      </c>
      <c r="M423" s="70">
        <f>0.0177491000995634-(+L423/52)</f>
        <v>1.7497858561255703E-2</v>
      </c>
      <c r="N423" s="70">
        <f>-0.00216044619827609-(+M423/52)</f>
        <v>-2.4969434783002381E-3</v>
      </c>
    </row>
    <row r="424" spans="1:14">
      <c r="A424" s="68">
        <v>0.16</v>
      </c>
      <c r="B424" s="69">
        <f t="shared" si="12"/>
        <v>1.6000000000000001E-3</v>
      </c>
      <c r="C424" s="70">
        <f t="shared" si="13"/>
        <v>3.0769230769230768E-5</v>
      </c>
      <c r="F424" s="71">
        <v>40571</v>
      </c>
      <c r="G424" s="69">
        <v>5.0331693307628742E-3</v>
      </c>
      <c r="H424" s="70">
        <f>0.00189607801696815-(+G424/52)</f>
        <v>1.7992862990688641E-3</v>
      </c>
      <c r="I424" s="70">
        <f>0.0117167341704849-(+H424/52)</f>
        <v>1.1682132510887422E-2</v>
      </c>
      <c r="J424" s="70">
        <f>-0.01077562939238-(+I424/52)</f>
        <v>-1.1000285786820142E-2</v>
      </c>
      <c r="K424" s="70">
        <f>0.0247123790211791-(+J424/52)</f>
        <v>2.4923922978617948E-2</v>
      </c>
      <c r="L424" s="70">
        <f>0.0180615178606592-(+K424/52)</f>
        <v>1.7582211649531932E-2</v>
      </c>
      <c r="M424" s="70">
        <f>0.00519706518671817-(+L424/52)</f>
        <v>4.8589457319194789E-3</v>
      </c>
      <c r="N424" s="70">
        <f>-0.00228000795351625-(+M424/52)</f>
        <v>-2.3734492175916245E-3</v>
      </c>
    </row>
    <row r="425" spans="1:14">
      <c r="A425" s="68">
        <v>0.16</v>
      </c>
      <c r="B425" s="69">
        <f t="shared" si="12"/>
        <v>1.6000000000000001E-3</v>
      </c>
      <c r="C425" s="70">
        <f t="shared" si="13"/>
        <v>3.0769230769230768E-5</v>
      </c>
      <c r="F425" s="71">
        <v>40578</v>
      </c>
      <c r="G425" s="69">
        <v>-5.1162576168847793E-3</v>
      </c>
      <c r="H425" s="70">
        <f>0.0144950246807177-(+G425/52)</f>
        <v>1.4593414250273176E-2</v>
      </c>
      <c r="I425" s="70">
        <f>0.015970786560272-(+H425/52)</f>
        <v>1.5690143978535978E-2</v>
      </c>
      <c r="J425" s="70">
        <f>0.0418674025683801-(+I425/52)</f>
        <v>4.1565669030331327E-2</v>
      </c>
      <c r="K425" s="70">
        <f>0.00144638008451708-(+J425/52)</f>
        <v>6.470402954722467E-4</v>
      </c>
      <c r="L425" s="70">
        <f>0.0436942931418669-(+K425/52)</f>
        <v>4.3681850059261666E-2</v>
      </c>
      <c r="M425" s="70">
        <f>0.00675166686162117-(+L425/52)</f>
        <v>5.9116312835584455E-3</v>
      </c>
      <c r="N425" s="70">
        <f>0.0170062754928056-(+M425/52)</f>
        <v>1.6892590275814093E-2</v>
      </c>
    </row>
    <row r="426" spans="1:14">
      <c r="A426" s="68">
        <v>0.15</v>
      </c>
      <c r="B426" s="69">
        <f t="shared" si="12"/>
        <v>1.5E-3</v>
      </c>
      <c r="C426" s="70">
        <f t="shared" si="13"/>
        <v>2.8846153846153845E-5</v>
      </c>
      <c r="F426" s="71">
        <v>40585</v>
      </c>
      <c r="G426" s="69">
        <v>-2.6199182624178537E-3</v>
      </c>
      <c r="H426" s="70">
        <f>0.0150661818873125-(+G426/52)</f>
        <v>1.5116564930820534E-2</v>
      </c>
      <c r="I426" s="70">
        <f>-0.00603229904380821-(+H426/52)</f>
        <v>-6.3230022155547592E-3</v>
      </c>
      <c r="J426" s="70">
        <f>-0.00178078843535036-(+I426/52)</f>
        <v>-1.659192238897384E-3</v>
      </c>
      <c r="K426" s="70">
        <f>-0.0552337639809641-(+J426/52)</f>
        <v>-5.5201856437908384E-2</v>
      </c>
      <c r="L426" s="70">
        <f>0.0365134763676151-(+K426/52)</f>
        <v>3.7575050529882567E-2</v>
      </c>
      <c r="M426" s="70">
        <f>0.00456387566924457-(+L426/52)</f>
        <v>3.8412785436699052E-3</v>
      </c>
      <c r="N426" s="70">
        <f>-0.000426756779118537-(+M426/52)</f>
        <v>-5.006275203429583E-4</v>
      </c>
    </row>
    <row r="427" spans="1:14">
      <c r="A427" s="68">
        <v>0.14000000000000001</v>
      </c>
      <c r="B427" s="69">
        <f t="shared" si="12"/>
        <v>1.4000000000000002E-3</v>
      </c>
      <c r="C427" s="70">
        <f t="shared" si="13"/>
        <v>2.6923076923076927E-5</v>
      </c>
      <c r="F427" s="71">
        <v>40592</v>
      </c>
      <c r="G427" s="69">
        <v>4.8949459889002711E-3</v>
      </c>
      <c r="H427" s="70">
        <f>0.0051621210347654-(+G427/52)</f>
        <v>5.0679874580557794E-3</v>
      </c>
      <c r="I427" s="70">
        <f>0.00924111857713546-(+H427/52)</f>
        <v>9.1436572798651566E-3</v>
      </c>
      <c r="J427" s="70">
        <f>0.0329259029762738-(+I427/52)</f>
        <v>3.2750063413199471E-2</v>
      </c>
      <c r="K427" s="70">
        <f>0.0507753407707506-(+J427/52)</f>
        <v>5.01455318589583E-2</v>
      </c>
      <c r="L427" s="70">
        <f>-0.0323785642918905-(+K427/52)</f>
        <v>-3.334290144302432E-2</v>
      </c>
      <c r="M427" s="70">
        <f>0.012792042563035-(+L427/52)</f>
        <v>1.3433252206170084E-2</v>
      </c>
      <c r="N427" s="70">
        <f>0.0131131257596684-(+M427/52)</f>
        <v>1.285479398647282E-2</v>
      </c>
    </row>
    <row r="428" spans="1:14">
      <c r="A428" s="68">
        <v>0.11</v>
      </c>
      <c r="B428" s="69">
        <f t="shared" si="12"/>
        <v>1.1000000000000001E-3</v>
      </c>
      <c r="C428" s="70">
        <f t="shared" si="13"/>
        <v>2.1153846153846154E-5</v>
      </c>
      <c r="F428" s="71">
        <v>40599</v>
      </c>
      <c r="G428" s="69">
        <v>7.7152196654062082E-3</v>
      </c>
      <c r="H428" s="70">
        <f>-0.00580521945709263-(+G428/52)</f>
        <v>-5.953589066042749E-3</v>
      </c>
      <c r="I428" s="70">
        <f>-0.019977478416816-(+H428/52)</f>
        <v>-1.9862986319392099E-2</v>
      </c>
      <c r="J428" s="70">
        <f>-0.0177112309813503-(+I428/52)</f>
        <v>-1.7329250475208145E-2</v>
      </c>
      <c r="K428" s="70">
        <f>-0.0755956179536268-(+J428/52)</f>
        <v>-7.5262363136795879E-2</v>
      </c>
      <c r="L428" s="70">
        <f>-0.00900559301726541-(+K428/52)</f>
        <v>-7.5582398800193365E-3</v>
      </c>
      <c r="M428" s="70">
        <f>-0.00549528355754526-(+L428/52)</f>
        <v>-5.349932790621811E-3</v>
      </c>
      <c r="N428" s="70">
        <f>0.00335840310297524-(+M428/52)</f>
        <v>3.4612864258718136E-3</v>
      </c>
    </row>
    <row r="429" spans="1:14">
      <c r="A429" s="68">
        <v>0.13</v>
      </c>
      <c r="B429" s="69">
        <f t="shared" si="12"/>
        <v>1.2999999999999999E-3</v>
      </c>
      <c r="C429" s="70">
        <f t="shared" si="13"/>
        <v>2.4999999999999998E-5</v>
      </c>
      <c r="F429" s="71">
        <v>40606</v>
      </c>
      <c r="G429" s="69">
        <v>-3.7075271849298946E-4</v>
      </c>
      <c r="H429" s="70">
        <f>0.0124103194822689-(+G429/52)</f>
        <v>1.2417449342239919E-2</v>
      </c>
      <c r="I429" s="70">
        <f>0.0268920372333428-(+H429/52)</f>
        <v>2.6653240130607419E-2</v>
      </c>
      <c r="J429" s="70">
        <f>0.018355627351707-(+I429/52)</f>
        <v>1.7843065041503011E-2</v>
      </c>
      <c r="K429" s="70">
        <f>0.0378212898851472-(+J429/52)</f>
        <v>3.7478154018964448E-2</v>
      </c>
      <c r="L429" s="70">
        <f>-0.00668654107057761-(+K429/52)</f>
        <v>-7.4072748017115411E-3</v>
      </c>
      <c r="M429" s="70">
        <f>0.0121169251120747-(+L429/52)</f>
        <v>1.2259372704415307E-2</v>
      </c>
      <c r="N429" s="70">
        <f>0.0155486602780586-(+M429/52)</f>
        <v>1.5312903110665996E-2</v>
      </c>
    </row>
    <row r="430" spans="1:14">
      <c r="A430" s="68">
        <v>0.13</v>
      </c>
      <c r="B430" s="69">
        <f t="shared" si="12"/>
        <v>1.2999999999999999E-3</v>
      </c>
      <c r="C430" s="70">
        <f t="shared" si="13"/>
        <v>2.4999999999999998E-5</v>
      </c>
      <c r="F430" s="71">
        <v>40613</v>
      </c>
      <c r="G430" s="69">
        <v>-8.0212731138496526E-4</v>
      </c>
      <c r="H430" s="70">
        <f>-0.00925583117363939-(+G430/52)</f>
        <v>-9.2404056484204477E-3</v>
      </c>
      <c r="I430" s="70">
        <f>-0.0227669169533095-(+H430/52)</f>
        <v>-2.2589216844686028E-2</v>
      </c>
      <c r="J430" s="70">
        <f>-0.0253372087962045-(+I430/52)</f>
        <v>-2.490280077996054E-2</v>
      </c>
      <c r="K430" s="70">
        <f>-0.00154419363396279-(+J430/52)</f>
        <v>-1.0652936189635487E-3</v>
      </c>
      <c r="L430" s="70">
        <f>-0.0419120760961954-(+K430/52)</f>
        <v>-4.1891589680446102E-2</v>
      </c>
      <c r="M430" s="70">
        <f>-0.0221465849784435-(+L430/52)</f>
        <v>-2.1340977484588769E-2</v>
      </c>
      <c r="N430" s="70">
        <f>-0.0128924713031734-(+M430/52)</f>
        <v>-1.2482067890008232E-2</v>
      </c>
    </row>
    <row r="431" spans="1:14">
      <c r="A431" s="68">
        <v>0.1</v>
      </c>
      <c r="B431" s="69">
        <f t="shared" si="12"/>
        <v>1E-3</v>
      </c>
      <c r="C431" s="70">
        <f t="shared" si="13"/>
        <v>1.9230769230769231E-5</v>
      </c>
      <c r="F431" s="71">
        <v>40620</v>
      </c>
      <c r="G431" s="69">
        <v>9.7861511654415024E-3</v>
      </c>
      <c r="H431" s="70">
        <f>0.000578054932735431-(+G431/52)</f>
        <v>3.8985971801540212E-4</v>
      </c>
      <c r="I431" s="70">
        <f>-0.0221561687986245-(+H431/52)</f>
        <v>-2.2163666100894028E-2</v>
      </c>
      <c r="J431" s="70">
        <f>-0.0026248933171903-(+I431/52)</f>
        <v>-2.1986689690961844E-3</v>
      </c>
      <c r="K431" s="70">
        <f>-0.0202483255277215-(+J431/52)</f>
        <v>-2.0206043432161959E-2</v>
      </c>
      <c r="L431" s="70">
        <f>-0.0000642648338128269-(+K431/52)</f>
        <v>3.2431292449798001E-4</v>
      </c>
      <c r="M431" s="70">
        <f>-0.00661344966816726-(+L431/52)</f>
        <v>-6.619686455176836E-3</v>
      </c>
      <c r="N431" s="70">
        <f>-0.00982450140014109-(+M431/52)</f>
        <v>-9.6971997375415349E-3</v>
      </c>
    </row>
    <row r="432" spans="1:14">
      <c r="A432" s="68">
        <v>0.09</v>
      </c>
      <c r="B432" s="69">
        <f t="shared" si="12"/>
        <v>8.9999999999999998E-4</v>
      </c>
      <c r="C432" s="70">
        <f t="shared" si="13"/>
        <v>1.7307692307692306E-5</v>
      </c>
      <c r="F432" s="71">
        <v>40627</v>
      </c>
      <c r="G432" s="69">
        <v>-3.6685821349426301E-3</v>
      </c>
      <c r="H432" s="70">
        <f>0.0193157215968441-(+G432/52)</f>
        <v>1.9386271253285303E-2</v>
      </c>
      <c r="I432" s="70">
        <f>0.0265298317687737-(+H432/52)</f>
        <v>2.6157018860056676E-2</v>
      </c>
      <c r="J432" s="70">
        <f>0.0186116625124999-(+I432/52)</f>
        <v>1.8108642919037271E-2</v>
      </c>
      <c r="K432" s="70">
        <f>0.0439806850884187-(+J432/52)</f>
        <v>4.3632441955360292E-2</v>
      </c>
      <c r="L432" s="70">
        <f>-0.00601071567410295-(+K432/52)</f>
        <v>-6.8498010963214178E-3</v>
      </c>
      <c r="M432" s="70">
        <f>0.0341049779252026-(+L432/52)</f>
        <v>3.4236704869362623E-2</v>
      </c>
      <c r="N432" s="70">
        <f>0.029308267884822-(+M432/52)</f>
        <v>2.8649869714257335E-2</v>
      </c>
    </row>
    <row r="433" spans="1:14">
      <c r="A433" s="68">
        <v>0.09</v>
      </c>
      <c r="B433" s="69">
        <f t="shared" si="12"/>
        <v>8.9999999999999998E-4</v>
      </c>
      <c r="C433" s="70">
        <f t="shared" si="13"/>
        <v>1.7307692307692306E-5</v>
      </c>
      <c r="F433" s="71">
        <v>40634</v>
      </c>
      <c r="G433" s="69">
        <v>-2.5114504517633075E-3</v>
      </c>
      <c r="H433" s="70">
        <f>0.0175356237083006-(+G433/52)</f>
        <v>1.7583920832372969E-2</v>
      </c>
      <c r="I433" s="70">
        <f>0.0310176365759234-(+H433/52)</f>
        <v>3.0679484252223919E-2</v>
      </c>
      <c r="J433" s="70">
        <f>0.0260569296291954-(+I433/52)</f>
        <v>2.5466939547421862E-2</v>
      </c>
      <c r="K433" s="70">
        <f>0.00253558149723372-(+J433/52)</f>
        <v>2.0458326597832996E-3</v>
      </c>
      <c r="L433" s="70">
        <f>0.0483165762380157-(+K433/52)</f>
        <v>4.8277233302250637E-2</v>
      </c>
      <c r="M433" s="70">
        <f>0.0322979963405544-(+L433/52)</f>
        <v>3.1369588007818812E-2</v>
      </c>
      <c r="N433" s="70">
        <f>0.0192411753602216-(+M433/52)</f>
        <v>1.863791405237893E-2</v>
      </c>
    </row>
    <row r="434" spans="1:14">
      <c r="A434" s="68">
        <v>0.09</v>
      </c>
      <c r="B434" s="69">
        <f t="shared" si="12"/>
        <v>8.9999999999999998E-4</v>
      </c>
      <c r="C434" s="70">
        <f t="shared" si="13"/>
        <v>1.7307692307692306E-5</v>
      </c>
      <c r="F434" s="71">
        <v>40641</v>
      </c>
      <c r="G434" s="69">
        <v>-3.4499215890067209E-3</v>
      </c>
      <c r="H434" s="70">
        <f>0.00212674978619987-(+G434/52)</f>
        <v>2.1930944321423068E-3</v>
      </c>
      <c r="I434" s="70">
        <f>-0.0053083697158439-(+H434/52)</f>
        <v>-5.3505446087697139E-3</v>
      </c>
      <c r="J434" s="70">
        <f>0.00114242737255989-(+I434/52)</f>
        <v>1.2453224611900767E-3</v>
      </c>
      <c r="K434" s="70">
        <f>0.0347470638054319-(+J434/52)</f>
        <v>3.4723115296562863E-2</v>
      </c>
      <c r="L434" s="70">
        <f>-0.018334029086232-(+K434/52)</f>
        <v>-1.9001781303473592E-2</v>
      </c>
      <c r="M434" s="70">
        <f>0.0143154743669418-(+L434/52)</f>
        <v>1.4680893238162445E-2</v>
      </c>
      <c r="N434" s="70">
        <f>0.000818990707130479-(+M434/52)</f>
        <v>5.3666583716581657E-4</v>
      </c>
    </row>
    <row r="435" spans="1:14">
      <c r="A435" s="68">
        <v>0.05</v>
      </c>
      <c r="B435" s="69">
        <f t="shared" si="12"/>
        <v>5.0000000000000001E-4</v>
      </c>
      <c r="C435" s="70">
        <f t="shared" si="13"/>
        <v>9.6153846153846157E-6</v>
      </c>
      <c r="F435" s="71">
        <v>40648</v>
      </c>
      <c r="G435" s="69">
        <v>8.8437027678938337E-3</v>
      </c>
      <c r="H435" s="70">
        <f>0.00104988939667847-(+G435/52)</f>
        <v>8.7981818960358857E-4</v>
      </c>
      <c r="I435" s="70">
        <f>-0.00401469558346045-(+H435/52)</f>
        <v>-4.0316151640297495E-3</v>
      </c>
      <c r="J435" s="70">
        <f>0.0101845292151446-(+I435/52)</f>
        <v>1.0262060275991325E-2</v>
      </c>
      <c r="K435" s="70">
        <f>0.0134844226514383-(+J435/52)</f>
        <v>1.3287075338438467E-2</v>
      </c>
      <c r="L435" s="70">
        <f>0.000288096113767194-(+K435/52)</f>
        <v>3.2575434181838885E-5</v>
      </c>
      <c r="M435" s="70">
        <f>-0.0110413565465019-(+L435/52)</f>
        <v>-1.1041982997159243E-2</v>
      </c>
      <c r="N435" s="70">
        <f>0.00076897454982087-(+M435/52)</f>
        <v>9.8132037668931704E-4</v>
      </c>
    </row>
    <row r="436" spans="1:14">
      <c r="A436" s="68">
        <v>0.06</v>
      </c>
      <c r="B436" s="69">
        <f t="shared" si="12"/>
        <v>5.9999999999999995E-4</v>
      </c>
      <c r="C436" s="70">
        <f t="shared" si="13"/>
        <v>1.1538461538461538E-5</v>
      </c>
      <c r="F436" s="71">
        <v>40655</v>
      </c>
      <c r="G436" s="69">
        <v>6.2052552045039379E-3</v>
      </c>
      <c r="H436" s="70">
        <f>0.0125742424327402-(+G436/52)</f>
        <v>1.2454910601884356E-2</v>
      </c>
      <c r="I436" s="70">
        <f>0.0307580081745612-(+H436/52)</f>
        <v>3.0518490662986498E-2</v>
      </c>
      <c r="J436" s="70">
        <f>0.00909343361840512-(+I436/52)</f>
        <v>8.506539567193841E-3</v>
      </c>
      <c r="K436" s="70">
        <f>0.0344720771749711-(+J436/52)</f>
        <v>3.4308489875601984E-2</v>
      </c>
      <c r="L436" s="70">
        <f>0.0101210574371734-(+K436/52)</f>
        <v>9.4612787857195155E-3</v>
      </c>
      <c r="M436" s="70">
        <f>0.0212778025008071-(+L436/52)</f>
        <v>2.1095854831850953E-2</v>
      </c>
      <c r="N436" s="70">
        <f>0.0153224746063574-(+M436/52)</f>
        <v>1.4916785090360266E-2</v>
      </c>
    </row>
    <row r="437" spans="1:14">
      <c r="A437" s="68">
        <v>0.06</v>
      </c>
      <c r="B437" s="69">
        <f t="shared" si="12"/>
        <v>5.9999999999999995E-4</v>
      </c>
      <c r="C437" s="70">
        <f t="shared" si="13"/>
        <v>1.1538461538461538E-5</v>
      </c>
      <c r="F437" s="71">
        <v>40662</v>
      </c>
      <c r="G437" s="69">
        <v>8.5299553646656246E-3</v>
      </c>
      <c r="H437" s="70">
        <f>0.0301811756756008-(+G437/52)</f>
        <v>3.0017138072434151E-2</v>
      </c>
      <c r="I437" s="70">
        <f>0.0129137224717011-(+H437/52)</f>
        <v>1.2336469816461982E-2</v>
      </c>
      <c r="J437" s="70">
        <f>0.027836729743975-(+I437/52)</f>
        <v>2.7599489939812271E-2</v>
      </c>
      <c r="K437" s="70">
        <f>-0.0233883731873208-(+J437/52)</f>
        <v>-2.3919132609240269E-2</v>
      </c>
      <c r="L437" s="70">
        <f>0.0107878235456041-(+K437/52)</f>
        <v>1.1247806865012568E-2</v>
      </c>
      <c r="M437" s="70">
        <f>0.0179637137254735-(+L437/52)</f>
        <v>1.7747409747300182E-2</v>
      </c>
      <c r="N437" s="70">
        <f>0.0182802705010583-(+M437/52)</f>
        <v>1.7938974159764066E-2</v>
      </c>
    </row>
    <row r="438" spans="1:14">
      <c r="A438" s="68">
        <v>0.06</v>
      </c>
      <c r="B438" s="69">
        <f t="shared" si="12"/>
        <v>5.9999999999999995E-4</v>
      </c>
      <c r="C438" s="70">
        <f t="shared" si="13"/>
        <v>1.1538461538461538E-5</v>
      </c>
      <c r="F438" s="71">
        <v>40669</v>
      </c>
      <c r="G438" s="69">
        <v>3.0204996347871979E-3</v>
      </c>
      <c r="H438" s="70">
        <f>-0.0069895479375457-(+G438/52)</f>
        <v>-7.0476344689839156E-3</v>
      </c>
      <c r="I438" s="70">
        <f>-0.0154933787594493-(+H438/52)</f>
        <v>-1.5357847327353456E-2</v>
      </c>
      <c r="J438" s="70">
        <f>-0.0133372057669008-(+I438/52)</f>
        <v>-1.304186254906708E-2</v>
      </c>
      <c r="K438" s="70">
        <f>-0.0300843544566237-(+J438/52)</f>
        <v>-2.9833549407603181E-2</v>
      </c>
      <c r="L438" s="70">
        <f>-0.00652694992629048-(+K438/52)</f>
        <v>-5.9532278222981109E-3</v>
      </c>
      <c r="M438" s="70">
        <f>-0.0183265628147452-(+L438/52)</f>
        <v>-1.821207766431639E-2</v>
      </c>
      <c r="N438" s="70">
        <f>-0.0139419905092721-(+M438/52)</f>
        <v>-1.3591758246496784E-2</v>
      </c>
    </row>
    <row r="439" spans="1:14">
      <c r="A439" s="68">
        <v>0.03</v>
      </c>
      <c r="B439" s="69">
        <f t="shared" si="12"/>
        <v>2.9999999999999997E-4</v>
      </c>
      <c r="C439" s="70">
        <f t="shared" si="13"/>
        <v>5.7692307692307689E-6</v>
      </c>
      <c r="F439" s="71">
        <v>40676</v>
      </c>
      <c r="G439" s="69">
        <v>-3.3493113581674078E-3</v>
      </c>
      <c r="H439" s="70">
        <f>0.00283174149394669-(+G439/52)</f>
        <v>2.8961513277576019E-3</v>
      </c>
      <c r="I439" s="70">
        <f>-0.0117205933458928-(+H439/52)</f>
        <v>-1.1776288563734293E-2</v>
      </c>
      <c r="J439" s="70">
        <f>-0.00646668690380916-(+I439/52)</f>
        <v>-6.2402198160450388E-3</v>
      </c>
      <c r="K439" s="70">
        <f>0.0126184983497728-(+J439/52)</f>
        <v>1.2738502577004436E-2</v>
      </c>
      <c r="L439" s="70">
        <f>0.00444558556449565-(+K439/52)</f>
        <v>4.2006143610917182E-3</v>
      </c>
      <c r="M439" s="70">
        <f>-0.0200110293646145-(+L439/52)</f>
        <v>-2.009181041002011E-2</v>
      </c>
      <c r="N439" s="70">
        <f>-0.00749276518907247-(+M439/52)</f>
        <v>-7.1063842196490059E-3</v>
      </c>
    </row>
    <row r="440" spans="1:14">
      <c r="A440" s="68">
        <v>0.03</v>
      </c>
      <c r="B440" s="69">
        <f t="shared" si="12"/>
        <v>2.9999999999999997E-4</v>
      </c>
      <c r="C440" s="70">
        <f t="shared" si="13"/>
        <v>5.7692307692307689E-6</v>
      </c>
      <c r="F440" s="71">
        <v>40683</v>
      </c>
      <c r="G440" s="69">
        <v>-5.3496408285868516E-4</v>
      </c>
      <c r="H440" s="70">
        <f>0.00654374645682039-(+G440/52)</f>
        <v>6.5540342276445953E-3</v>
      </c>
      <c r="I440" s="70">
        <f>-0.00255773409189347-(+H440/52)</f>
        <v>-2.683773211655866E-3</v>
      </c>
      <c r="J440" s="70">
        <f>0.00733741945041125-(+I440/52)</f>
        <v>7.389030473712325E-3</v>
      </c>
      <c r="K440" s="70">
        <f>0.00423675271486658-(+J440/52)</f>
        <v>4.094655974987497E-3</v>
      </c>
      <c r="L440" s="70">
        <f>0.00680539078370258-(+K440/52)</f>
        <v>6.7266473995682054E-3</v>
      </c>
      <c r="M440" s="70">
        <f>-0.000632524864770665-(+L440/52)</f>
        <v>-7.6188346860851515E-4</v>
      </c>
      <c r="N440" s="70">
        <f>0.0117443055143819-(+M440/52)</f>
        <v>1.1758957119547449E-2</v>
      </c>
    </row>
    <row r="441" spans="1:14">
      <c r="A441" s="68">
        <v>0.05</v>
      </c>
      <c r="B441" s="69">
        <f t="shared" si="12"/>
        <v>5.0000000000000001E-4</v>
      </c>
      <c r="C441" s="70">
        <f t="shared" si="13"/>
        <v>9.6153846153846157E-6</v>
      </c>
      <c r="F441" s="71">
        <v>40690</v>
      </c>
      <c r="G441" s="69">
        <v>-4.055031938555432E-4</v>
      </c>
      <c r="H441" s="70">
        <f>-0.00801386065323159-(+G441/52)</f>
        <v>-8.0060625148882132E-3</v>
      </c>
      <c r="I441" s="70">
        <f>0.0154080231565666-(+H441/52)</f>
        <v>1.5561985897237528E-2</v>
      </c>
      <c r="J441" s="70">
        <f>0.0145955211602887-(+I441/52)</f>
        <v>1.429625220072644E-2</v>
      </c>
      <c r="K441" s="70">
        <f>-0.0225821015935518-(+J441/52)</f>
        <v>-2.2857029520488847E-2</v>
      </c>
      <c r="L441" s="70">
        <f>0.0134478417293048-(+K441/52)</f>
        <v>1.38873999893142E-2</v>
      </c>
      <c r="M441" s="70">
        <f>-0.00125712040856398-(+L441/52)</f>
        <v>-1.5241857929738684E-3</v>
      </c>
      <c r="N441" s="70">
        <f>0.00153328061845001-(+M441/52)</f>
        <v>1.5625918836995076E-3</v>
      </c>
    </row>
    <row r="442" spans="1:14">
      <c r="A442" s="68">
        <v>0.06</v>
      </c>
      <c r="B442" s="69">
        <f t="shared" si="12"/>
        <v>5.9999999999999995E-4</v>
      </c>
      <c r="C442" s="70">
        <f t="shared" si="13"/>
        <v>1.1538461538461538E-5</v>
      </c>
      <c r="F442" s="71">
        <v>40697</v>
      </c>
      <c r="G442" s="69">
        <v>7.7939064563679857E-3</v>
      </c>
      <c r="H442" s="70">
        <f>-0.0245007651419703-(+G442/52)</f>
        <v>-2.4650647958438916E-2</v>
      </c>
      <c r="I442" s="70">
        <f>0.00649801551044879-(+H442/52)</f>
        <v>6.9720664327264613E-3</v>
      </c>
      <c r="J442" s="70">
        <f>-0.022760523061732-(+I442/52)</f>
        <v>-2.2894601262361355E-2</v>
      </c>
      <c r="K442" s="70">
        <f>-0.0269544738595747-(+J442/52)</f>
        <v>-2.651419306606775E-2</v>
      </c>
      <c r="L442" s="70">
        <f>-0.0354631615633263-(+K442/52)</f>
        <v>-3.4953273235132691E-2</v>
      </c>
      <c r="M442" s="70">
        <f>0.0151787314199303-(+L442/52)</f>
        <v>1.585090975137516E-2</v>
      </c>
      <c r="N442" s="70">
        <f>-0.00814360314362325-(+M442/52)</f>
        <v>-8.4484283311496954E-3</v>
      </c>
    </row>
    <row r="443" spans="1:14">
      <c r="A443" s="68">
        <v>0.05</v>
      </c>
      <c r="B443" s="69">
        <f t="shared" si="12"/>
        <v>5.0000000000000001E-4</v>
      </c>
      <c r="C443" s="70">
        <f t="shared" si="13"/>
        <v>9.6153846153846157E-6</v>
      </c>
      <c r="F443" s="71">
        <v>40704</v>
      </c>
      <c r="G443" s="69">
        <v>-1.0598147803248803E-3</v>
      </c>
      <c r="H443" s="70">
        <f>-0.0137692486779525-(+G443/52)</f>
        <v>-1.3748867624484714E-2</v>
      </c>
      <c r="I443" s="70">
        <f>-0.0128612926652143-(+H443/52)</f>
        <v>-1.2596891364743441E-2</v>
      </c>
      <c r="J443" s="70">
        <f>-0.0199395602358263-(+I443/52)</f>
        <v>-1.9697312324965851E-2</v>
      </c>
      <c r="K443" s="70">
        <f>-0.0417871303887654-(+J443/52)</f>
        <v>-4.1408335920977597E-2</v>
      </c>
      <c r="L443" s="70">
        <f>-0.0157060103754394-(+K443/52)</f>
        <v>-1.4909696223112908E-2</v>
      </c>
      <c r="M443" s="70">
        <f>-0.0299466161529191-(+L443/52)</f>
        <v>-2.9659891225551543E-2</v>
      </c>
      <c r="N443" s="70">
        <f>-0.0201140252698099-(+M443/52)</f>
        <v>-1.9543642746241603E-2</v>
      </c>
    </row>
    <row r="444" spans="1:14">
      <c r="A444" s="68">
        <v>0.05</v>
      </c>
      <c r="B444" s="69">
        <f t="shared" si="12"/>
        <v>5.0000000000000001E-4</v>
      </c>
      <c r="C444" s="70">
        <f t="shared" si="13"/>
        <v>9.6153846153846157E-6</v>
      </c>
      <c r="F444" s="71">
        <v>40711</v>
      </c>
      <c r="G444" s="69">
        <v>-7.9959417127312355E-4</v>
      </c>
      <c r="H444" s="70">
        <f>0.00323744646410143-(+G444/52)</f>
        <v>3.2528232750874517E-3</v>
      </c>
      <c r="I444" s="70">
        <f>0.00244245157398343-(+H444/52)</f>
        <v>2.3798972802317481E-3</v>
      </c>
      <c r="J444" s="70">
        <f>-0.00278079924331999-(+I444/52)</f>
        <v>-2.8265664987090623E-3</v>
      </c>
      <c r="K444" s="70">
        <f>-0.0370186880213113-(+J444/52)</f>
        <v>-3.6964330973259206E-2</v>
      </c>
      <c r="L444" s="70">
        <f>-0.00146527765381737-(+K444/52)</f>
        <v>-7.5442513510084672E-4</v>
      </c>
      <c r="M444" s="70">
        <f>-0.0280484990502564-(+L444/52)</f>
        <v>-2.8033990874581385E-2</v>
      </c>
      <c r="N444" s="70">
        <f>-0.00232979122596505-(+M444/52)</f>
        <v>-1.7906760168384848E-3</v>
      </c>
    </row>
    <row r="445" spans="1:14">
      <c r="A445" s="68">
        <v>0.05</v>
      </c>
      <c r="B445" s="69">
        <f t="shared" si="12"/>
        <v>5.0000000000000001E-4</v>
      </c>
      <c r="C445" s="70">
        <f t="shared" si="13"/>
        <v>9.6153846153846157E-6</v>
      </c>
      <c r="F445" s="71">
        <v>40718</v>
      </c>
      <c r="G445" s="69">
        <v>4.7949128644627059E-4</v>
      </c>
      <c r="H445" s="70">
        <f>-0.0156643920804061-(+G445/52)</f>
        <v>-1.5673613066683915E-2</v>
      </c>
      <c r="I445" s="70">
        <f>-0.00732784876083391-(+H445/52)</f>
        <v>-7.0264331249361425E-3</v>
      </c>
      <c r="J445" s="70">
        <f>-0.0201079378930296-(+I445/52)</f>
        <v>-1.997281417908852E-2</v>
      </c>
      <c r="K445" s="70">
        <f>0.00153918815204653-(+J445/52)</f>
        <v>1.923280732413617E-3</v>
      </c>
      <c r="L445" s="70">
        <f>0.020612386863101-(+K445/52)</f>
        <v>2.0575400695169971E-2</v>
      </c>
      <c r="M445" s="70">
        <f>-0.0224425124655258-(+L445/52)</f>
        <v>-2.2838193248125221E-2</v>
      </c>
      <c r="N445" s="70">
        <f>0.00815057905483033-(+M445/52)</f>
        <v>8.5897750788327381E-3</v>
      </c>
    </row>
    <row r="446" spans="1:14">
      <c r="A446" s="68">
        <v>0.02</v>
      </c>
      <c r="B446" s="69">
        <f t="shared" si="12"/>
        <v>2.0000000000000001E-4</v>
      </c>
      <c r="C446" s="70">
        <f t="shared" si="13"/>
        <v>3.8461538461538459E-6</v>
      </c>
      <c r="F446" s="71">
        <v>40725</v>
      </c>
      <c r="G446" s="69">
        <v>-2.1788060038412591E-3</v>
      </c>
      <c r="H446" s="70">
        <f>0.0425958178237657-(+G446/52)</f>
        <v>4.263771793922419E-2</v>
      </c>
      <c r="I446" s="70">
        <f>0.0378892893447925-(+H446/52)</f>
        <v>3.7069333230576651E-2</v>
      </c>
      <c r="J446" s="70">
        <f>0.0640251280115382-(+I446/52)</f>
        <v>6.331225621864249E-2</v>
      </c>
      <c r="K446" s="70">
        <f>0.0314943390188754-(+J446/52)</f>
        <v>3.027679563005535E-2</v>
      </c>
      <c r="L446" s="70">
        <f>0.0447200380771061-(+K446/52)</f>
        <v>4.4137792007297345E-2</v>
      </c>
      <c r="M446" s="70">
        <f>0.0412678839174362-(+L446/52)</f>
        <v>4.0419080224988177E-2</v>
      </c>
      <c r="N446" s="70">
        <f>0.0399642502808321-(+M446/52)</f>
        <v>3.9186960276505402E-2</v>
      </c>
    </row>
    <row r="447" spans="1:14">
      <c r="A447" s="68">
        <v>0.02</v>
      </c>
      <c r="B447" s="69">
        <f t="shared" si="12"/>
        <v>2.0000000000000001E-4</v>
      </c>
      <c r="C447" s="70">
        <f t="shared" si="13"/>
        <v>3.8461538461538459E-6</v>
      </c>
      <c r="F447" s="71">
        <v>40732</v>
      </c>
      <c r="G447" s="69">
        <v>4.8672400307448703E-3</v>
      </c>
      <c r="H447" s="70">
        <f>-0.00798113351748528-(+G447/52)</f>
        <v>-8.0747342873072961E-3</v>
      </c>
      <c r="I447" s="70">
        <f>0.00171667705458113-(+H447/52)</f>
        <v>1.8719604062601165E-3</v>
      </c>
      <c r="J447" s="70">
        <f>0.0031885231361239-(+I447/52)</f>
        <v>3.1525238975419747E-3</v>
      </c>
      <c r="K447" s="70">
        <f>0-(+J447/52)</f>
        <v>-6.0625459568114897E-5</v>
      </c>
      <c r="L447" s="70">
        <f>-0.00945658702713417-(+K447/52)</f>
        <v>-9.4554211529117062E-3</v>
      </c>
      <c r="M447" s="70">
        <f>-0.0424808454899427-(+L447/52)</f>
        <v>-4.229901046777132E-2</v>
      </c>
      <c r="N447" s="70">
        <f>-0.0064730787728746-(+M447/52)</f>
        <v>-5.6596362638789977E-3</v>
      </c>
    </row>
    <row r="448" spans="1:14">
      <c r="A448" s="68">
        <v>0.02</v>
      </c>
      <c r="B448" s="69">
        <f t="shared" si="12"/>
        <v>2.0000000000000001E-4</v>
      </c>
      <c r="C448" s="70">
        <f t="shared" si="13"/>
        <v>3.8461538461538459E-6</v>
      </c>
      <c r="F448" s="71">
        <v>40739</v>
      </c>
      <c r="G448" s="69">
        <v>2.1213357643966222E-3</v>
      </c>
      <c r="H448" s="70">
        <f>-0.015727492846137-(+G448/52)</f>
        <v>-1.576828776468309E-2</v>
      </c>
      <c r="I448" s="70">
        <f>-0.00498832029069506-(+H448/52)</f>
        <v>-4.685083987528078E-3</v>
      </c>
      <c r="J448" s="70">
        <f>-0.0186214588849796-(+I448/52)</f>
        <v>-1.8531361115988677E-2</v>
      </c>
      <c r="K448" s="70">
        <f>-0.0504483984603014-(+J448/52)</f>
        <v>-5.0092026131147771E-2</v>
      </c>
      <c r="L448" s="70">
        <f>-0.0135604820163739-(+K448/52)</f>
        <v>-1.2597173821544135E-2</v>
      </c>
      <c r="M448" s="70">
        <f>-0.0356423398015497-(+L448/52)</f>
        <v>-3.5400086458827695E-2</v>
      </c>
      <c r="N448" s="70">
        <f>-0.00911024346887582-(+M448/52)</f>
        <v>-8.429472575436827E-3</v>
      </c>
    </row>
    <row r="449" spans="1:14">
      <c r="A449" s="68">
        <v>0.02</v>
      </c>
      <c r="B449" s="69">
        <f t="shared" si="12"/>
        <v>2.0000000000000001E-4</v>
      </c>
      <c r="C449" s="70">
        <f t="shared" si="13"/>
        <v>3.8461538461538459E-6</v>
      </c>
      <c r="F449" s="71">
        <v>40746</v>
      </c>
      <c r="G449" s="69">
        <v>4.9448294932014384E-3</v>
      </c>
      <c r="H449" s="70">
        <f>0.0219051559302703-(+G449/52)</f>
        <v>2.1810063055401042E-2</v>
      </c>
      <c r="I449" s="70">
        <f>0.017870032231092-(+H449/52)</f>
        <v>1.7450607941565058E-2</v>
      </c>
      <c r="J449" s="70">
        <f>0.0167941047379244-(+I449/52)</f>
        <v>1.6458516123663534E-2</v>
      </c>
      <c r="K449" s="70">
        <f>0.0122902194098632-(+J449/52)</f>
        <v>1.1973709484408132E-2</v>
      </c>
      <c r="L449" s="70">
        <f>0.0103622072620497-(+K449/52)</f>
        <v>1.0131943618118774E-2</v>
      </c>
      <c r="M449" s="70">
        <f>0.0507758227024086-(+L449/52)</f>
        <v>5.0580977632829392E-2</v>
      </c>
      <c r="N449" s="70">
        <f>0.0168663505894413-(+M449/52)</f>
        <v>1.5893639481117657E-2</v>
      </c>
    </row>
    <row r="450" spans="1:14">
      <c r="A450" s="68">
        <v>0.03</v>
      </c>
      <c r="B450" s="69">
        <f t="shared" si="12"/>
        <v>2.9999999999999997E-4</v>
      </c>
      <c r="C450" s="70">
        <f t="shared" si="13"/>
        <v>5.7692307692307689E-6</v>
      </c>
      <c r="F450" s="71">
        <v>40753</v>
      </c>
      <c r="G450" s="69">
        <v>4.6322796040164814E-3</v>
      </c>
      <c r="H450" s="70">
        <f>-0.0218514060619324-(+G450/52)</f>
        <v>-2.1940488362009642E-2</v>
      </c>
      <c r="I450" s="70">
        <f>-0.00535360095487178-(+H450/52)</f>
        <v>-4.9316684863715942E-3</v>
      </c>
      <c r="J450" s="70">
        <f>-0.0128407851690295-(+I450/52)</f>
        <v>-1.2745945390445431E-2</v>
      </c>
      <c r="K450" s="70">
        <f>-0.0284139407090957-(+J450/52)</f>
        <v>-2.8168826374664058E-2</v>
      </c>
      <c r="L450" s="70">
        <f>-0.00855177954100082-(+K450/52)</f>
        <v>-8.0100713414880485E-3</v>
      </c>
      <c r="M450" s="70">
        <f>-0.035141332790872-(+L450/52)</f>
        <v>-3.4987292957381844E-2</v>
      </c>
      <c r="N450" s="70">
        <f>-0.0186146333779633-(+M450/52)</f>
        <v>-1.7941800821090575E-2</v>
      </c>
    </row>
    <row r="451" spans="1:14">
      <c r="A451" s="68">
        <v>7.0000000000000007E-2</v>
      </c>
      <c r="B451" s="69">
        <f t="shared" si="12"/>
        <v>7.000000000000001E-4</v>
      </c>
      <c r="C451" s="70">
        <f t="shared" si="13"/>
        <v>1.3461538461538463E-5</v>
      </c>
      <c r="F451" s="71">
        <v>40760</v>
      </c>
      <c r="G451" s="69">
        <v>-3.454658829628273E-3</v>
      </c>
      <c r="H451" s="70">
        <f>-0.0297674314543643-(+G451/52)</f>
        <v>-2.970099570764068E-2</v>
      </c>
      <c r="I451" s="70">
        <f>-0.082289203402393-(+H451/52)</f>
        <v>-8.1718030408015299E-2</v>
      </c>
      <c r="J451" s="70">
        <f>-0.0222320417575742-(+I451/52)</f>
        <v>-2.0660541172804674E-2</v>
      </c>
      <c r="K451" s="70">
        <f>-0.0666544284765202-(+J451/52)</f>
        <v>-6.6257110377043182E-2</v>
      </c>
      <c r="L451" s="70">
        <f>-0.056547131422239-(+K451/52)</f>
        <v>-5.5272956222680476E-2</v>
      </c>
      <c r="M451" s="70">
        <f>-0.124941901416887-(+L451/52)</f>
        <v>-0.12387895995106622</v>
      </c>
      <c r="N451" s="70">
        <f>-0.0715412117345403-(+M451/52)</f>
        <v>-6.9158924043173642E-2</v>
      </c>
    </row>
    <row r="452" spans="1:14">
      <c r="A452" s="68">
        <v>0.04</v>
      </c>
      <c r="B452" s="69">
        <f t="shared" si="12"/>
        <v>4.0000000000000002E-4</v>
      </c>
      <c r="C452" s="70">
        <f t="shared" si="13"/>
        <v>7.6923076923076919E-6</v>
      </c>
      <c r="F452" s="71">
        <v>40767</v>
      </c>
      <c r="G452" s="69">
        <v>8.8278053337750694E-3</v>
      </c>
      <c r="H452" s="70">
        <f>0.00436978277913569-(+G452/52)</f>
        <v>4.2000172919477077E-3</v>
      </c>
      <c r="I452" s="70">
        <f>-0.0110032113531912-(+H452/52)</f>
        <v>-1.1083980916497888E-2</v>
      </c>
      <c r="J452" s="70">
        <f>0.0059268255940949-(+I452/52)</f>
        <v>6.1399790732583207E-3</v>
      </c>
      <c r="K452" s="70">
        <f>-0.0473021700649053-(+J452/52)</f>
        <v>-4.7420246585544883E-2</v>
      </c>
      <c r="L452" s="70">
        <f>0.00329168860467916-(+K452/52)</f>
        <v>4.2036164236319467E-3</v>
      </c>
      <c r="M452" s="70">
        <f>0.00125395625937727-(+L452/52)</f>
        <v>1.1731174819997324E-3</v>
      </c>
      <c r="N452" s="70">
        <f>0.0194957300418351-(+M452/52)</f>
        <v>1.9473170090258184E-2</v>
      </c>
    </row>
    <row r="453" spans="1:14">
      <c r="A453" s="68">
        <v>0.03</v>
      </c>
      <c r="B453" s="69">
        <f t="shared" ref="B453:B516" si="14">+A453/100</f>
        <v>2.9999999999999997E-4</v>
      </c>
      <c r="C453" s="70">
        <f t="shared" ref="C453:C516" si="15">+B453/52</f>
        <v>5.7692307692307689E-6</v>
      </c>
      <c r="F453" s="71">
        <v>40774</v>
      </c>
      <c r="G453" s="69">
        <v>3.5427106869007634E-3</v>
      </c>
      <c r="H453" s="70">
        <f>-0.00668113097083038-(+G453/52)</f>
        <v>-6.7492600225015483E-3</v>
      </c>
      <c r="I453" s="70">
        <f>-0.031646406433499-(+H453/52)</f>
        <v>-3.1516612971527816E-2</v>
      </c>
      <c r="J453" s="70">
        <f>-0.0252102413388056-(+I453/52)</f>
        <v>-2.4604152627814679E-2</v>
      </c>
      <c r="K453" s="70">
        <f>-0.0462001268180947-(+J453/52)</f>
        <v>-4.5726970036790569E-2</v>
      </c>
      <c r="L453" s="70">
        <f>-0.0220504060985195-(+K453/52)</f>
        <v>-2.117104129011968E-2</v>
      </c>
      <c r="M453" s="70">
        <f>-0.0229804594998113-(+L453/52)</f>
        <v>-2.2573324090385923E-2</v>
      </c>
      <c r="N453" s="70">
        <f>-0.0189363911909958-(+M453/52)</f>
        <v>-1.8502288804642223E-2</v>
      </c>
    </row>
    <row r="454" spans="1:14">
      <c r="A454" s="68">
        <v>0.02</v>
      </c>
      <c r="B454" s="69">
        <f t="shared" si="14"/>
        <v>2.0000000000000001E-4</v>
      </c>
      <c r="C454" s="70">
        <f t="shared" si="15"/>
        <v>3.8461538461538459E-6</v>
      </c>
      <c r="F454" s="71">
        <v>40781</v>
      </c>
      <c r="G454" s="69">
        <v>-5.3504459189114249E-3</v>
      </c>
      <c r="H454" s="70">
        <f>0.0183926775994176-(+G454/52)</f>
        <v>1.8495570790165894E-2</v>
      </c>
      <c r="I454" s="70">
        <f>0.0300061040254443-(+H454/52)</f>
        <v>2.9650419971787266E-2</v>
      </c>
      <c r="J454" s="70">
        <f>0.0156460037638746-(+I454/52)</f>
        <v>1.5075803379801769E-2</v>
      </c>
      <c r="K454" s="70">
        <f>0.0155894084785768-(+J454/52)</f>
        <v>1.5299489182811382E-2</v>
      </c>
      <c r="L454" s="70">
        <f>0.048360742125118-(+K454/52)</f>
        <v>4.8066521179294705E-2</v>
      </c>
      <c r="M454" s="70">
        <f>0.0112063319693925-(+L454/52)</f>
        <v>1.0281975792867602E-2</v>
      </c>
      <c r="N454" s="70">
        <f>0.0334142800352593-(+M454/52)</f>
        <v>3.3216549731550304E-2</v>
      </c>
    </row>
    <row r="455" spans="1:14">
      <c r="A455" s="68">
        <v>0.01</v>
      </c>
      <c r="B455" s="69">
        <f t="shared" si="14"/>
        <v>1E-4</v>
      </c>
      <c r="C455" s="70">
        <f t="shared" si="15"/>
        <v>1.923076923076923E-6</v>
      </c>
      <c r="F455" s="71">
        <v>40788</v>
      </c>
      <c r="G455" s="69">
        <v>6.3850854471989155E-3</v>
      </c>
      <c r="H455" s="70">
        <f>0.0165228295345577-(+G455/52)</f>
        <v>1.6400039429803875E-2</v>
      </c>
      <c r="I455" s="70">
        <f>0.0402435981410436-(+H455/52)</f>
        <v>3.9928212767393521E-2</v>
      </c>
      <c r="J455" s="70">
        <f>0.0107158894850037-(+I455/52)</f>
        <v>9.9480392394769006E-3</v>
      </c>
      <c r="K455" s="70">
        <f>0.0123257572297746-(+J455/52)</f>
        <v>1.2134448782861582E-2</v>
      </c>
      <c r="L455" s="70">
        <f>0.028586842577827-(+K455/52)</f>
        <v>2.8353487793541198E-2</v>
      </c>
      <c r="M455" s="70">
        <f>0.0274396488256361-(+L455/52)</f>
        <v>2.689438944499108E-2</v>
      </c>
      <c r="N455" s="70">
        <f>0.0171976200132963-(+M455/52)</f>
        <v>1.6680420216277241E-2</v>
      </c>
    </row>
    <row r="456" spans="1:14">
      <c r="A456" s="68">
        <v>0.02</v>
      </c>
      <c r="B456" s="69">
        <f t="shared" si="14"/>
        <v>2.0000000000000001E-4</v>
      </c>
      <c r="C456" s="70">
        <f t="shared" si="15"/>
        <v>3.8461538461538459E-6</v>
      </c>
      <c r="F456" s="71">
        <v>40795</v>
      </c>
      <c r="G456" s="69">
        <v>-4.7949196793509209E-3</v>
      </c>
      <c r="H456" s="70">
        <f>-0.0225561391659643-(+G456/52)</f>
        <v>-2.246392917213063E-2</v>
      </c>
      <c r="I456" s="70">
        <f>-0.0318991042314756-(+H456/52)</f>
        <v>-3.146710559355001E-2</v>
      </c>
      <c r="J456" s="70">
        <f>-0.0165698571709178-(+I456/52)</f>
        <v>-1.5964720524887992E-2</v>
      </c>
      <c r="K456" s="70">
        <f>-0.028296306692866-(+J456/52)</f>
        <v>-2.7989292836618156E-2</v>
      </c>
      <c r="L456" s="70">
        <f>-0.0242215926937559-(+K456/52)</f>
        <v>-2.3683337062282473E-2</v>
      </c>
      <c r="M456" s="70">
        <f>-0.036302314555407-(+L456/52)</f>
        <v>-3.5846865765747721E-2</v>
      </c>
      <c r="N456" s="70">
        <f>-0.0190443697230283-(+M456/52)</f>
        <v>-1.8355006919840842E-2</v>
      </c>
    </row>
    <row r="457" spans="1:14">
      <c r="A457" s="68">
        <v>0.02</v>
      </c>
      <c r="B457" s="69">
        <f t="shared" si="14"/>
        <v>2.0000000000000001E-4</v>
      </c>
      <c r="C457" s="70">
        <f t="shared" si="15"/>
        <v>3.8461538461538459E-6</v>
      </c>
      <c r="F457" s="71">
        <v>40802</v>
      </c>
      <c r="G457" s="69">
        <v>-3.8862777666882832E-4</v>
      </c>
      <c r="H457" s="70">
        <f>0.0212321257252502-(+G457/52)</f>
        <v>2.1239599336339985E-2</v>
      </c>
      <c r="I457" s="70">
        <f>-0.00756100488193905-(+H457/52)</f>
        <v>-7.9694587153302035E-3</v>
      </c>
      <c r="J457" s="70">
        <f>0.0195835057233484-(+I457/52)</f>
        <v>1.9736764544797059E-2</v>
      </c>
      <c r="K457" s="70">
        <f>-0.0183130342376361-(+J457/52)</f>
        <v>-1.8692587401959122E-2</v>
      </c>
      <c r="L457" s="70">
        <f>0.0317700257212502-(+K457/52)</f>
        <v>3.212949855590326E-2</v>
      </c>
      <c r="M457" s="70">
        <f>0.0059819980991782-(+L457/52)</f>
        <v>5.3641231269492915E-3</v>
      </c>
      <c r="N457" s="70">
        <f>0.0193093391328397-(+M457/52)</f>
        <v>1.9206182918859904E-2</v>
      </c>
    </row>
    <row r="458" spans="1:14">
      <c r="A458" s="68">
        <v>0.01</v>
      </c>
      <c r="B458" s="69">
        <f t="shared" si="14"/>
        <v>1E-4</v>
      </c>
      <c r="C458" s="70">
        <f t="shared" si="15"/>
        <v>1.923076923076923E-6</v>
      </c>
      <c r="F458" s="71">
        <v>40809</v>
      </c>
      <c r="G458" s="69">
        <v>-8.6687315272306054E-4</v>
      </c>
      <c r="H458" s="70">
        <f>-0.0252921769278085-(+G458/52)</f>
        <v>-2.5275506290256135E-2</v>
      </c>
      <c r="I458" s="70">
        <f>-0.0796657642405188-(+H458/52)</f>
        <v>-7.9179696811860031E-2</v>
      </c>
      <c r="J458" s="70">
        <f>-0.0380322485855679-(+I458/52)</f>
        <v>-3.6509562108416743E-2</v>
      </c>
      <c r="K458" s="70">
        <f>-0.0610348868371685-(+J458/52)</f>
        <v>-6.03327798735451E-2</v>
      </c>
      <c r="L458" s="70">
        <f>-0.0499081456537963-(+K458/52)</f>
        <v>-4.8747899886997362E-2</v>
      </c>
      <c r="M458" s="70">
        <f>-0.0756918972990997-(+L458/52)</f>
        <v>-7.4754437685888214E-2</v>
      </c>
      <c r="N458" s="70">
        <f>-0.0457350287154315-(+M458/52)</f>
        <v>-4.4297443375318268E-2</v>
      </c>
    </row>
    <row r="459" spans="1:14">
      <c r="A459" s="68">
        <v>0.01</v>
      </c>
      <c r="B459" s="69">
        <f t="shared" si="14"/>
        <v>1E-4</v>
      </c>
      <c r="C459" s="70">
        <f t="shared" si="15"/>
        <v>1.923076923076923E-6</v>
      </c>
      <c r="F459" s="71">
        <v>40816</v>
      </c>
      <c r="G459" s="69">
        <v>-4.6928037882848555E-3</v>
      </c>
      <c r="H459" s="70">
        <f>0.021290022775907-(+G459/52)</f>
        <v>2.1380269002604785E-2</v>
      </c>
      <c r="I459" s="70">
        <f>0.0193452128651601-(+H459/52)</f>
        <v>1.8934053845879237E-2</v>
      </c>
      <c r="J459" s="70">
        <f>0.0301634479715675-(+I459/52)</f>
        <v>2.9799331551454436E-2</v>
      </c>
      <c r="K459" s="70">
        <f>0.0530091893041425-(+J459/52)</f>
        <v>5.2436125235845302E-2</v>
      </c>
      <c r="L459" s="70">
        <f>0.0164858135892524-(+K459/52)</f>
        <v>1.5477426565486143E-2</v>
      </c>
      <c r="M459" s="70">
        <f>0.067099567099567-(+L459/52)</f>
        <v>6.6801924280999972E-2</v>
      </c>
      <c r="N459" s="70">
        <f>0.014746428632972-(+M459/52)</f>
        <v>1.3461776242952771E-2</v>
      </c>
    </row>
    <row r="460" spans="1:14">
      <c r="A460" s="68">
        <v>0.02</v>
      </c>
      <c r="B460" s="69">
        <f t="shared" si="14"/>
        <v>2.0000000000000001E-4</v>
      </c>
      <c r="C460" s="70">
        <f t="shared" si="15"/>
        <v>3.8461538461538459E-6</v>
      </c>
      <c r="F460" s="71">
        <v>40823</v>
      </c>
      <c r="G460" s="69">
        <v>-2.3095292588040817E-3</v>
      </c>
      <c r="H460" s="70">
        <f>-0.00418497005920752-(+G460/52)</f>
        <v>-4.1405560349997489E-3</v>
      </c>
      <c r="I460" s="70">
        <f>0.0228660057882305-(+H460/52)</f>
        <v>2.2945631865826648E-2</v>
      </c>
      <c r="J460" s="70">
        <f>0.0077660215377664-(+I460/52)</f>
        <v>7.3247593865005027E-3</v>
      </c>
      <c r="K460" s="70">
        <f>0.0047991581543171-(+J460/52)</f>
        <v>4.6582973968843982E-3</v>
      </c>
      <c r="L460" s="70">
        <f>0.00431473717165637-(+K460/52)</f>
        <v>4.2251545294085925E-3</v>
      </c>
      <c r="M460" s="70">
        <f>0.00857561415370748-(+L460/52)</f>
        <v>8.4943611819880832E-3</v>
      </c>
      <c r="N460" s="70">
        <f>0.00237319940394068-(+M460/52)</f>
        <v>2.2098463042870627E-3</v>
      </c>
    </row>
    <row r="461" spans="1:14">
      <c r="A461" s="68">
        <v>0.01</v>
      </c>
      <c r="B461" s="69">
        <f t="shared" si="14"/>
        <v>1E-4</v>
      </c>
      <c r="C461" s="70">
        <f t="shared" si="15"/>
        <v>1.923076923076923E-6</v>
      </c>
      <c r="F461" s="71">
        <v>40830</v>
      </c>
      <c r="G461" s="69">
        <v>3.1234877071553858E-3</v>
      </c>
      <c r="H461" s="70">
        <f>0.0169004868197639-(+G461/52)</f>
        <v>1.684041974847245E-2</v>
      </c>
      <c r="I461" s="70">
        <f>0.0469211787614793-(+H461/52)</f>
        <v>4.6597324535547137E-2</v>
      </c>
      <c r="J461" s="70">
        <f>0.00450694489851205-(+I461/52)</f>
        <v>3.6108425035976822E-3</v>
      </c>
      <c r="K461" s="70">
        <f>0.0395903967502553-(+J461/52)</f>
        <v>3.9520957471339963E-2</v>
      </c>
      <c r="L461" s="70">
        <f>0.0408127558103376-(+K461/52)</f>
        <v>4.0052737397427221E-2</v>
      </c>
      <c r="M461" s="70">
        <f>0.0608373090803455-(+L461/52)</f>
        <v>6.0067064130394976E-2</v>
      </c>
      <c r="N461" s="70">
        <f>0.0365386733077516-(+M461/52)</f>
        <v>3.5383537459090161E-2</v>
      </c>
    </row>
    <row r="462" spans="1:14">
      <c r="A462" s="68">
        <v>0.02</v>
      </c>
      <c r="B462" s="69">
        <f t="shared" si="14"/>
        <v>2.0000000000000001E-4</v>
      </c>
      <c r="C462" s="70">
        <f t="shared" si="15"/>
        <v>3.8461538461538459E-6</v>
      </c>
      <c r="F462" s="71">
        <v>40837</v>
      </c>
      <c r="G462" s="69">
        <v>5.6319096668534727E-3</v>
      </c>
      <c r="H462" s="70">
        <f>0.0169358014966522-(+G462/52)</f>
        <v>1.6827495541520403E-2</v>
      </c>
      <c r="I462" s="70">
        <f>-0.00628667062738567-(+H462/52)</f>
        <v>-6.610276310876447E-3</v>
      </c>
      <c r="J462" s="70">
        <f>0.0197741295059026-(+I462/52)</f>
        <v>1.9901250204188686E-2</v>
      </c>
      <c r="K462" s="70">
        <f>-0.0153958869679363-(+J462/52)</f>
        <v>-1.5778603318016851E-2</v>
      </c>
      <c r="L462" s="70">
        <f>0.0117438234447765-(+K462/52)</f>
        <v>1.2047258123969132E-2</v>
      </c>
      <c r="M462" s="70">
        <f>-0.00153771617551033-(+L462/52)</f>
        <v>-1.7693942163558901E-3</v>
      </c>
      <c r="N462" s="70">
        <f>0.0353568991513201-(+M462/52)</f>
        <v>3.53909259631731E-2</v>
      </c>
    </row>
    <row r="463" spans="1:14">
      <c r="A463" s="68">
        <v>0.03</v>
      </c>
      <c r="B463" s="69">
        <f t="shared" si="14"/>
        <v>2.9999999999999997E-4</v>
      </c>
      <c r="C463" s="70">
        <f t="shared" si="15"/>
        <v>5.7692307692307689E-6</v>
      </c>
      <c r="F463" s="71">
        <v>40844</v>
      </c>
      <c r="G463" s="69">
        <v>7.5684260455490095E-3</v>
      </c>
      <c r="H463" s="70">
        <f>0.000496394322558166-(+G463/52)</f>
        <v>3.5084766783606965E-4</v>
      </c>
      <c r="I463" s="70">
        <f>0.0393380485326873-(+H463/52)</f>
        <v>3.9331301462151989E-2</v>
      </c>
      <c r="J463" s="70">
        <f>0.00938759506136801-(+I463/52)</f>
        <v>8.6312238794035486E-3</v>
      </c>
      <c r="K463" s="70">
        <f>0.0884921455146754-(+J463/52)</f>
        <v>8.832616044007148E-2</v>
      </c>
      <c r="L463" s="70">
        <f>0.000988938114095816-(+K463/52)</f>
        <v>-7.0964189436709688E-4</v>
      </c>
      <c r="M463" s="70">
        <f>0.049831223628692-(+L463/52)</f>
        <v>4.9844870588199058E-2</v>
      </c>
      <c r="N463" s="70">
        <f>0.0167491495189158-(+M463/52)</f>
        <v>1.5790594315296589E-2</v>
      </c>
    </row>
    <row r="464" spans="1:14">
      <c r="A464" s="68">
        <v>0.02</v>
      </c>
      <c r="B464" s="69">
        <f t="shared" si="14"/>
        <v>2.0000000000000001E-4</v>
      </c>
      <c r="C464" s="70">
        <f t="shared" si="15"/>
        <v>3.8461538461538459E-6</v>
      </c>
      <c r="F464" s="71">
        <v>40851</v>
      </c>
      <c r="G464" s="69">
        <v>-2.5213915772335348E-3</v>
      </c>
      <c r="H464" s="70">
        <f>-0.0114386657434315-(+G464/52)</f>
        <v>-1.1390177443869316E-2</v>
      </c>
      <c r="I464" s="70">
        <f>-0.0386574779022247-(+H464/52)</f>
        <v>-3.8438436028304136E-2</v>
      </c>
      <c r="J464" s="70">
        <f>0.00371740495322756-(+I464/52)</f>
        <v>4.4566056460795629E-3</v>
      </c>
      <c r="K464" s="70">
        <f>-0.0438605236298036-(+J464/52)</f>
        <v>-4.3946227584535896E-2</v>
      </c>
      <c r="L464" s="70">
        <f>0.00632208111138731-(+K464/52)</f>
        <v>7.1672008726283848E-3</v>
      </c>
      <c r="M464" s="70">
        <f>-0.073519954985732-(+L464/52)</f>
        <v>-7.3657785771744075E-2</v>
      </c>
      <c r="N464" s="70">
        <f>-0.0171408609245819-(+M464/52)</f>
        <v>-1.5724365044356054E-2</v>
      </c>
    </row>
    <row r="465" spans="1:14">
      <c r="A465" s="68">
        <v>0.01</v>
      </c>
      <c r="B465" s="69">
        <f t="shared" si="14"/>
        <v>1E-4</v>
      </c>
      <c r="C465" s="70">
        <f t="shared" si="15"/>
        <v>1.923076923076923E-6</v>
      </c>
      <c r="F465" s="71">
        <v>40858</v>
      </c>
      <c r="G465" s="69">
        <v>-1.147282971390396E-3</v>
      </c>
      <c r="H465" s="70">
        <f>0.0106113669580564-(+G465/52)</f>
        <v>1.06334300921216E-2</v>
      </c>
      <c r="I465" s="70">
        <f>-0.00419640587418605-(+H465/52)</f>
        <v>-4.4008949144191583E-3</v>
      </c>
      <c r="J465" s="70">
        <f>0.0231218555086539-(+I465/52)</f>
        <v>2.3206488103161962E-2</v>
      </c>
      <c r="K465" s="70">
        <f>-0.0190113502080375-(+J465/52)</f>
        <v>-1.9457628825405998E-2</v>
      </c>
      <c r="L465" s="70">
        <f>-0.0043483866599535-(+K465/52)</f>
        <v>-3.9742014902341537E-3</v>
      </c>
      <c r="M465" s="70">
        <f>-0.00795492750008138-(+L465/52)</f>
        <v>-7.8785005483461082E-3</v>
      </c>
      <c r="N465" s="70">
        <f>-0.0013032454761584-(+M465/52)</f>
        <v>-1.1517358502286671E-3</v>
      </c>
    </row>
    <row r="466" spans="1:14">
      <c r="A466" s="68">
        <v>0.01</v>
      </c>
      <c r="B466" s="69">
        <f t="shared" si="14"/>
        <v>1E-4</v>
      </c>
      <c r="C466" s="70">
        <f t="shared" si="15"/>
        <v>1.923076923076923E-6</v>
      </c>
      <c r="F466" s="71">
        <v>40865</v>
      </c>
      <c r="G466" s="69">
        <v>-5.3041647563840024E-3</v>
      </c>
      <c r="H466" s="70">
        <f>-0.0154879692641851-(+G466/52)</f>
        <v>-1.53859660957931E-2</v>
      </c>
      <c r="I466" s="70">
        <f>-0.0355585927374696-(+H466/52)</f>
        <v>-3.5262708774088963E-2</v>
      </c>
      <c r="J466" s="70">
        <f>-0.0297160350469756-(+I466/52)</f>
        <v>-2.9037906032089271E-2</v>
      </c>
      <c r="K466" s="70">
        <f>-0.0301047186666464-(+J466/52)</f>
        <v>-2.9546297396798531E-2</v>
      </c>
      <c r="L466" s="70">
        <f>-0.0366875642952947-(+K466/52)</f>
        <v>-3.6119366268433185E-2</v>
      </c>
      <c r="M466" s="70">
        <f>-0.0252422832842299-(+L466/52)</f>
        <v>-2.4547680086760032E-2</v>
      </c>
      <c r="N466" s="70">
        <f>-0.00228167855617595-(+M466/52)</f>
        <v>-1.8096077852767186E-3</v>
      </c>
    </row>
    <row r="467" spans="1:14">
      <c r="A467" s="68">
        <v>0.01</v>
      </c>
      <c r="B467" s="69">
        <f t="shared" si="14"/>
        <v>1E-4</v>
      </c>
      <c r="C467" s="70">
        <f t="shared" si="15"/>
        <v>1.923076923076923E-6</v>
      </c>
      <c r="F467" s="71">
        <v>40872</v>
      </c>
      <c r="G467" s="69">
        <v>-1.0292553582391162E-2</v>
      </c>
      <c r="H467" s="70">
        <f>-0.0402658521848549-(+G467/52)</f>
        <v>-4.006791846211661E-2</v>
      </c>
      <c r="I467" s="70">
        <f>-0.0582201264008339-(+H467/52)</f>
        <v>-5.7449589507331658E-2</v>
      </c>
      <c r="J467" s="70">
        <f>-0.048096973653194-(+I467/52)</f>
        <v>-4.6992173854976081E-2</v>
      </c>
      <c r="K467" s="70">
        <f>-0.0606849693939852-(+J467/52)</f>
        <v>-5.9781273742927965E-2</v>
      </c>
      <c r="L467" s="70">
        <f>-0.0206318654291402-(+K467/52)</f>
        <v>-1.9482225549468508E-2</v>
      </c>
      <c r="M467" s="70">
        <f>-0.0746765809262655-(+L467/52)</f>
        <v>-7.4301922742621873E-2</v>
      </c>
      <c r="N467" s="70">
        <f>-0.0356589393080653-(+M467/52)</f>
        <v>-3.4230056178399498E-2</v>
      </c>
    </row>
    <row r="468" spans="1:14">
      <c r="A468" s="68">
        <v>0.02</v>
      </c>
      <c r="B468" s="69">
        <f t="shared" si="14"/>
        <v>2.0000000000000001E-4</v>
      </c>
      <c r="C468" s="70">
        <f t="shared" si="15"/>
        <v>3.8461538461538459E-6</v>
      </c>
      <c r="F468" s="71">
        <v>40879</v>
      </c>
      <c r="G468" s="69">
        <v>9.8571442388141941E-3</v>
      </c>
      <c r="H468" s="70">
        <f>0.0184247156875769-(+G468/52)</f>
        <v>1.8235155221445858E-2</v>
      </c>
      <c r="I468" s="70">
        <f>0.0844117939560082-(+H468/52)</f>
        <v>8.4061117894057319E-2</v>
      </c>
      <c r="J468" s="70">
        <f>0.0337165334831845-(+I468/52)</f>
        <v>3.2099973523683399E-2</v>
      </c>
      <c r="K468" s="70">
        <f>0.0756277777777778-(+J468/52)</f>
        <v>7.5010470594630035E-2</v>
      </c>
      <c r="L468" s="70">
        <f>0.0688485922945033-(+K468/52)</f>
        <v>6.7406083244606563E-2</v>
      </c>
      <c r="M468" s="70">
        <f>0.113858386056772-(+L468/52)</f>
        <v>0.11256211522514495</v>
      </c>
      <c r="N468" s="70">
        <f>0.0549217048210103-(+M468/52)</f>
        <v>5.2757048758988283E-2</v>
      </c>
    </row>
    <row r="469" spans="1:14">
      <c r="A469" s="68">
        <v>0.02</v>
      </c>
      <c r="B469" s="69">
        <f t="shared" si="14"/>
        <v>2.0000000000000001E-4</v>
      </c>
      <c r="C469" s="70">
        <f t="shared" si="15"/>
        <v>3.8461538461538459E-6</v>
      </c>
      <c r="F469" s="71">
        <v>40886</v>
      </c>
      <c r="G469" s="69">
        <v>1.918577005699928E-3</v>
      </c>
      <c r="H469" s="70">
        <f>-0.00313054722192289-(+G469/52)</f>
        <v>-3.1674429335709652E-3</v>
      </c>
      <c r="I469" s="70">
        <f>-0.0117108531737329-(+H469/52)</f>
        <v>-1.1649940809625767E-2</v>
      </c>
      <c r="J469" s="70">
        <f>-0.0129315507725759-(+I469/52)</f>
        <v>-1.2707513449313868E-2</v>
      </c>
      <c r="K469" s="70">
        <f>-0.0015236580188314-(+J469/52)</f>
        <v>-1.2792827601907487E-3</v>
      </c>
      <c r="L469" s="70">
        <f>-0.00341130674211964-(+K469/52)</f>
        <v>-3.3867051505775099E-3</v>
      </c>
      <c r="M469" s="70">
        <f>-0.0105495103373232-(+L469/52)</f>
        <v>-1.0484381392119787E-2</v>
      </c>
      <c r="N469" s="70">
        <f>-0.00173372345357705-(+M469/52)</f>
        <v>-1.5321007344978232E-3</v>
      </c>
    </row>
    <row r="470" spans="1:14">
      <c r="A470" s="68">
        <v>0.01</v>
      </c>
      <c r="B470" s="69">
        <f t="shared" si="14"/>
        <v>1E-4</v>
      </c>
      <c r="C470" s="70">
        <f t="shared" si="15"/>
        <v>1.923076923076923E-6</v>
      </c>
      <c r="F470" s="71">
        <v>40893</v>
      </c>
      <c r="G470" s="69">
        <v>1.6562608657220371E-3</v>
      </c>
      <c r="H470" s="70">
        <f>-0.00260560375480013-(+G470/52)</f>
        <v>-2.6374549252947848E-3</v>
      </c>
      <c r="I470" s="70">
        <f>-0.0248208637273255-(+H470/52)</f>
        <v>-2.4770143440300599E-2</v>
      </c>
      <c r="J470" s="70">
        <f>-0.00792965523035216-(+I470/52)</f>
        <v>-7.4533063180386872E-3</v>
      </c>
      <c r="K470" s="70">
        <f>-0.0279125585822324-(+J470/52)</f>
        <v>-2.7769225768423965E-2</v>
      </c>
      <c r="L470" s="70">
        <f>-0.00627654971892652-(+K470/52)</f>
        <v>-5.7425261464568288E-3</v>
      </c>
      <c r="M470" s="70">
        <f>-0.0280763880106235-(+L470/52)</f>
        <v>-2.7965954815499329E-2</v>
      </c>
      <c r="N470" s="70">
        <f>-0.00470284278064856-(+M470/52)</f>
        <v>-4.165035957273573E-3</v>
      </c>
    </row>
    <row r="471" spans="1:14">
      <c r="A471" s="68">
        <v>0.01</v>
      </c>
      <c r="B471" s="69">
        <f t="shared" si="14"/>
        <v>1E-4</v>
      </c>
      <c r="C471" s="70">
        <f t="shared" si="15"/>
        <v>1.923076923076923E-6</v>
      </c>
      <c r="F471" s="71">
        <v>40900</v>
      </c>
      <c r="G471" s="69">
        <v>-2.752992847553936E-3</v>
      </c>
      <c r="H471" s="70">
        <f>0.0280691547311442-(+G471/52)</f>
        <v>2.8122096901289469E-2</v>
      </c>
      <c r="I471" s="70">
        <f>0.00307814516929801-(+H471/52)</f>
        <v>2.5373356135039819E-3</v>
      </c>
      <c r="J471" s="70">
        <f>0.0222666541211893-(+I471/52)</f>
        <v>2.221785920554499E-2</v>
      </c>
      <c r="K471" s="70">
        <f>0.0183693234427049-(+J471/52)</f>
        <v>1.7942056919521342E-2</v>
      </c>
      <c r="L471" s="70">
        <f>0.0289361208907433-(+K471/52)</f>
        <v>2.8591081334598659E-2</v>
      </c>
      <c r="M471" s="70">
        <f>0.0212893553223389-(+L471/52)</f>
        <v>2.073952683513508E-2</v>
      </c>
      <c r="N471" s="70">
        <f>0.034557667347651-(+M471/52)</f>
        <v>3.4158830293129168E-2</v>
      </c>
    </row>
    <row r="472" spans="1:14">
      <c r="A472" s="68">
        <v>0.01</v>
      </c>
      <c r="B472" s="69">
        <f t="shared" si="14"/>
        <v>1E-4</v>
      </c>
      <c r="C472" s="70">
        <f t="shared" si="15"/>
        <v>1.923076923076923E-6</v>
      </c>
      <c r="F472" s="71">
        <v>40907</v>
      </c>
      <c r="G472" s="69">
        <v>7.4385887296965353E-3</v>
      </c>
      <c r="H472" s="70">
        <f>0.00359524628546688-(+G472/52)</f>
        <v>3.4521965022034852E-3</v>
      </c>
      <c r="I472" s="70">
        <f>0.00319243714116008-(+H472/52)</f>
        <v>3.1260487468869362E-3</v>
      </c>
      <c r="J472" s="70">
        <f>0.00232405093583327-(+I472/52)</f>
        <v>2.2639346137777521E-3</v>
      </c>
      <c r="K472" s="70">
        <f>-0.00970873786407763-(+J472/52)</f>
        <v>-9.7522750681887406E-3</v>
      </c>
      <c r="L472" s="70">
        <f>0.00210157396273071-(+K472/52)</f>
        <v>2.2891177140420319E-3</v>
      </c>
      <c r="M472" s="70">
        <f>0.00833157912230357-(+L472/52)</f>
        <v>8.2875576278027621E-3</v>
      </c>
      <c r="N472" s="70">
        <f>0.00604163192286119-(+M472/52)</f>
        <v>5.8822558146342137E-3</v>
      </c>
    </row>
    <row r="473" spans="1:14">
      <c r="A473" s="68">
        <v>0.02</v>
      </c>
      <c r="B473" s="69">
        <f t="shared" si="14"/>
        <v>2.0000000000000001E-4</v>
      </c>
      <c r="C473" s="70">
        <f t="shared" si="15"/>
        <v>3.8461538461538459E-6</v>
      </c>
      <c r="F473" s="71">
        <v>40914</v>
      </c>
      <c r="G473" s="69">
        <v>-3.7091936404764019E-3</v>
      </c>
      <c r="H473" s="70">
        <f>-0.0268788076468051-(+G473/52)</f>
        <v>-2.6807476999872862E-2</v>
      </c>
      <c r="I473" s="70">
        <f>0.000419369958309685-(+H473/52)</f>
        <v>9.3489836215339395E-4</v>
      </c>
      <c r="J473" s="70">
        <f>0.0035170203583136-(+I473/52)</f>
        <v>3.4990415436568041E-3</v>
      </c>
      <c r="K473" s="70">
        <f>0.0253435066168556-(+J473/52)</f>
        <v>2.5276217356400663E-2</v>
      </c>
      <c r="L473" s="70">
        <f>-0.00395405483827232-(+K473/52)</f>
        <v>-4.4401359412800248E-3</v>
      </c>
      <c r="M473" s="70">
        <f>-0.0109821889661689-(+L473/52)</f>
        <v>-1.08968017365289E-2</v>
      </c>
      <c r="N473" s="70">
        <f>-0.0105112459028746-(+M473/52)</f>
        <v>-1.0301692023325967E-2</v>
      </c>
    </row>
    <row r="474" spans="1:14">
      <c r="A474" s="68">
        <v>0.02</v>
      </c>
      <c r="B474" s="69">
        <f t="shared" si="14"/>
        <v>2.0000000000000001E-4</v>
      </c>
      <c r="C474" s="70">
        <f t="shared" si="15"/>
        <v>3.8461538461538459E-6</v>
      </c>
      <c r="F474" s="71">
        <v>40921</v>
      </c>
      <c r="G474" s="69">
        <v>6.0341838673521019E-3</v>
      </c>
      <c r="H474" s="70">
        <f>0.00703313184565734-(+G474/52)</f>
        <v>6.917089848208261E-3</v>
      </c>
      <c r="I474" s="70">
        <f>0.0182226167579031-(+H474/52)</f>
        <v>1.8089595799283709E-2</v>
      </c>
      <c r="J474" s="70">
        <f>-0.00617210519573204-(+I474/52)</f>
        <v>-6.5199820380259571E-3</v>
      </c>
      <c r="K474" s="70">
        <f>0.0397439262244042-(+J474/52)</f>
        <v>3.986931049436624E-2</v>
      </c>
      <c r="L474" s="70">
        <f>0.0144689963681148-(+K474/52)</f>
        <v>1.3702278858607758E-2</v>
      </c>
      <c r="M474" s="70">
        <f>0.0055326263866284-(+L474/52)</f>
        <v>5.2691210239628663E-3</v>
      </c>
      <c r="N474" s="70">
        <f>-0.0117956137678952-(+M474/52)</f>
        <v>-1.1896943018356025E-2</v>
      </c>
    </row>
    <row r="475" spans="1:14">
      <c r="A475" s="68">
        <v>0.02</v>
      </c>
      <c r="B475" s="69">
        <f t="shared" si="14"/>
        <v>2.0000000000000001E-4</v>
      </c>
      <c r="C475" s="70">
        <f t="shared" si="15"/>
        <v>3.8461538461538459E-6</v>
      </c>
      <c r="F475" s="71">
        <v>40928</v>
      </c>
      <c r="G475" s="69">
        <v>5.9924641108815725E-5</v>
      </c>
      <c r="H475" s="70">
        <f>0.0000394895691124797-(+G475/52)</f>
        <v>3.8337172168079397E-5</v>
      </c>
      <c r="I475" s="70">
        <f>0.0371733707892379-(+H475/52)</f>
        <v>3.717263353592698E-2</v>
      </c>
      <c r="J475" s="70">
        <f>0.0161084639642749-(+I475/52)</f>
        <v>1.5393605627045535E-2</v>
      </c>
      <c r="K475" s="70">
        <f>0.0219360331020281-(+J475/52)</f>
        <v>2.1640002224584915E-2</v>
      </c>
      <c r="L475" s="70">
        <f>0.0034542362369406-(+K475/52)</f>
        <v>3.0380823480062745E-3</v>
      </c>
      <c r="M475" s="70">
        <f>0.0269640203514548-(+L475/52)</f>
        <v>2.6905595690916217E-2</v>
      </c>
      <c r="N475" s="70">
        <f>0.00789852894714536-(+M475/52)</f>
        <v>7.3811136453969719E-3</v>
      </c>
    </row>
    <row r="476" spans="1:14">
      <c r="A476" s="68">
        <v>0.04</v>
      </c>
      <c r="B476" s="69">
        <f t="shared" si="14"/>
        <v>4.0000000000000002E-4</v>
      </c>
      <c r="C476" s="70">
        <f t="shared" si="15"/>
        <v>7.6923076923076919E-6</v>
      </c>
      <c r="F476" s="71">
        <v>40935</v>
      </c>
      <c r="G476" s="69">
        <v>8.7650552564566102E-3</v>
      </c>
      <c r="H476" s="70">
        <f>0.00714732976436932-(+G476/52)</f>
        <v>6.978771009437462E-3</v>
      </c>
      <c r="I476" s="70">
        <f>0.0268632670215747-(+H476/52)</f>
        <v>2.6729059886777824E-2</v>
      </c>
      <c r="J476" s="70">
        <f>0.0158757487064708-(+I476/52)</f>
        <v>1.5361728324032766E-2</v>
      </c>
      <c r="K476" s="70">
        <f>0.0372492420353169-(+J476/52)</f>
        <v>3.6953824182931652E-2</v>
      </c>
      <c r="L476" s="70">
        <f>0.0285129870939758-(+K476/52)</f>
        <v>2.780233662891942E-2</v>
      </c>
      <c r="M476" s="70">
        <f>0.02691231845078-(+L476/52)</f>
        <v>2.637765813099309E-2</v>
      </c>
      <c r="N476" s="70">
        <f>0.0127947337839077-(+M476/52)</f>
        <v>1.2287471127542448E-2</v>
      </c>
    </row>
    <row r="477" spans="1:14">
      <c r="A477" s="68">
        <v>0.05</v>
      </c>
      <c r="B477" s="69">
        <f t="shared" si="14"/>
        <v>5.0000000000000001E-4</v>
      </c>
      <c r="C477" s="70">
        <f t="shared" si="15"/>
        <v>9.6153846153846157E-6</v>
      </c>
      <c r="F477" s="71">
        <v>40942</v>
      </c>
      <c r="G477" s="69">
        <v>2.1187636874952565E-3</v>
      </c>
      <c r="H477" s="70">
        <f>0.0251209840032263-(+G477/52)</f>
        <v>2.5080238547697545E-2</v>
      </c>
      <c r="I477" s="70">
        <f>0.00817444887842929-(+H477/52)</f>
        <v>7.692136598665876E-3</v>
      </c>
      <c r="J477" s="70">
        <f>0.0204042494358169-(+I477/52)</f>
        <v>2.0256323731996401E-2</v>
      </c>
      <c r="K477" s="70">
        <f>0.0298554852566946-(+J477/52)</f>
        <v>2.9465940569540824E-2</v>
      </c>
      <c r="L477" s="70">
        <f>0.00605651489673606-(+K477/52)</f>
        <v>5.4898621934756598E-3</v>
      </c>
      <c r="M477" s="70">
        <f>0.0296171354038438-(+L477/52)</f>
        <v>2.9511561130892348E-2</v>
      </c>
      <c r="N477" s="70">
        <f>0.00617878077595233-(+M477/52)</f>
        <v>5.6112507542044002E-3</v>
      </c>
    </row>
    <row r="478" spans="1:14">
      <c r="A478" s="68">
        <v>7.0000000000000007E-2</v>
      </c>
      <c r="B478" s="69">
        <f t="shared" si="14"/>
        <v>7.000000000000001E-4</v>
      </c>
      <c r="C478" s="70">
        <f t="shared" si="15"/>
        <v>1.3461538461538463E-5</v>
      </c>
      <c r="F478" s="71">
        <v>40949</v>
      </c>
      <c r="G478" s="69">
        <v>-2.0168364354306722E-4</v>
      </c>
      <c r="H478" s="70">
        <f>-0.0057698296916747-(+G478/52)</f>
        <v>-5.7659511600681021E-3</v>
      </c>
      <c r="I478" s="70">
        <f>-0.00749545160659782-(+H478/52)</f>
        <v>-7.3845679304426638E-3</v>
      </c>
      <c r="J478" s="70">
        <f>-0.00993911527013492-(+I478/52)</f>
        <v>-9.7971043483956379E-3</v>
      </c>
      <c r="K478" s="70">
        <f>0.00277023381498813-(+J478/52)</f>
        <v>2.9586396678418924E-3</v>
      </c>
      <c r="L478" s="70">
        <f>-0.00106405632467308-(+K478/52)</f>
        <v>-1.120953241362347E-3</v>
      </c>
      <c r="M478" s="70">
        <f>-0.00887274429300398-(+L478/52)</f>
        <v>-8.8511874999008585E-3</v>
      </c>
      <c r="N478" s="70">
        <f>0.00528554708600913-(+M478/52)</f>
        <v>5.455762230237993E-3</v>
      </c>
    </row>
    <row r="479" spans="1:14">
      <c r="A479" s="68">
        <v>0.09</v>
      </c>
      <c r="B479" s="69">
        <f t="shared" si="14"/>
        <v>8.9999999999999998E-4</v>
      </c>
      <c r="C479" s="70">
        <f t="shared" si="15"/>
        <v>1.7307692307692306E-5</v>
      </c>
      <c r="F479" s="71">
        <v>40956</v>
      </c>
      <c r="G479" s="69">
        <v>-2.4832710655124362E-3</v>
      </c>
      <c r="H479" s="70">
        <f>0.0126507844915231-(+G479/52)</f>
        <v>1.2698539704321415E-2</v>
      </c>
      <c r="I479" s="70">
        <f>0.0075899315997182-(+H479/52)</f>
        <v>7.345728913096634E-3</v>
      </c>
      <c r="J479" s="70">
        <f>0.0246381098274317-(+I479/52)</f>
        <v>2.4496845809872152E-2</v>
      </c>
      <c r="K479" s="70">
        <f>-0.00106705249355684-(+J479/52)</f>
        <v>-1.5381456822082275E-3</v>
      </c>
      <c r="L479" s="70">
        <f>0.00458520948173053-(+K479/52)</f>
        <v>4.6147892063883806E-3</v>
      </c>
      <c r="M479" s="70">
        <f>0.0129252154630337-(+L479/52)</f>
        <v>1.2836469516757001E-2</v>
      </c>
      <c r="N479" s="70">
        <f>0.00178368192249574-(+M479/52)</f>
        <v>1.5368267394811823E-3</v>
      </c>
    </row>
    <row r="480" spans="1:14">
      <c r="A480" s="68">
        <v>0.11</v>
      </c>
      <c r="B480" s="69">
        <f t="shared" si="14"/>
        <v>1.1000000000000001E-3</v>
      </c>
      <c r="C480" s="70">
        <f t="shared" si="15"/>
        <v>2.1153846153846154E-5</v>
      </c>
      <c r="F480" s="71">
        <v>40963</v>
      </c>
      <c r="G480" s="69">
        <v>3.1695179457290746E-3</v>
      </c>
      <c r="H480" s="70">
        <f>0.00240412010832099-(+G480/52)</f>
        <v>2.3431678401338923E-3</v>
      </c>
      <c r="I480" s="70">
        <f>0.0190348747171456-(+H480/52)</f>
        <v>1.8989813797143026E-2</v>
      </c>
      <c r="J480" s="70">
        <f>-0.000120637656182766-(+I480/52)</f>
        <v>-4.8582638305090113E-4</v>
      </c>
      <c r="K480" s="70">
        <f>0.0118859025772402-(+J480/52)</f>
        <v>1.1895245392298871E-2</v>
      </c>
      <c r="L480" s="70">
        <f>0.0223189351611811-(+K480/52)</f>
        <v>2.2090180442098432E-2</v>
      </c>
      <c r="M480" s="70">
        <f>0.00829570619922877-(+L480/52)</f>
        <v>7.8708950368807234E-3</v>
      </c>
      <c r="N480" s="70">
        <f>0.00628391994427533-(+M480/52)</f>
        <v>6.1325565781814697E-3</v>
      </c>
    </row>
    <row r="481" spans="1:14">
      <c r="A481" s="68">
        <v>0.09</v>
      </c>
      <c r="B481" s="69">
        <f t="shared" si="14"/>
        <v>8.9999999999999998E-4</v>
      </c>
      <c r="C481" s="70">
        <f t="shared" si="15"/>
        <v>1.7307692307692306E-5</v>
      </c>
      <c r="F481" s="71">
        <v>40970</v>
      </c>
      <c r="G481" s="69">
        <v>1.4585378397645274E-3</v>
      </c>
      <c r="H481" s="70">
        <f>0.00572789778571824-(+G481/52)</f>
        <v>5.6998489811073833E-3</v>
      </c>
      <c r="I481" s="70">
        <f>-0.0148320558313845-(+H481/52)</f>
        <v>-1.4941668311790411E-2</v>
      </c>
      <c r="J481" s="70">
        <f>0.0158054396911305-(+I481/52)</f>
        <v>1.6092779466357239E-2</v>
      </c>
      <c r="K481" s="70">
        <f>-0.000460726426909888-(+J481/52)</f>
        <v>-7.7020295510906562E-4</v>
      </c>
      <c r="L481" s="70">
        <f>-0.00843450562648491-(+K481/52)</f>
        <v>-8.4196940311943511E-3</v>
      </c>
      <c r="M481" s="70">
        <f>0.000914719954967601-(+L481/52)</f>
        <v>1.0766371478751846E-3</v>
      </c>
      <c r="N481" s="70">
        <f>0.00947991856376092-(+M481/52)</f>
        <v>9.4592140032248584E-3</v>
      </c>
    </row>
    <row r="482" spans="1:14">
      <c r="A482" s="68">
        <v>0.09</v>
      </c>
      <c r="B482" s="69">
        <f t="shared" si="14"/>
        <v>8.9999999999999998E-4</v>
      </c>
      <c r="C482" s="70">
        <f t="shared" si="15"/>
        <v>1.7307692307692306E-5</v>
      </c>
      <c r="F482" s="71">
        <v>40977</v>
      </c>
      <c r="G482" s="69">
        <v>-5.9083072305622462E-3</v>
      </c>
      <c r="H482" s="70">
        <f>-0.00211554196632362-(+G482/52)</f>
        <v>-2.001920673428192E-3</v>
      </c>
      <c r="I482" s="70">
        <f>0.000393139160030171-(+H482/52)</f>
        <v>4.3163763451917468E-4</v>
      </c>
      <c r="J482" s="70">
        <f>-0.00714770509883766-(+I482/52)</f>
        <v>-7.1560058225784134E-3</v>
      </c>
      <c r="K482" s="70">
        <f>-0.0203663344625589-(+J482/52)</f>
        <v>-2.0228718965970855E-2</v>
      </c>
      <c r="L482" s="70">
        <f>0.00697970796212005-(+K482/52)</f>
        <v>7.3687217883887206E-3</v>
      </c>
      <c r="M482" s="70">
        <f>-0.0234898317850866-(+L482/52)</f>
        <v>-2.3631537973324845E-2</v>
      </c>
      <c r="N482" s="70">
        <f>0.00329286314083408-(+M482/52)</f>
        <v>3.7473157941672504E-3</v>
      </c>
    </row>
    <row r="483" spans="1:14">
      <c r="A483" s="68">
        <v>0.08</v>
      </c>
      <c r="B483" s="69">
        <f t="shared" si="14"/>
        <v>8.0000000000000004E-4</v>
      </c>
      <c r="C483" s="70">
        <f t="shared" si="15"/>
        <v>1.5384615384615384E-5</v>
      </c>
      <c r="F483" s="71">
        <v>40984</v>
      </c>
      <c r="G483" s="69">
        <v>-5.6329199991337836E-3</v>
      </c>
      <c r="H483" s="70">
        <f>-0.0000485502360080476-(+G483/52)</f>
        <v>5.977514859067901E-5</v>
      </c>
      <c r="I483" s="70">
        <f>0.0234331140104645-(+H483/52)</f>
        <v>2.3431964488376218E-2</v>
      </c>
      <c r="J483" s="70">
        <f>0.00202516502531447-(+I483/52)</f>
        <v>1.5745503236149273E-3</v>
      </c>
      <c r="K483" s="70">
        <f>0.014645555626616-(+J483/52)</f>
        <v>1.4615275812700328E-2</v>
      </c>
      <c r="L483" s="70">
        <f>0.00246777026660417-(+K483/52)</f>
        <v>2.1867072702060866E-3</v>
      </c>
      <c r="M483" s="70">
        <f>0.0171335719280924-(+L483/52)</f>
        <v>1.7091519865203821E-2</v>
      </c>
      <c r="N483" s="70">
        <f>-0.00436023668812075-(+M483/52)</f>
        <v>-4.688919762451592E-3</v>
      </c>
    </row>
    <row r="484" spans="1:14">
      <c r="A484" s="68">
        <v>0.09</v>
      </c>
      <c r="B484" s="69">
        <f t="shared" si="14"/>
        <v>8.9999999999999998E-4</v>
      </c>
      <c r="C484" s="70">
        <f t="shared" si="15"/>
        <v>1.7307692307692306E-5</v>
      </c>
      <c r="F484" s="71">
        <v>40991</v>
      </c>
      <c r="G484" s="69">
        <v>3.233044631196615E-3</v>
      </c>
      <c r="H484" s="70">
        <f>-0.00275670834996716-(+G484/52)</f>
        <v>-2.8188822851824796E-3</v>
      </c>
      <c r="I484" s="70">
        <f>-0.00631566628999403-(+H484/52)</f>
        <v>-6.2614570152789819E-3</v>
      </c>
      <c r="J484" s="70">
        <f>-0.00829321746990769-(+I484/52)</f>
        <v>-8.1728048349984789E-3</v>
      </c>
      <c r="K484" s="70">
        <f>-0.0231369759400662-(+J484/52)</f>
        <v>-2.2979806616316229E-2</v>
      </c>
      <c r="L484" s="70">
        <f>-0.00699382326396678-(+K484/52)</f>
        <v>-6.5519039059606992E-3</v>
      </c>
      <c r="M484" s="70">
        <f>-0.0120978342197327-(+L484/52)</f>
        <v>-1.1971836067694995E-2</v>
      </c>
      <c r="N484" s="70">
        <f>-0.00516122401033711-(+M484/52)</f>
        <v>-4.9309963936506685E-3</v>
      </c>
    </row>
    <row r="485" spans="1:14">
      <c r="A485" s="68">
        <v>0.09</v>
      </c>
      <c r="B485" s="69">
        <f t="shared" si="14"/>
        <v>8.9999999999999998E-4</v>
      </c>
      <c r="C485" s="70">
        <f t="shared" si="15"/>
        <v>1.7307692307692306E-5</v>
      </c>
      <c r="F485" s="71">
        <v>40998</v>
      </c>
      <c r="G485" s="69">
        <v>2.1909031361121022E-3</v>
      </c>
      <c r="H485" s="70">
        <f>0.00620486327121259-(+G485/52)</f>
        <v>6.1627305185950497E-3</v>
      </c>
      <c r="I485" s="70">
        <f>0.0121080524068895-(+H485/52)</f>
        <v>1.198953835845498E-2</v>
      </c>
      <c r="J485" s="70">
        <f>0.00470797647301612-(+I485/52)</f>
        <v>4.4774084276612168E-3</v>
      </c>
      <c r="K485" s="70">
        <f>0.0062127545823674-(+J485/52)</f>
        <v>6.1266505741431462E-3</v>
      </c>
      <c r="L485" s="70">
        <f>0.0114468951667717-(+K485/52)</f>
        <v>1.1329074963422793E-2</v>
      </c>
      <c r="M485" s="70">
        <f>-0.00106442319009673-(+L485/52)</f>
        <v>-1.2822900163163989E-3</v>
      </c>
      <c r="N485" s="70">
        <f>0.00188184937825169-(+M485/52)</f>
        <v>1.90650880164239E-3</v>
      </c>
    </row>
    <row r="486" spans="1:14">
      <c r="A486" s="68">
        <v>0.08</v>
      </c>
      <c r="B486" s="69">
        <f t="shared" si="14"/>
        <v>8.0000000000000004E-4</v>
      </c>
      <c r="C486" s="70">
        <f t="shared" si="15"/>
        <v>1.5384615384615384E-5</v>
      </c>
      <c r="F486" s="71">
        <v>41005</v>
      </c>
      <c r="G486" s="69">
        <v>1.5604626732130565E-4</v>
      </c>
      <c r="H486" s="70">
        <f>-0.0128654530596446-(+G486/52)</f>
        <v>-1.286845394940078E-2</v>
      </c>
      <c r="I486" s="70">
        <f>-0.00927239009490564-(+H486/52)</f>
        <v>-9.0249198266479334E-3</v>
      </c>
      <c r="J486" s="70">
        <f>-0.0113489016984838-(+I486/52)</f>
        <v>-1.117534554797134E-2</v>
      </c>
      <c r="K486" s="70">
        <f>-0.0122755025856423-(+J486/52)</f>
        <v>-1.2060592094335158E-2</v>
      </c>
      <c r="L486" s="70">
        <f>-0.0055726456659581-(+K486/52)</f>
        <v>-5.3407112026055007E-3</v>
      </c>
      <c r="M486" s="70">
        <f>-0.0344052089363381-(+L486/52)</f>
        <v>-3.4302502951672607E-2</v>
      </c>
      <c r="N486" s="70">
        <f>0.0105406599882146-(+M486/52)</f>
        <v>1.1200323506515996E-2</v>
      </c>
    </row>
    <row r="487" spans="1:14">
      <c r="A487" s="68">
        <v>0.08</v>
      </c>
      <c r="B487" s="69">
        <f t="shared" si="14"/>
        <v>8.0000000000000004E-4</v>
      </c>
      <c r="C487" s="70">
        <f t="shared" si="15"/>
        <v>1.5384615384615384E-5</v>
      </c>
      <c r="F487" s="71">
        <v>41012</v>
      </c>
      <c r="G487" s="69">
        <v>3.1862178217579203E-3</v>
      </c>
      <c r="H487" s="70">
        <f>-0.00611081156152478-(+G487/52)</f>
        <v>-6.1720849811739706E-3</v>
      </c>
      <c r="I487" s="70">
        <f>0.00910225354180437-(+H487/52)</f>
        <v>9.2209474837500228E-3</v>
      </c>
      <c r="J487" s="70">
        <f>-0.00448432434304221-(+I487/52)</f>
        <v>-4.6616502561912486E-3</v>
      </c>
      <c r="K487" s="70">
        <f>-0.00181783612578316-(+J487/52)</f>
        <v>-1.7281890054717897E-3</v>
      </c>
      <c r="L487" s="70">
        <f>0.00757760252386524-(+K487/52)</f>
        <v>7.6108369278166206E-3</v>
      </c>
      <c r="M487" s="70">
        <f>-0.023296036331418-(+L487/52)</f>
        <v>-2.3442398580029857E-2</v>
      </c>
      <c r="N487" s="70">
        <f>-0.0155914017683376-(+M487/52)</f>
        <v>-1.5140586411029333E-2</v>
      </c>
    </row>
    <row r="488" spans="1:14">
      <c r="A488" s="68">
        <v>0.09</v>
      </c>
      <c r="B488" s="69">
        <f t="shared" si="14"/>
        <v>8.9999999999999998E-4</v>
      </c>
      <c r="C488" s="70">
        <f t="shared" si="15"/>
        <v>1.7307692307692306E-5</v>
      </c>
      <c r="F488" s="71">
        <v>41019</v>
      </c>
      <c r="G488" s="69">
        <v>1.0843476672557312E-3</v>
      </c>
      <c r="H488" s="70">
        <f>0.0215467403157486-(+G488/52)</f>
        <v>2.1525887475993682E-2</v>
      </c>
      <c r="I488" s="70">
        <f>0.0149050701971339-(+H488/52)</f>
        <v>1.4491110822595561E-2</v>
      </c>
      <c r="J488" s="70">
        <f>0.053562965507346-(+I488/52)</f>
        <v>5.3284290299219168E-2</v>
      </c>
      <c r="K488" s="70">
        <f>-0.00182114667199365-(+J488/52)</f>
        <v>-2.8458445623632494E-3</v>
      </c>
      <c r="L488" s="70">
        <f>0.00442968458909106-(+K488/52)</f>
        <v>4.4844123691365071E-3</v>
      </c>
      <c r="M488" s="70">
        <f>0.00912567356162-(+L488/52)</f>
        <v>9.0394348622135287E-3</v>
      </c>
      <c r="N488" s="70">
        <f>0.0141204869235553-(+M488/52)</f>
        <v>1.3946651637743501E-2</v>
      </c>
    </row>
    <row r="489" spans="1:14">
      <c r="A489" s="68">
        <v>0.08</v>
      </c>
      <c r="B489" s="69">
        <f t="shared" si="14"/>
        <v>8.0000000000000004E-4</v>
      </c>
      <c r="C489" s="70">
        <f t="shared" si="15"/>
        <v>1.5384615384615384E-5</v>
      </c>
      <c r="F489" s="71">
        <v>41026</v>
      </c>
      <c r="G489" s="69">
        <v>4.8611884882415139E-3</v>
      </c>
      <c r="H489" s="70">
        <f>0.017326560060938-(+G489/52)</f>
        <v>1.7233075666933353E-2</v>
      </c>
      <c r="I489" s="70">
        <f>0.0200761186648413-(+H489/52)</f>
        <v>1.9744713363554121E-2</v>
      </c>
      <c r="J489" s="70">
        <f>0.00983038256778514-(+I489/52)</f>
        <v>9.4506765415629454E-3</v>
      </c>
      <c r="K489" s="70">
        <f>-0.000363032156271474-(+J489/52)</f>
        <v>-5.4477593591691531E-4</v>
      </c>
      <c r="L489" s="70">
        <f>0.0205849963324024-(+K489/52)</f>
        <v>2.0595472792708493E-2</v>
      </c>
      <c r="M489" s="70">
        <f>0.0223064335543881-(+L489/52)</f>
        <v>2.1910366769912936E-2</v>
      </c>
      <c r="N489" s="70">
        <f>0.0126826276476903-(+M489/52)</f>
        <v>1.226127444057659E-2</v>
      </c>
    </row>
    <row r="490" spans="1:14">
      <c r="A490" s="68">
        <v>0.09</v>
      </c>
      <c r="B490" s="69">
        <f t="shared" si="14"/>
        <v>8.9999999999999998E-4</v>
      </c>
      <c r="C490" s="70">
        <f t="shared" si="15"/>
        <v>1.7307692307692306E-5</v>
      </c>
      <c r="F490" s="71">
        <v>41033</v>
      </c>
      <c r="G490" s="69">
        <v>1.1497863952453561E-3</v>
      </c>
      <c r="H490" s="70">
        <f>-0.00675458346735282-(+G490/52)</f>
        <v>-6.7766947441844621E-3</v>
      </c>
      <c r="I490" s="70">
        <f>-0.0202536537380551-(+H490/52)</f>
        <v>-2.0123332685282321E-2</v>
      </c>
      <c r="J490" s="70">
        <f>-0.0104784790675624-(+I490/52)</f>
        <v>-1.0091491900537741E-2</v>
      </c>
      <c r="K490" s="70">
        <f>0.00724931208358367-(+J490/52)</f>
        <v>7.4433792355170884E-3</v>
      </c>
      <c r="L490" s="70">
        <f>0.00891483967132092-(+K490/52)</f>
        <v>8.7716977629455906E-3</v>
      </c>
      <c r="M490" s="70">
        <f>-0.0301811288963774-(+L490/52)</f>
        <v>-3.0349815391818663E-2</v>
      </c>
      <c r="N490" s="70">
        <f>-0.0125922881698103-(+M490/52)</f>
        <v>-1.2008637873813786E-2</v>
      </c>
    </row>
    <row r="491" spans="1:14">
      <c r="A491" s="68">
        <v>0.09</v>
      </c>
      <c r="B491" s="69">
        <f t="shared" si="14"/>
        <v>8.9999999999999998E-4</v>
      </c>
      <c r="C491" s="70">
        <f t="shared" si="15"/>
        <v>1.7307692307692306E-5</v>
      </c>
      <c r="F491" s="71">
        <v>41040</v>
      </c>
      <c r="G491" s="69">
        <v>-1.5639562409382139E-3</v>
      </c>
      <c r="H491" s="70">
        <f>0.00739509895523647-(+G491/52)</f>
        <v>7.4251750367929741E-3</v>
      </c>
      <c r="I491" s="70">
        <f>-0.0254917077543703-(+H491/52)</f>
        <v>-2.5634499582000935E-2</v>
      </c>
      <c r="J491" s="70">
        <f>0.0123116698605696-(+I491/52)</f>
        <v>1.280464100637731E-2</v>
      </c>
      <c r="K491" s="70">
        <f>-0.0377375933732714-(+J491/52)</f>
        <v>-3.7983836469547887E-2</v>
      </c>
      <c r="L491" s="70">
        <f>-0.0053894811762877-(+K491/52)</f>
        <v>-4.6590227826425485E-3</v>
      </c>
      <c r="M491" s="70">
        <f>-0.0129758724781202-(+L491/52)</f>
        <v>-1.2886275886146306E-2</v>
      </c>
      <c r="N491" s="70">
        <f>-0.000357796121927997-(+M491/52)</f>
        <v>-1.099831241174911E-4</v>
      </c>
    </row>
    <row r="492" spans="1:14">
      <c r="A492" s="68">
        <v>0.1</v>
      </c>
      <c r="B492" s="69">
        <f t="shared" si="14"/>
        <v>1E-3</v>
      </c>
      <c r="C492" s="70">
        <f t="shared" si="15"/>
        <v>1.9230769230769231E-5</v>
      </c>
      <c r="F492" s="71">
        <v>41047</v>
      </c>
      <c r="G492" s="69">
        <v>-3.4324749554715457E-3</v>
      </c>
      <c r="H492" s="70">
        <f>-0.0352548732352801-(+G492/52)</f>
        <v>-3.5188864101521035E-2</v>
      </c>
      <c r="I492" s="70">
        <f>-0.0601546919040645-(+H492/52)</f>
        <v>-5.9477982979035247E-2</v>
      </c>
      <c r="J492" s="70">
        <f>-0.0497860135694733-(+I492/52)</f>
        <v>-4.8642206204491854E-2</v>
      </c>
      <c r="K492" s="70">
        <f>-0.0468746997674998-(+J492/52)</f>
        <v>-4.5939272725105722E-2</v>
      </c>
      <c r="L492" s="70">
        <f>-0.0431000270871261-(+K492/52)</f>
        <v>-4.2216579534720217E-2</v>
      </c>
      <c r="M492" s="70">
        <f>-0.064005104566607-(+L492/52)</f>
        <v>-6.3193247267862379E-2</v>
      </c>
      <c r="N492" s="70">
        <f>-0.0429216839967715-(+M492/52)</f>
        <v>-4.1706429241620303E-2</v>
      </c>
    </row>
    <row r="493" spans="1:14">
      <c r="A493" s="68">
        <v>0.09</v>
      </c>
      <c r="B493" s="69">
        <f t="shared" si="14"/>
        <v>8.9999999999999998E-4</v>
      </c>
      <c r="C493" s="70">
        <f t="shared" si="15"/>
        <v>1.7307692307692306E-5</v>
      </c>
      <c r="F493" s="71">
        <v>41054</v>
      </c>
      <c r="G493" s="69">
        <v>-2.647018645339636E-3</v>
      </c>
      <c r="H493" s="70">
        <f>0.0117331527112432-(+G493/52)</f>
        <v>1.178405691596127E-2</v>
      </c>
      <c r="I493" s="70">
        <f>-0.00775982898621072-(+H493/52)</f>
        <v>-7.9864454653638204E-3</v>
      </c>
      <c r="J493" s="70">
        <f>0.0220002919632814-(+I493/52)</f>
        <v>2.2153877452999935E-2</v>
      </c>
      <c r="K493" s="70">
        <f>0.00532724505327242-(+J493/52)</f>
        <v>4.9012089484070367E-3</v>
      </c>
      <c r="L493" s="70">
        <f>0.0100470688917416-(+K493/52)</f>
        <v>9.9528148735030034E-3</v>
      </c>
      <c r="M493" s="70">
        <f>-0.00235657784934356-(+L493/52)</f>
        <v>-2.5479781353724639E-3</v>
      </c>
      <c r="N493" s="70">
        <f>0.00665524386660512-(+M493/52)</f>
        <v>6.7042434461315132E-3</v>
      </c>
    </row>
    <row r="494" spans="1:14">
      <c r="A494" s="68">
        <v>0.09</v>
      </c>
      <c r="B494" s="69">
        <f t="shared" si="14"/>
        <v>8.9999999999999998E-4</v>
      </c>
      <c r="C494" s="70">
        <f t="shared" si="15"/>
        <v>1.7307692307692306E-5</v>
      </c>
      <c r="F494" s="71">
        <v>41061</v>
      </c>
      <c r="G494" s="69">
        <v>6.5040939288271002E-3</v>
      </c>
      <c r="H494" s="70">
        <f>-0.0242145784179809-(+G494/52)</f>
        <v>-2.433965714738142E-2</v>
      </c>
      <c r="I494" s="70">
        <f>-0.00449423128521612-(+H494/52)</f>
        <v>-4.026160955458785E-3</v>
      </c>
      <c r="J494" s="70">
        <f>0.00286518506070651-(+I494/52)</f>
        <v>2.9426112329268709E-3</v>
      </c>
      <c r="K494" s="70">
        <f>-0.0223390868848103-(+J494/52)</f>
        <v>-2.2395675562366584E-2</v>
      </c>
      <c r="L494" s="70">
        <f>-0.0317458248387551-(+K494/52)</f>
        <v>-3.1315138770248052E-2</v>
      </c>
      <c r="M494" s="70">
        <f>-0.0321923174345108-(+L494/52)</f>
        <v>-3.1590103227390642E-2</v>
      </c>
      <c r="N494" s="70">
        <f>-0.022934649516856-(+M494/52)</f>
        <v>-2.2327147531713873E-2</v>
      </c>
    </row>
    <row r="495" spans="1:14">
      <c r="A495" s="68">
        <v>0.08</v>
      </c>
      <c r="B495" s="69">
        <f t="shared" si="14"/>
        <v>8.0000000000000004E-4</v>
      </c>
      <c r="C495" s="70">
        <f t="shared" si="15"/>
        <v>1.5384615384615384E-5</v>
      </c>
      <c r="F495" s="71">
        <v>41068</v>
      </c>
      <c r="G495" s="69">
        <v>-4.2852154465804222E-3</v>
      </c>
      <c r="H495" s="70">
        <f>0.030143747164341-(+G495/52)</f>
        <v>3.0226155153698316E-2</v>
      </c>
      <c r="I495" s="70">
        <f>0.0156838963602422-(+H495/52)</f>
        <v>1.5102624145748001E-2</v>
      </c>
      <c r="J495" s="70">
        <f>0.0211970910553302-(+I495/52)</f>
        <v>2.0906655975604278E-2</v>
      </c>
      <c r="K495" s="70">
        <f>-0.0261159397995026-(+J495/52)</f>
        <v>-2.6517990875956528E-2</v>
      </c>
      <c r="L495" s="70">
        <f>0.0440925037897043-(+K495/52)</f>
        <v>4.4602465152703462E-2</v>
      </c>
      <c r="M495" s="70">
        <f>0.0288747139309539-(+L495/52)</f>
        <v>2.8016974216478835E-2</v>
      </c>
      <c r="N495" s="70">
        <f>0.0107199807560245-(+M495/52)</f>
        <v>1.0181192790322985E-2</v>
      </c>
    </row>
    <row r="496" spans="1:14">
      <c r="A496" s="68">
        <v>0.09</v>
      </c>
      <c r="B496" s="69">
        <f t="shared" si="14"/>
        <v>8.9999999999999998E-4</v>
      </c>
      <c r="C496" s="70">
        <f t="shared" si="15"/>
        <v>1.7307692307692306E-5</v>
      </c>
      <c r="F496" s="71">
        <v>41075</v>
      </c>
      <c r="G496" s="69">
        <v>1.9731098171993319E-3</v>
      </c>
      <c r="H496" s="70">
        <f>0.00771288309288767-(+G496/52)</f>
        <v>7.674938673326144E-3</v>
      </c>
      <c r="I496" s="70">
        <f>0.00773841579058275-(+H496/52)</f>
        <v>7.5908208160957082E-3</v>
      </c>
      <c r="J496" s="70">
        <f>-0.00427038380125685-(+I496/52)</f>
        <v>-4.4163611246433058E-3</v>
      </c>
      <c r="K496" s="70">
        <f>0.0347721696275313-(+J496/52)</f>
        <v>3.4857099649159062E-2</v>
      </c>
      <c r="L496" s="70">
        <f>0.023783643692122-(+K496/52)</f>
        <v>2.3113314852715092E-2</v>
      </c>
      <c r="M496" s="70">
        <f>0.00983790818741119-(+L496/52)</f>
        <v>9.3934213633205151E-3</v>
      </c>
      <c r="N496" s="70">
        <f>0.013562067668307-(+M496/52)</f>
        <v>1.3381424949781607E-2</v>
      </c>
    </row>
    <row r="497" spans="1:14">
      <c r="A497" s="68">
        <v>0.1</v>
      </c>
      <c r="B497" s="69">
        <f t="shared" si="14"/>
        <v>1E-3</v>
      </c>
      <c r="C497" s="70">
        <f t="shared" si="15"/>
        <v>1.9230769230769231E-5</v>
      </c>
      <c r="F497" s="71">
        <v>41082</v>
      </c>
      <c r="G497" s="69">
        <v>-5.6038965923675005E-4</v>
      </c>
      <c r="H497" s="70">
        <f>-0.0136074363867006-(+G497/52)</f>
        <v>-1.3596659662484507E-2</v>
      </c>
      <c r="I497" s="70">
        <f>0.00868194720353786-(+H497/52)</f>
        <v>8.943421427816409E-3</v>
      </c>
      <c r="J497" s="70">
        <f>-0.0144769312531155-(+I497/52)</f>
        <v>-1.4648920126727354E-2</v>
      </c>
      <c r="K497" s="70">
        <f>0.00562775408851752-(+J497/52)</f>
        <v>5.9094640909545847E-3</v>
      </c>
      <c r="L497" s="70">
        <f>0.00112216695350562-(+K497/52)</f>
        <v>1.0085234132949548E-3</v>
      </c>
      <c r="M497" s="70">
        <f>-0.00374334370221957-(+L497/52)</f>
        <v>-3.7627383832444729E-3</v>
      </c>
      <c r="N497" s="70">
        <f>-0.00823363215282583-(+M497/52)</f>
        <v>-8.1612717993018967E-3</v>
      </c>
    </row>
    <row r="498" spans="1:14">
      <c r="A498" s="68">
        <v>0.09</v>
      </c>
      <c r="B498" s="69">
        <f t="shared" si="14"/>
        <v>8.9999999999999998E-4</v>
      </c>
      <c r="C498" s="70">
        <f t="shared" si="15"/>
        <v>1.7307692307692306E-5</v>
      </c>
      <c r="F498" s="71">
        <v>41089</v>
      </c>
      <c r="G498" s="69">
        <v>4.7164614471272032E-3</v>
      </c>
      <c r="H498" s="70">
        <f>0.0284818847431982-(+G498/52)</f>
        <v>2.8391183561522676E-2</v>
      </c>
      <c r="I498" s="70">
        <f>0.0324325569431701-(+H498/52)</f>
        <v>3.1886572643910045E-2</v>
      </c>
      <c r="J498" s="70">
        <f>0.0353486583311386-(+I498/52)</f>
        <v>3.4735455011063406E-2</v>
      </c>
      <c r="K498" s="70">
        <f>0.00775684099740941-(+J498/52)</f>
        <v>7.0888514779658832E-3</v>
      </c>
      <c r="L498" s="70">
        <f>0.0354193439222133-(+K498/52)</f>
        <v>3.5283019855329341E-2</v>
      </c>
      <c r="M498" s="70">
        <f>0.0371448395898014-(+L498/52)</f>
        <v>3.6466319977198916E-2</v>
      </c>
      <c r="N498" s="70">
        <f>0.0230004009699654-(+M498/52)</f>
        <v>2.2299125585788497E-2</v>
      </c>
    </row>
    <row r="499" spans="1:14">
      <c r="A499" s="68">
        <v>0.09</v>
      </c>
      <c r="B499" s="69">
        <f t="shared" si="14"/>
        <v>8.9999999999999998E-4</v>
      </c>
      <c r="C499" s="70">
        <f t="shared" si="15"/>
        <v>1.7307692307692306E-5</v>
      </c>
      <c r="F499" s="71">
        <v>41096</v>
      </c>
      <c r="G499" s="69">
        <v>2.1590391130163434E-3</v>
      </c>
      <c r="H499" s="70">
        <f>-0.00317333557498317-(+G499/52)</f>
        <v>-3.2148555579257919E-3</v>
      </c>
      <c r="I499" s="70">
        <f>-0.00613177553759934-(+H499/52)</f>
        <v>-6.069951392254613E-3</v>
      </c>
      <c r="J499" s="70">
        <f>0.00644398057115634-(+I499/52)</f>
        <v>6.5607104056227749E-3</v>
      </c>
      <c r="K499" s="70">
        <f>0.036176034945899-(+J499/52)</f>
        <v>3.6049867438098564E-2</v>
      </c>
      <c r="L499" s="70">
        <f>0.00903109793510682-(+K499/52)</f>
        <v>8.3378312536049239E-3</v>
      </c>
      <c r="M499" s="70">
        <f>-0.0284157590670196-(+L499/52)</f>
        <v>-2.8576101975742771E-2</v>
      </c>
      <c r="N499" s="70">
        <f>0.00782416532282149-(+M499/52)</f>
        <v>8.3737057454319266E-3</v>
      </c>
    </row>
    <row r="500" spans="1:14">
      <c r="A500" s="68">
        <v>0.09</v>
      </c>
      <c r="B500" s="69">
        <f t="shared" si="14"/>
        <v>8.9999999999999998E-4</v>
      </c>
      <c r="C500" s="70">
        <f t="shared" si="15"/>
        <v>1.7307692307692306E-5</v>
      </c>
      <c r="F500" s="71">
        <v>41103</v>
      </c>
      <c r="G500" s="69">
        <v>3.903990225392871E-3</v>
      </c>
      <c r="H500" s="70">
        <f>0.0161438239200557-(+G500/52)</f>
        <v>1.6068747184951993E-2</v>
      </c>
      <c r="I500" s="70">
        <f>0.0224822095346417-(+H500/52)</f>
        <v>2.2173195165700314E-2</v>
      </c>
      <c r="J500" s="70">
        <f>0.0166085634394971-(+I500/52)</f>
        <v>1.6182155840156712E-2</v>
      </c>
      <c r="K500" s="70">
        <f>-0.00805349614769583-(+J500/52)</f>
        <v>-8.3646914523142282E-3</v>
      </c>
      <c r="L500" s="70">
        <f>0.0123910567167341-(+K500/52)</f>
        <v>1.2551916167740143E-2</v>
      </c>
      <c r="M500" s="70">
        <f>0.0183405400043181-(+L500/52)</f>
        <v>1.8099157001092329E-2</v>
      </c>
      <c r="N500" s="70">
        <f>0.014704575085931-(+M500/52)</f>
        <v>1.4356514374371531E-2</v>
      </c>
    </row>
    <row r="501" spans="1:14">
      <c r="A501" s="68">
        <v>0.1</v>
      </c>
      <c r="B501" s="69">
        <f t="shared" si="14"/>
        <v>1E-3</v>
      </c>
      <c r="C501" s="70">
        <f t="shared" si="15"/>
        <v>1.9230769230769231E-5</v>
      </c>
      <c r="F501" s="71">
        <v>41110</v>
      </c>
      <c r="G501" s="69">
        <v>4.936814291666888E-3</v>
      </c>
      <c r="H501" s="70">
        <f>-0.0157732306335746-(+G501/52)</f>
        <v>-1.5868169369952809E-2</v>
      </c>
      <c r="I501" s="70">
        <f>0.0248164018046962-(+H501/52)</f>
        <v>2.5121558907964525E-2</v>
      </c>
      <c r="J501" s="70">
        <f>0.0186575851686403-(+I501/52)</f>
        <v>1.817447826656406E-2</v>
      </c>
      <c r="K501" s="70">
        <f>0.016061902807902-(+J501/52)</f>
        <v>1.5712393610468077E-2</v>
      </c>
      <c r="L501" s="70">
        <f>-0.0117582901833262-(+K501/52)</f>
        <v>-1.2060451598912125E-2</v>
      </c>
      <c r="M501" s="70">
        <f>-0.00272187585953975-(+L501/52)</f>
        <v>-2.4899440980222093E-3</v>
      </c>
      <c r="N501" s="70">
        <f>0.0147981047913153-(+M501/52)</f>
        <v>1.4845988331661879E-2</v>
      </c>
    </row>
    <row r="502" spans="1:14">
      <c r="A502" s="68">
        <v>0.09</v>
      </c>
      <c r="B502" s="69">
        <f t="shared" si="14"/>
        <v>8.9999999999999998E-4</v>
      </c>
      <c r="C502" s="70">
        <f t="shared" si="15"/>
        <v>1.7307692307692306E-5</v>
      </c>
      <c r="F502" s="71">
        <v>41117</v>
      </c>
      <c r="G502" s="69">
        <v>-3.3118376638323967E-4</v>
      </c>
      <c r="H502" s="70">
        <f>0.00879032853062389-(+G502/52)</f>
        <v>8.7966974492081837E-3</v>
      </c>
      <c r="I502" s="70">
        <f>0.0231621493274871-(+H502/52)</f>
        <v>2.2992982068848481E-2</v>
      </c>
      <c r="J502" s="70">
        <f>0.0054273505929023-(+I502/52)</f>
        <v>4.9851778608090598E-3</v>
      </c>
      <c r="K502" s="70">
        <f>-0.0248274005269333-(+J502/52)</f>
        <v>-2.4923269331948859E-2</v>
      </c>
      <c r="L502" s="70">
        <f>0.0268575881667984-(+K502/52)</f>
        <v>2.7336881807797416E-2</v>
      </c>
      <c r="M502" s="70">
        <f>0.0138648678154646-(+L502/52)</f>
        <v>1.3339158549930034E-2</v>
      </c>
      <c r="N502" s="70">
        <f>0.00879471094357007-(+M502/52)</f>
        <v>8.5381886637637232E-3</v>
      </c>
    </row>
    <row r="503" spans="1:14">
      <c r="A503" s="68">
        <v>0.1</v>
      </c>
      <c r="B503" s="69">
        <f t="shared" si="14"/>
        <v>1E-3</v>
      </c>
      <c r="C503" s="70">
        <f t="shared" si="15"/>
        <v>1.9230769230769231E-5</v>
      </c>
      <c r="F503" s="71">
        <v>41124</v>
      </c>
      <c r="G503" s="69">
        <v>1.3218769195480426E-3</v>
      </c>
      <c r="H503" s="70">
        <f>0.00628454409628986-(+G503/52)</f>
        <v>6.2591233862985514E-3</v>
      </c>
      <c r="I503" s="70">
        <f>0.00524504808833184-(+H503/52)</f>
        <v>5.1246803309030215E-3</v>
      </c>
      <c r="J503" s="70">
        <f>0.00142946312293384-(+I503/52)</f>
        <v>1.3309115781087819E-3</v>
      </c>
      <c r="K503" s="70">
        <f>-0.0230338408140727-(+J503/52)</f>
        <v>-2.3059435267497871E-2</v>
      </c>
      <c r="L503" s="70">
        <f>0.0108005410233029-(+K503/52)</f>
        <v>1.1243991701524013E-2</v>
      </c>
      <c r="M503" s="70">
        <f>-0.00642674978747516-(+L503/52)</f>
        <v>-6.6429803971198532E-3</v>
      </c>
      <c r="N503" s="70">
        <f>-0.00405772090154147-(+M503/52)</f>
        <v>-3.9299712785199345E-3</v>
      </c>
    </row>
    <row r="504" spans="1:14">
      <c r="A504" s="68">
        <v>0.1</v>
      </c>
      <c r="B504" s="69">
        <f t="shared" si="14"/>
        <v>1E-3</v>
      </c>
      <c r="C504" s="70">
        <f t="shared" si="15"/>
        <v>1.9230769230769231E-5</v>
      </c>
      <c r="F504" s="71">
        <v>41131</v>
      </c>
      <c r="G504" s="69">
        <v>1.1355078549763723E-3</v>
      </c>
      <c r="H504" s="70">
        <f>-0.00163011031797539-(+G504/52)</f>
        <v>-1.6519470074941665E-3</v>
      </c>
      <c r="I504" s="70">
        <f>-0.010390232556525-(+H504/52)</f>
        <v>-1.035846434484242E-2</v>
      </c>
      <c r="J504" s="70">
        <f>0.00195837773990115-(+I504/52)</f>
        <v>2.1575789773019658E-3</v>
      </c>
      <c r="K504" s="70">
        <f>0.0245811465482439-(+J504/52)</f>
        <v>2.4539654644834246E-2</v>
      </c>
      <c r="L504" s="70">
        <f>-0.0105755595057125-(+K504/52)</f>
        <v>-1.1047475941190082E-2</v>
      </c>
      <c r="M504" s="70">
        <f>-0.00953706450067309-(+L504/52)</f>
        <v>-9.3246130402655884E-3</v>
      </c>
      <c r="N504" s="70">
        <f>-0.00465782360417458-(+M504/52)</f>
        <v>-4.4785041226310116E-3</v>
      </c>
    </row>
    <row r="505" spans="1:14">
      <c r="A505" s="68">
        <v>0.11</v>
      </c>
      <c r="B505" s="69">
        <f t="shared" si="14"/>
        <v>1.1000000000000001E-3</v>
      </c>
      <c r="C505" s="70">
        <f t="shared" si="15"/>
        <v>2.1153846153846154E-5</v>
      </c>
      <c r="F505" s="71">
        <v>41138</v>
      </c>
      <c r="G505" s="69">
        <v>-6.6957721319040094E-3</v>
      </c>
      <c r="H505" s="70">
        <f>-0.000343194097061455-(+G505/52)</f>
        <v>-2.1442924837099329E-4</v>
      </c>
      <c r="I505" s="70">
        <f>0.0065879480541349-(+H505/52)</f>
        <v>6.5920716935266499E-3</v>
      </c>
      <c r="J505" s="70">
        <f>0.0186392645669654-(+I505/52)</f>
        <v>1.8512493957474504E-2</v>
      </c>
      <c r="K505" s="70">
        <f>0.000640296309430557-(+J505/52)</f>
        <v>2.8428681024835498E-4</v>
      </c>
      <c r="L505" s="70">
        <f>0.00938013635418111-(+K505/52)</f>
        <v>9.3746693001378733E-3</v>
      </c>
      <c r="M505" s="70">
        <f>0.025575315012324-(+L505/52)</f>
        <v>2.5395032910398272E-2</v>
      </c>
      <c r="N505" s="70">
        <f>0.00745286208608209-(+M505/52)</f>
        <v>6.9644960685744306E-3</v>
      </c>
    </row>
    <row r="506" spans="1:14">
      <c r="A506" s="68">
        <v>0.1</v>
      </c>
      <c r="B506" s="69">
        <f t="shared" si="14"/>
        <v>1E-3</v>
      </c>
      <c r="C506" s="70">
        <f t="shared" si="15"/>
        <v>1.9230769230769231E-5</v>
      </c>
      <c r="F506" s="71">
        <v>41145</v>
      </c>
      <c r="G506" s="69">
        <v>7.6250174115724545E-3</v>
      </c>
      <c r="H506" s="70">
        <f>-0.00634086712268202-(+G506/52)</f>
        <v>-6.487502072904567E-3</v>
      </c>
      <c r="I506" s="70">
        <f>0.0309293799487008-(+H506/52)</f>
        <v>3.1054139603948962E-2</v>
      </c>
      <c r="J506" s="70">
        <f>-0.00651406857866633-(+I506/52)</f>
        <v>-7.1112635710499639E-3</v>
      </c>
      <c r="K506" s="70">
        <f>-0.0052815254896362-(+J506/52)</f>
        <v>-5.1447704209621626E-3</v>
      </c>
      <c r="L506" s="70">
        <f>-0.0115500295194511-(+K506/52)</f>
        <v>-1.145109162674029E-2</v>
      </c>
      <c r="M506" s="70">
        <f>0.00517730297329928-(+L506/52)</f>
        <v>5.3975162738135159E-3</v>
      </c>
      <c r="N506" s="70">
        <f>-0.00317759545282524-(+M506/52)</f>
        <v>-3.281393842706269E-3</v>
      </c>
    </row>
    <row r="507" spans="1:14">
      <c r="A507" s="68">
        <v>0.11</v>
      </c>
      <c r="B507" s="69">
        <f t="shared" si="14"/>
        <v>1.1000000000000001E-3</v>
      </c>
      <c r="C507" s="70">
        <f t="shared" si="15"/>
        <v>2.1153846153846154E-5</v>
      </c>
      <c r="F507" s="71">
        <v>41152</v>
      </c>
      <c r="G507" s="69">
        <v>4.3678323703453059E-3</v>
      </c>
      <c r="H507" s="70">
        <f>-0.00715609393485707-(+G507/52)</f>
        <v>-7.2400907112098638E-3</v>
      </c>
      <c r="I507" s="70">
        <f>-0.00640256372984834-(+H507/52)</f>
        <v>-6.2633312161712272E-3</v>
      </c>
      <c r="J507" s="70">
        <f>-0.00976307561545701-(+I507/52)</f>
        <v>-9.6426269382229469E-3</v>
      </c>
      <c r="K507" s="70">
        <f>-0.030833102410831-(+J507/52)</f>
        <v>-3.0647667277403635E-2</v>
      </c>
      <c r="L507" s="70">
        <f>0.00626124319241771-(+K507/52)</f>
        <v>6.8506214092908567E-3</v>
      </c>
      <c r="M507" s="70">
        <f>0.00433502600456965-(+L507/52)</f>
        <v>4.20328328516021E-3</v>
      </c>
      <c r="N507" s="70">
        <f>-0.00242481983982578-(+M507/52)</f>
        <v>-2.5056522106942456E-3</v>
      </c>
    </row>
    <row r="508" spans="1:14">
      <c r="A508" s="68">
        <v>0.1</v>
      </c>
      <c r="B508" s="69">
        <f t="shared" si="14"/>
        <v>1E-3</v>
      </c>
      <c r="C508" s="70">
        <f t="shared" si="15"/>
        <v>1.9230769230769231E-5</v>
      </c>
      <c r="F508" s="71">
        <v>41159</v>
      </c>
      <c r="G508" s="69">
        <v>2.5402867350355646E-3</v>
      </c>
      <c r="H508" s="70">
        <f>0.0160604031445911-(+G508/52)</f>
        <v>1.6011551476609646E-2</v>
      </c>
      <c r="I508" s="70">
        <f>0.00897167644807345-(+H508/52)</f>
        <v>8.6637619966001868E-3</v>
      </c>
      <c r="J508" s="70">
        <f>0.0071233968525239-(+I508/52)</f>
        <v>6.9567860448969737E-3</v>
      </c>
      <c r="K508" s="70">
        <f>0.0276375110412189-(+J508/52)</f>
        <v>2.750372669420165E-2</v>
      </c>
      <c r="L508" s="70">
        <f>0.0206355005783962-(+K508/52)</f>
        <v>2.0106582757353861E-2</v>
      </c>
      <c r="M508" s="70">
        <f>0.0374896402885702-(+L508/52)</f>
        <v>3.7102975235544164E-2</v>
      </c>
      <c r="N508" s="70">
        <f>0.020716719505671-(+M508/52)</f>
        <v>2.0003200751141304E-2</v>
      </c>
    </row>
    <row r="509" spans="1:14">
      <c r="A509" s="68">
        <v>0.11</v>
      </c>
      <c r="B509" s="69">
        <f t="shared" si="14"/>
        <v>1.1000000000000001E-3</v>
      </c>
      <c r="C509" s="70">
        <f t="shared" si="15"/>
        <v>2.1153846153846154E-5</v>
      </c>
      <c r="F509" s="71">
        <v>41166</v>
      </c>
      <c r="G509" s="69">
        <v>7.1461655582391744E-4</v>
      </c>
      <c r="H509" s="70">
        <f>-0.00016086764744036-(+G509/52)</f>
        <v>-1.7461027351389687E-4</v>
      </c>
      <c r="I509" s="70">
        <f>0.0204914992480493-(+H509/52)</f>
        <v>2.0494857137924566E-2</v>
      </c>
      <c r="J509" s="70">
        <f>-0.0258836510291824-(+I509/52)</f>
        <v>-2.6277782897219409E-2</v>
      </c>
      <c r="K509" s="70">
        <f>0.0455706265215879-(+J509/52)</f>
        <v>4.6075968500380579E-2</v>
      </c>
      <c r="L509" s="70">
        <f>-0.00455706307606611-(+K509/52)</f>
        <v>-5.4431393933811216E-3</v>
      </c>
      <c r="M509" s="70">
        <f>0.0433083319483388-(+L509/52)</f>
        <v>4.3413007705903825E-2</v>
      </c>
      <c r="N509" s="70">
        <f>0.0118541343492011-(+M509/52)</f>
        <v>1.1019268816395256E-2</v>
      </c>
    </row>
    <row r="510" spans="1:14">
      <c r="A510" s="68">
        <v>0.1</v>
      </c>
      <c r="B510" s="69">
        <f t="shared" si="14"/>
        <v>1E-3</v>
      </c>
      <c r="C510" s="70">
        <f t="shared" si="15"/>
        <v>1.9230769230769231E-5</v>
      </c>
      <c r="F510" s="71">
        <v>41173</v>
      </c>
      <c r="G510" s="69">
        <v>2.5935742694789192E-3</v>
      </c>
      <c r="H510" s="70">
        <f>-0.00131828892325896-(+G510/52)</f>
        <v>-1.36816535151817E-3</v>
      </c>
      <c r="I510" s="70">
        <f>-0.00856465954487032-(+H510/52)</f>
        <v>-8.5383486727257391E-3</v>
      </c>
      <c r="J510" s="70">
        <f>0.0207595292683975-(+I510/52)</f>
        <v>2.0923728281334535E-2</v>
      </c>
      <c r="K510" s="70">
        <f>0.00843937997167855-(+J510/52)</f>
        <v>8.0370005816528863E-3</v>
      </c>
      <c r="L510" s="70">
        <f>0.00689130228723903-(+K510/52)</f>
        <v>6.7367445837457048E-3</v>
      </c>
      <c r="M510" s="70">
        <f>-0.00671630669934889-(+L510/52)</f>
        <v>-6.8458594798055375E-3</v>
      </c>
      <c r="N510" s="70">
        <f>-0.00561776269819484-(+M510/52)</f>
        <v>-5.4861115543524252E-3</v>
      </c>
    </row>
    <row r="511" spans="1:14">
      <c r="A511" s="68">
        <v>0.11</v>
      </c>
      <c r="B511" s="69">
        <f t="shared" si="14"/>
        <v>1.1000000000000001E-3</v>
      </c>
      <c r="C511" s="70">
        <f t="shared" si="15"/>
        <v>2.1153846153846154E-5</v>
      </c>
      <c r="F511" s="71">
        <v>41180</v>
      </c>
      <c r="G511" s="69">
        <v>1.4195050910877473E-3</v>
      </c>
      <c r="H511" s="70">
        <f>-0.00249974015175135-(+G511/52)</f>
        <v>-2.5270383265799607E-3</v>
      </c>
      <c r="I511" s="70">
        <f>-0.00618569757404672-(+H511/52)</f>
        <v>-6.137100683150952E-3</v>
      </c>
      <c r="J511" s="70">
        <f>-0.00290041401688207-(+I511/52)</f>
        <v>-2.782392849898398E-3</v>
      </c>
      <c r="K511" s="70">
        <f>-0.0121620220716433-(+J511/52)</f>
        <v>-1.2108514516837561E-2</v>
      </c>
      <c r="L511" s="70">
        <f>-0.000441594051830909-(+K511/52)</f>
        <v>-2.0873800343018667E-4</v>
      </c>
      <c r="M511" s="70">
        <f>-0.0400012416319183-(+L511/52)</f>
        <v>-3.9997227439544647E-2</v>
      </c>
      <c r="N511" s="70">
        <f>0.00092293815964744-(+M511/52)</f>
        <v>1.692115610407914E-3</v>
      </c>
    </row>
    <row r="512" spans="1:14">
      <c r="A512" s="68">
        <v>0.1</v>
      </c>
      <c r="B512" s="69">
        <f t="shared" si="14"/>
        <v>1E-3</v>
      </c>
      <c r="C512" s="70">
        <f t="shared" si="15"/>
        <v>1.9230769230769231E-5</v>
      </c>
      <c r="F512" s="71">
        <v>41187</v>
      </c>
      <c r="G512" s="69">
        <v>-1.5154287923744187E-4</v>
      </c>
      <c r="H512" s="70">
        <f>0.0187507489358598-(+G512/52)</f>
        <v>1.8753663221998982E-2</v>
      </c>
      <c r="I512" s="70">
        <f>0.00685131341992223-(+H512/52)</f>
        <v>6.490666050268404E-3</v>
      </c>
      <c r="J512" s="70">
        <f>0.0212292389402265-(+I512/52)</f>
        <v>2.1104418439259798E-2</v>
      </c>
      <c r="K512" s="70">
        <f>0.0285588898906204-(+J512/52)</f>
        <v>2.8153035689865404E-2</v>
      </c>
      <c r="L512" s="70">
        <f>0.0244199805133317-(+K512/52)</f>
        <v>2.3878575980834288E-2</v>
      </c>
      <c r="M512" s="70">
        <f>0.0323773186320476-(+L512/52)</f>
        <v>3.1918115247800784E-2</v>
      </c>
      <c r="N512" s="70">
        <f>0.0207190183963367-(+M512/52)</f>
        <v>2.0105208487725144E-2</v>
      </c>
    </row>
    <row r="513" spans="1:14">
      <c r="A513" s="68">
        <v>0.1</v>
      </c>
      <c r="B513" s="69">
        <f t="shared" si="14"/>
        <v>1E-3</v>
      </c>
      <c r="C513" s="70">
        <f t="shared" si="15"/>
        <v>1.9230769230769231E-5</v>
      </c>
      <c r="F513" s="71">
        <v>41194</v>
      </c>
      <c r="G513" s="69">
        <v>1.8175296733452064E-3</v>
      </c>
      <c r="H513" s="70">
        <f>-0.0131176548803814-(+G513/52)</f>
        <v>-1.3152607374099576E-2</v>
      </c>
      <c r="I513" s="70">
        <f>-0.0114077686071531-(+H513/52)</f>
        <v>-1.1154833849958879E-2</v>
      </c>
      <c r="J513" s="70">
        <f>-0.0180522779539749-(+I513/52)</f>
        <v>-1.7837761918398767E-2</v>
      </c>
      <c r="K513" s="70">
        <f>-0.00339016065002038-(+J513/52)</f>
        <v>-3.04712676697425E-3</v>
      </c>
      <c r="L513" s="70">
        <f>-0.0139089009611367-(+K513/52)</f>
        <v>-1.3850302369464117E-2</v>
      </c>
      <c r="M513" s="70">
        <f>-0.016537036070366-(+L513/52)</f>
        <v>-1.6270684101722457E-2</v>
      </c>
      <c r="N513" s="70">
        <f>-0.021359229945353-(+M513/52)</f>
        <v>-2.104633217416603E-2</v>
      </c>
    </row>
    <row r="514" spans="1:14">
      <c r="A514" s="68">
        <v>0.1</v>
      </c>
      <c r="B514" s="69">
        <f t="shared" si="14"/>
        <v>1E-3</v>
      </c>
      <c r="C514" s="70">
        <f t="shared" si="15"/>
        <v>1.9230769230769231E-5</v>
      </c>
      <c r="F514" s="71">
        <v>41201</v>
      </c>
      <c r="G514" s="69">
        <v>-1.5855973976427922E-3</v>
      </c>
      <c r="H514" s="70">
        <f>0.0145046198172801-(+G514/52)</f>
        <v>1.4535112074927076E-2</v>
      </c>
      <c r="I514" s="70">
        <f>0.0267916404152165-(+H514/52)</f>
        <v>2.651211902916021E-2</v>
      </c>
      <c r="J514" s="70">
        <f>0.00538054126867497-(+I514/52)</f>
        <v>4.870692825806505E-3</v>
      </c>
      <c r="K514" s="70">
        <f>0.0401688282075266-(+J514/52)</f>
        <v>4.0075161037799546E-2</v>
      </c>
      <c r="L514" s="70">
        <f>0.0171404807471183-(+K514/52)</f>
        <v>1.6369804573314464E-2</v>
      </c>
      <c r="M514" s="70">
        <f>0.0183278309147461-(+L514/52)</f>
        <v>1.8013026980643901E-2</v>
      </c>
      <c r="N514" s="70">
        <f>0.00248953660353093-(+M514/52)</f>
        <v>2.1431322385185476E-3</v>
      </c>
    </row>
    <row r="515" spans="1:14">
      <c r="A515" s="68">
        <v>0.1</v>
      </c>
      <c r="B515" s="69">
        <f t="shared" si="14"/>
        <v>1E-3</v>
      </c>
      <c r="C515" s="70">
        <f t="shared" si="15"/>
        <v>1.9230769230769231E-5</v>
      </c>
      <c r="F515" s="71">
        <v>41208</v>
      </c>
      <c r="G515" s="69">
        <v>-2.4751453454677067E-3</v>
      </c>
      <c r="H515" s="70">
        <f>-0.0102619373556994-(+G515/52)</f>
        <v>-1.0214338406748097E-2</v>
      </c>
      <c r="I515" s="70">
        <f>-0.00465610757281937-(+H515/52)</f>
        <v>-4.459677988074214E-3</v>
      </c>
      <c r="J515" s="70">
        <f>-0.00849580158192424-(+I515/52)</f>
        <v>-8.4100385436920444E-3</v>
      </c>
      <c r="K515" s="70">
        <f>-0.0263370987585281-(+J515/52)</f>
        <v>-2.6175367248072484E-2</v>
      </c>
      <c r="L515" s="70">
        <f>-0.000502188185023064-(+K515/52)</f>
        <v>1.1842620552530341E-6</v>
      </c>
      <c r="M515" s="70">
        <f>-0.000510802428917682-(+L515/52)</f>
        <v>-5.1082520318797525E-4</v>
      </c>
      <c r="N515" s="70">
        <f>-0.00734891475328649-(+M515/52)</f>
        <v>-7.3390911916867219E-3</v>
      </c>
    </row>
    <row r="516" spans="1:14">
      <c r="A516" s="68">
        <v>0.11</v>
      </c>
      <c r="B516" s="69">
        <f t="shared" si="14"/>
        <v>1.1000000000000001E-3</v>
      </c>
      <c r="C516" s="70">
        <f t="shared" si="15"/>
        <v>2.1153846153846154E-5</v>
      </c>
      <c r="F516" s="71">
        <v>41215</v>
      </c>
      <c r="G516" s="69">
        <v>-8.6620648229078924E-4</v>
      </c>
      <c r="H516" s="70">
        <f>0.000366427026831649-(+G516/52)</f>
        <v>3.8308484379877955E-4</v>
      </c>
      <c r="I516" s="70">
        <f>-0.0000494491366181046-(+H516/52)</f>
        <v>-5.6816152845004204E-5</v>
      </c>
      <c r="J516" s="70">
        <f>-0.0354107322466467-(+I516/52)</f>
        <v>-3.5409639628322762E-2</v>
      </c>
      <c r="K516" s="70">
        <f>0.018875380218528-(+J516/52)</f>
        <v>1.9556334826764974E-2</v>
      </c>
      <c r="L516" s="70">
        <f>0.015266076706658-(+K516/52)</f>
        <v>1.4889993344604826E-2</v>
      </c>
      <c r="M516" s="70">
        <f>0.00865157464916543-(+L516/52)</f>
        <v>8.3652286233076457E-3</v>
      </c>
      <c r="N516" s="70">
        <f>-0.00522484030330071-(+M516/52)</f>
        <v>-5.3857100845181643E-3</v>
      </c>
    </row>
    <row r="517" spans="1:14">
      <c r="A517" s="68">
        <v>0.11</v>
      </c>
      <c r="B517" s="69">
        <f t="shared" ref="B517:B580" si="16">+A517/100</f>
        <v>1.1000000000000001E-3</v>
      </c>
      <c r="C517" s="70">
        <f t="shared" ref="C517:C580" si="17">+B517/52</f>
        <v>2.1153846153846154E-5</v>
      </c>
      <c r="F517" s="71">
        <v>41222</v>
      </c>
      <c r="G517" s="69">
        <v>1.4889344558113838E-3</v>
      </c>
      <c r="H517" s="70">
        <f>-0.0334822580145897-(+G517/52)</f>
        <v>-3.3510891369509146E-2</v>
      </c>
      <c r="I517" s="70">
        <f>0.00296379814523608-(+H517/52)</f>
        <v>3.6082383638804862E-3</v>
      </c>
      <c r="J517" s="70">
        <f>-0.0224785283886939-(+I517/52)</f>
        <v>-2.2547917587999296E-2</v>
      </c>
      <c r="K517" s="70">
        <f>-0.0241853291603908-(+J517/52)</f>
        <v>-2.3751715360621581E-2</v>
      </c>
      <c r="L517" s="70">
        <f>-0.00509447441677124-(+K517/52)</f>
        <v>-4.6377106598362097E-3</v>
      </c>
      <c r="M517" s="70">
        <f>-0.0351522107788394-(+L517/52)</f>
        <v>-3.5063024035381009E-2</v>
      </c>
      <c r="N517" s="70">
        <f>-0.02393373717394-(+M517/52)</f>
        <v>-2.3259448250182675E-2</v>
      </c>
    </row>
    <row r="518" spans="1:14">
      <c r="A518" s="68">
        <v>0.1</v>
      </c>
      <c r="B518" s="69">
        <f t="shared" si="16"/>
        <v>1E-3</v>
      </c>
      <c r="C518" s="70">
        <f t="shared" si="17"/>
        <v>1.9230769230769231E-5</v>
      </c>
      <c r="F518" s="71">
        <v>41229</v>
      </c>
      <c r="G518" s="69">
        <v>-4.059103386047108E-3</v>
      </c>
      <c r="H518" s="70">
        <f>-0.00723268425997094-(+G518/52)</f>
        <v>-7.1546245794700345E-3</v>
      </c>
      <c r="I518" s="70">
        <f>-0.0199752815341228-(+H518/52)</f>
        <v>-1.9837692599902222E-2</v>
      </c>
      <c r="J518" s="70">
        <f>-0.0133624304803471-(+I518/52)</f>
        <v>-1.2980936391887443E-2</v>
      </c>
      <c r="K518" s="70">
        <f>-0.0361165156227615-(+J518/52)</f>
        <v>-3.5866882230609819E-2</v>
      </c>
      <c r="L518" s="70">
        <f>-0.0210528458841002-(+K518/52)</f>
        <v>-2.0363098148896166E-2</v>
      </c>
      <c r="M518" s="70">
        <f>-0.0121853850399481-(+L518/52)</f>
        <v>-1.1793786998623174E-2</v>
      </c>
      <c r="N518" s="70">
        <f>-0.0080842733019949-(+M518/52)</f>
        <v>-7.8574697058675317E-3</v>
      </c>
    </row>
    <row r="519" spans="1:14">
      <c r="A519" s="68">
        <v>0.09</v>
      </c>
      <c r="B519" s="69">
        <f t="shared" si="16"/>
        <v>8.9999999999999998E-4</v>
      </c>
      <c r="C519" s="70">
        <f t="shared" si="17"/>
        <v>1.7307692307692306E-5</v>
      </c>
      <c r="F519" s="71">
        <v>41236</v>
      </c>
      <c r="G519" s="69">
        <v>9.7378715214697237E-4</v>
      </c>
      <c r="H519" s="70">
        <f>0.0154148901279107-(+G519/52)</f>
        <v>1.5396163451907873E-2</v>
      </c>
      <c r="I519" s="70">
        <f>0.0309744456630746-(+H519/52)</f>
        <v>3.0678365596691754E-2</v>
      </c>
      <c r="J519" s="70">
        <f>0.0268887311622072-(+I519/52)</f>
        <v>2.6298762593040051E-2</v>
      </c>
      <c r="K519" s="70">
        <f>0.0217435081124623-(+J519/52)</f>
        <v>2.1237762677980762E-2</v>
      </c>
      <c r="L519" s="70">
        <f>0.0257610793662927-(+K519/52)</f>
        <v>2.5352660853254608E-2</v>
      </c>
      <c r="M519" s="70">
        <f>0.0362313730383036-(+L519/52)</f>
        <v>3.5743821868048704E-2</v>
      </c>
      <c r="N519" s="70">
        <f>0.0268802101384505-(+M519/52)</f>
        <v>2.619282894868033E-2</v>
      </c>
    </row>
    <row r="520" spans="1:14">
      <c r="A520" s="68">
        <v>0.09</v>
      </c>
      <c r="B520" s="69">
        <f t="shared" si="16"/>
        <v>8.9999999999999998E-4</v>
      </c>
      <c r="C520" s="70">
        <f t="shared" si="17"/>
        <v>1.7307692307692306E-5</v>
      </c>
      <c r="F520" s="71">
        <v>41243</v>
      </c>
      <c r="G520" s="69">
        <v>3.7795791079345198E-3</v>
      </c>
      <c r="H520" s="70">
        <f>0.011484940907358-(+G520/52)</f>
        <v>1.1412256693743876E-2</v>
      </c>
      <c r="I520" s="70">
        <f>0.0157457772688232-(+H520/52)</f>
        <v>1.552631079394351E-2</v>
      </c>
      <c r="J520" s="70">
        <f>0.0154029769176364-(+I520/52)</f>
        <v>1.5104394017752871E-2</v>
      </c>
      <c r="K520" s="70">
        <f>0.0174469622670727-(+J520/52)</f>
        <v>1.7156493151346684E-2</v>
      </c>
      <c r="L520" s="70">
        <f>0.00585276308939978-(+K520/52)</f>
        <v>5.5228305287969588E-3</v>
      </c>
      <c r="M520" s="70">
        <f>0.0213954413627749-(+L520/52)</f>
        <v>2.1289233083374961E-2</v>
      </c>
      <c r="N520" s="70">
        <f>0.0101466215232011-(+M520/52)</f>
        <v>9.7372131946746581E-3</v>
      </c>
    </row>
    <row r="521" spans="1:14">
      <c r="A521" s="68">
        <v>0.09</v>
      </c>
      <c r="B521" s="69">
        <f t="shared" si="16"/>
        <v>8.9999999999999998E-4</v>
      </c>
      <c r="C521" s="70">
        <f t="shared" si="17"/>
        <v>1.7307692307692306E-5</v>
      </c>
      <c r="F521" s="71">
        <v>41250</v>
      </c>
      <c r="G521" s="69">
        <v>7.7402395434419898E-5</v>
      </c>
      <c r="H521" s="70">
        <f>0.00146054181389869-(+G521/52)</f>
        <v>1.4590533062941819E-3</v>
      </c>
      <c r="I521" s="70">
        <f>0.0186116377985037-(+H521/52)</f>
        <v>1.8583579081074966E-2</v>
      </c>
      <c r="J521" s="70">
        <f>-0.00960499602265306-(+I521/52)</f>
        <v>-9.9623725434429631E-3</v>
      </c>
      <c r="K521" s="70">
        <f>-0.00347291083428275-(+J521/52)</f>
        <v>-3.281326746908847E-3</v>
      </c>
      <c r="L521" s="70">
        <f>0.00743177686582969-(+K521/52)</f>
        <v>7.4948793032702452E-3</v>
      </c>
      <c r="M521" s="70">
        <f>0.00734973783884913-(+L521/52)</f>
        <v>7.2056055445554714E-3</v>
      </c>
      <c r="N521" s="70">
        <f>-0.00042556334387278-(+M521/52)</f>
        <v>-5.641326812680775E-4</v>
      </c>
    </row>
    <row r="522" spans="1:14">
      <c r="A522" s="68">
        <v>0.1</v>
      </c>
      <c r="B522" s="69">
        <f t="shared" si="16"/>
        <v>1E-3</v>
      </c>
      <c r="C522" s="70">
        <f t="shared" si="17"/>
        <v>1.9230769230769231E-5</v>
      </c>
      <c r="F522" s="71">
        <v>41257</v>
      </c>
      <c r="G522" s="69">
        <v>-1.244717336895242E-3</v>
      </c>
      <c r="H522" s="70">
        <f>0.00606887467068129-(+G522/52)</f>
        <v>6.0928115425446603E-3</v>
      </c>
      <c r="I522" s="70">
        <f>0.0105491533950666-(+H522/52)</f>
        <v>1.0431983942325355E-2</v>
      </c>
      <c r="J522" s="70">
        <f>0.0079719005490421-(+I522/52)</f>
        <v>7.7712854732281513E-3</v>
      </c>
      <c r="K522" s="70">
        <f>0.0000509098987356422-(+J522/52)</f>
        <v>-9.8537898826437645E-5</v>
      </c>
      <c r="L522" s="70">
        <f>0.0211412809249905-(+K522/52)</f>
        <v>2.1143175884583316E-2</v>
      </c>
      <c r="M522" s="70">
        <f>0.0174160361854658-(+L522/52)</f>
        <v>1.7009436649223813E-2</v>
      </c>
      <c r="N522" s="70">
        <f>0.0029098406800653-(+M522/52)</f>
        <v>2.5827361291186884E-3</v>
      </c>
    </row>
    <row r="523" spans="1:14">
      <c r="A523" s="68">
        <v>7.0000000000000007E-2</v>
      </c>
      <c r="B523" s="69">
        <f t="shared" si="16"/>
        <v>7.000000000000001E-4</v>
      </c>
      <c r="C523" s="70">
        <f t="shared" si="17"/>
        <v>1.3461538461538463E-5</v>
      </c>
      <c r="F523" s="71">
        <v>41264</v>
      </c>
      <c r="G523" s="69">
        <v>5.1422083754987366E-4</v>
      </c>
      <c r="H523" s="70">
        <f>0.0074559010729223-(+G523/52)</f>
        <v>7.446012210661726E-3</v>
      </c>
      <c r="I523" s="70">
        <f>-0.00972961199788418-(+H523/52)</f>
        <v>-9.8728045403969067E-3</v>
      </c>
      <c r="J523" s="70">
        <f>0.00624383050081467-(+I523/52)</f>
        <v>6.4336921265915337E-3</v>
      </c>
      <c r="K523" s="70">
        <f>0.00808500594689917-(+J523/52)</f>
        <v>7.9612810983108705E-3</v>
      </c>
      <c r="L523" s="70">
        <f>0.00478296349918897-(+K523/52)</f>
        <v>4.629861939606069E-3</v>
      </c>
      <c r="M523" s="70">
        <f>0.00926657531780401-(+L523/52)</f>
        <v>9.177539511273123E-3</v>
      </c>
      <c r="N523" s="70">
        <f>0.0142859648815059-(+M523/52)</f>
        <v>1.4109473737058339E-2</v>
      </c>
    </row>
    <row r="524" spans="1:14">
      <c r="A524" s="68">
        <v>0.06</v>
      </c>
      <c r="B524" s="69">
        <f t="shared" si="16"/>
        <v>5.9999999999999995E-4</v>
      </c>
      <c r="C524" s="70">
        <f t="shared" si="17"/>
        <v>1.1538461538461538E-5</v>
      </c>
      <c r="F524" s="71">
        <v>41271</v>
      </c>
      <c r="G524" s="69">
        <v>-1.5907542212163293E-3</v>
      </c>
      <c r="H524" s="70">
        <f>-0.0133935018050542-(+G524/52)</f>
        <v>-1.3362910377723117E-2</v>
      </c>
      <c r="I524" s="70">
        <f>-0.00149876045911714-(+H524/52)</f>
        <v>-1.2417814133916954E-3</v>
      </c>
      <c r="J524" s="70">
        <f>-0.00799372793746847-(+I524/52)</f>
        <v>-7.9698475256724764E-3</v>
      </c>
      <c r="K524" s="70">
        <f>-0.00803393534288836-(+J524/52)</f>
        <v>-7.8806690443177368E-3</v>
      </c>
      <c r="L524" s="70">
        <f>-0.00895540795013802-(+K524/52)</f>
        <v>-8.8038566223626793E-3</v>
      </c>
      <c r="M524" s="70">
        <f>0.00756123060762366-(+L524/52)</f>
        <v>7.7305355426690965E-3</v>
      </c>
      <c r="N524" s="70">
        <f>-0.0143960540561108-(+M524/52)</f>
        <v>-1.4544718201162129E-2</v>
      </c>
    </row>
    <row r="525" spans="1:14">
      <c r="A525" s="68">
        <v>0.06</v>
      </c>
      <c r="B525" s="69">
        <f t="shared" si="16"/>
        <v>5.9999999999999995E-4</v>
      </c>
      <c r="C525" s="70">
        <f t="shared" si="17"/>
        <v>1.1538461538461538E-5</v>
      </c>
      <c r="F525" s="71">
        <v>41278</v>
      </c>
      <c r="G525" s="69">
        <v>-6.1742104943223715E-3</v>
      </c>
      <c r="H525" s="70">
        <f>0.0214319691797829-(+G525/52)</f>
        <v>2.1550703996981405E-2</v>
      </c>
      <c r="I525" s="70">
        <f>0.0178390489197133-(+H525/52)</f>
        <v>1.7424612304386734E-2</v>
      </c>
      <c r="J525" s="70">
        <f>0.0192934728648307-(+I525/52)</f>
        <v>1.8958384166669416E-2</v>
      </c>
      <c r="K525" s="70">
        <f>0.0367694700012958-(+J525/52)</f>
        <v>3.6404885690398313E-2</v>
      </c>
      <c r="L525" s="70">
        <f>0.0198398327172439-(+K525/52)</f>
        <v>1.9139738761659319E-2</v>
      </c>
      <c r="M525" s="70">
        <f>0.0156286114731122-(+L525/52)</f>
        <v>1.526053957384952E-2</v>
      </c>
      <c r="N525" s="70">
        <f>0.0338275807611996-(+M525/52)</f>
        <v>3.3534108846317877E-2</v>
      </c>
    </row>
    <row r="526" spans="1:14">
      <c r="A526" s="68">
        <v>7.0000000000000007E-2</v>
      </c>
      <c r="B526" s="69">
        <f t="shared" si="16"/>
        <v>7.000000000000001E-4</v>
      </c>
      <c r="C526" s="70">
        <f t="shared" si="17"/>
        <v>1.3461538461538463E-5</v>
      </c>
      <c r="F526" s="71">
        <v>41285</v>
      </c>
      <c r="G526" s="69">
        <v>3.422539844028761E-3</v>
      </c>
      <c r="H526" s="70">
        <f>-0.0136435981023833-(+G526/52)</f>
        <v>-1.3709416176306929E-2</v>
      </c>
      <c r="I526" s="70">
        <f>-0.00354917994775162-(+H526/52)</f>
        <v>-3.2855373289764869E-3</v>
      </c>
      <c r="J526" s="70">
        <f>0.0102122320798898-(+I526/52)</f>
        <v>1.0275415490062424E-2</v>
      </c>
      <c r="K526" s="70">
        <f>0.0205605724463331-(+J526/52)</f>
        <v>2.0362968302293439E-2</v>
      </c>
      <c r="L526" s="70">
        <f>0.00663028310761351-(+K526/52)</f>
        <v>6.2386875633386359E-3</v>
      </c>
      <c r="M526" s="70">
        <f>0.00735027091413539-(+L526/52)</f>
        <v>7.2302961533019542E-3</v>
      </c>
      <c r="N526" s="70">
        <f>0.00646674632702378-(+M526/52)</f>
        <v>6.3277021702295121E-3</v>
      </c>
    </row>
    <row r="527" spans="1:14">
      <c r="A527" s="68">
        <v>7.0000000000000007E-2</v>
      </c>
      <c r="B527" s="69">
        <f t="shared" si="16"/>
        <v>7.000000000000001E-4</v>
      </c>
      <c r="C527" s="70">
        <f t="shared" si="17"/>
        <v>1.3461538461538463E-5</v>
      </c>
      <c r="F527" s="71">
        <v>41292</v>
      </c>
      <c r="G527" s="69">
        <v>1.08652496322006E-4</v>
      </c>
      <c r="H527" s="70">
        <f>-0.00439458951835911-(+G527/52)</f>
        <v>-4.3966789894422254E-3</v>
      </c>
      <c r="I527" s="70">
        <f>0.00187709233742976-(+H527/52)</f>
        <v>1.9616438564574951E-3</v>
      </c>
      <c r="J527" s="70">
        <f>0.0019053202403635-(+I527/52)</f>
        <v>1.8675963200470097E-3</v>
      </c>
      <c r="K527" s="70">
        <f>-0.00116346713205346-(+J527/52)</f>
        <v>-1.1993824459005178E-3</v>
      </c>
      <c r="L527" s="70">
        <f>0.0104411916302628-(+K527/52)</f>
        <v>1.0464256677299348E-2</v>
      </c>
      <c r="M527" s="70">
        <f>-0.00691209905739717-(+L527/52)</f>
        <v>-7.1133347627298496E-3</v>
      </c>
      <c r="N527" s="70">
        <f>0.0131741818414848-(+M527/52)</f>
        <v>1.3310976740768067E-2</v>
      </c>
    </row>
    <row r="528" spans="1:14">
      <c r="A528" s="68">
        <v>0.08</v>
      </c>
      <c r="B528" s="69">
        <f t="shared" si="16"/>
        <v>8.0000000000000004E-4</v>
      </c>
      <c r="C528" s="70">
        <f t="shared" si="17"/>
        <v>1.5384615384615384E-5</v>
      </c>
      <c r="F528" s="71">
        <v>41299</v>
      </c>
      <c r="G528" s="69">
        <v>-2.5917033607703618E-3</v>
      </c>
      <c r="H528" s="70">
        <f>0.0152535306686122-(+G528/52)</f>
        <v>1.5303371117857784E-2</v>
      </c>
      <c r="I528" s="70">
        <f>0.0214671489446042-(+H528/52)</f>
        <v>2.1172853346183858E-2</v>
      </c>
      <c r="J528" s="70">
        <f>0.0209648609528503-(+I528/52)</f>
        <v>2.0557690696192919E-2</v>
      </c>
      <c r="K528" s="70">
        <f>0.00668240198632856-(+J528/52)</f>
        <v>6.2870617806325422E-3</v>
      </c>
      <c r="L528" s="70">
        <f>0.00260895822642104-(+K528/52)</f>
        <v>2.4880531921781064E-3</v>
      </c>
      <c r="M528" s="70">
        <f>0.0208225437191135-(+L528/52)</f>
        <v>2.0774696542340845E-2</v>
      </c>
      <c r="N528" s="70">
        <f>0.00153464604936837-(+M528/52)</f>
        <v>1.1351326543233538E-3</v>
      </c>
    </row>
    <row r="529" spans="1:14">
      <c r="A529" s="68">
        <v>0.08</v>
      </c>
      <c r="B529" s="69">
        <f t="shared" si="16"/>
        <v>8.0000000000000004E-4</v>
      </c>
      <c r="C529" s="70">
        <f t="shared" si="17"/>
        <v>1.5384615384615384E-5</v>
      </c>
      <c r="F529" s="71">
        <v>41306</v>
      </c>
      <c r="G529" s="69">
        <v>-1.1318671642777667E-3</v>
      </c>
      <c r="H529" s="70">
        <f>0.00512275622763928-(+G529/52)</f>
        <v>5.1445229038753907E-3</v>
      </c>
      <c r="I529" s="70">
        <f>0.0159105516547216-(+H529/52)</f>
        <v>1.5811618521954764E-2</v>
      </c>
      <c r="J529" s="70">
        <f>0.000716402603180862-(+I529/52)</f>
        <v>4.1233301622019351E-4</v>
      </c>
      <c r="K529" s="70">
        <f>0.0142287297672335-(+J529/52)</f>
        <v>1.4220800286152342E-2</v>
      </c>
      <c r="L529" s="70">
        <f>-0.0105743487162495-(+K529/52)</f>
        <v>-1.0847825644829353E-2</v>
      </c>
      <c r="M529" s="70">
        <f>0.011242028401413-(+L529/52)</f>
        <v>1.1450640433044333E-2</v>
      </c>
      <c r="N529" s="70">
        <f>0.0106728800489271-(+M529/52)</f>
        <v>1.0452675425214709E-2</v>
      </c>
    </row>
    <row r="530" spans="1:14">
      <c r="A530" s="68">
        <v>7.0000000000000007E-2</v>
      </c>
      <c r="B530" s="69">
        <f t="shared" si="16"/>
        <v>7.000000000000001E-4</v>
      </c>
      <c r="C530" s="70">
        <f t="shared" si="17"/>
        <v>1.3461538461538463E-5</v>
      </c>
      <c r="F530" s="71">
        <v>41313</v>
      </c>
      <c r="G530" s="69">
        <v>-3.0921573139724031E-3</v>
      </c>
      <c r="H530" s="70">
        <f>-0.00439700737941431-(+G530/52)</f>
        <v>-4.3375428156840722E-3</v>
      </c>
      <c r="I530" s="70">
        <f>-0.0142110226445274-(+H530/52)</f>
        <v>-1.4127608359610399E-2</v>
      </c>
      <c r="J530" s="70">
        <f>0.00798782233877403-(+I530/52)</f>
        <v>8.2595071149203832E-3</v>
      </c>
      <c r="K530" s="70">
        <f>0.0110354351984491-(+J530/52)</f>
        <v>1.0876598523162169E-2</v>
      </c>
      <c r="L530" s="70">
        <f>-0.00793283293608876-(+K530/52)</f>
        <v>-8.1419982923034168E-3</v>
      </c>
      <c r="M530" s="70">
        <f>-0.0187175303362779-(+L530/52)</f>
        <v>-1.8560953446041296E-2</v>
      </c>
      <c r="N530" s="70">
        <f>0.00253562537203973-(+M530/52)</f>
        <v>2.8925667844636009E-3</v>
      </c>
    </row>
    <row r="531" spans="1:14">
      <c r="A531" s="68">
        <v>7.0000000000000007E-2</v>
      </c>
      <c r="B531" s="69">
        <f t="shared" si="16"/>
        <v>7.000000000000001E-4</v>
      </c>
      <c r="C531" s="70">
        <f t="shared" si="17"/>
        <v>1.3461538461538463E-5</v>
      </c>
      <c r="F531" s="71">
        <v>41320</v>
      </c>
      <c r="G531" s="69">
        <v>-7.6385437549730969E-4</v>
      </c>
      <c r="H531" s="70">
        <f>-0.0102537008730265-(+G531/52)</f>
        <v>-1.0239011365805397E-2</v>
      </c>
      <c r="I531" s="70">
        <f>9.08182726356835E-06-(+H531/52)</f>
        <v>2.0598589199059524E-4</v>
      </c>
      <c r="J531" s="70">
        <f>-0.0157593337420194-(+I531/52)</f>
        <v>-1.5763295009173065E-2</v>
      </c>
      <c r="K531" s="70">
        <f>-0.0115725127369755-(+J531/52)</f>
        <v>-1.1269372448337556E-2</v>
      </c>
      <c r="L531" s="70">
        <f>-0.0192842847066594-(+K531/52)</f>
        <v>-1.9067566005729831E-2</v>
      </c>
      <c r="M531" s="70">
        <f>0.000439594044456372-(+L531/52)</f>
        <v>8.0627800610502264E-4</v>
      </c>
      <c r="N531" s="70">
        <f>-0.00796816669837749-(+M531/52)</f>
        <v>-7.9836720446487403E-3</v>
      </c>
    </row>
    <row r="532" spans="1:14">
      <c r="A532" s="68">
        <v>0.1</v>
      </c>
      <c r="B532" s="69">
        <f t="shared" si="16"/>
        <v>1E-3</v>
      </c>
      <c r="C532" s="70">
        <f t="shared" si="17"/>
        <v>1.9230769230769231E-5</v>
      </c>
      <c r="F532" s="71">
        <v>41327</v>
      </c>
      <c r="G532" s="69">
        <v>-2.5038204632759216E-4</v>
      </c>
      <c r="H532" s="70">
        <f>0.013697494234407-(+G532/52)</f>
        <v>1.3702309273759454E-2</v>
      </c>
      <c r="I532" s="70">
        <f>0.00268819645630322-(+H532/52)</f>
        <v>2.4246905087309226E-3</v>
      </c>
      <c r="J532" s="70">
        <f>0.0079032919622647-(+I532/52)</f>
        <v>7.8566632986352587E-3</v>
      </c>
      <c r="K532" s="70">
        <f>-0.0190641322214736-(+J532/52)</f>
        <v>-1.9215221900293511E-2</v>
      </c>
      <c r="L532" s="70">
        <f>0.0114579255476523-(+K532/52)</f>
        <v>1.1827449045734868E-2</v>
      </c>
      <c r="M532" s="70">
        <f>-0.0105121885985023-(+L532/52)</f>
        <v>-1.073963954168951E-2</v>
      </c>
      <c r="N532" s="70">
        <f>-0.000171952554322121-(+M532/52)</f>
        <v>3.4578975325754167E-5</v>
      </c>
    </row>
    <row r="533" spans="1:14">
      <c r="A533" s="68">
        <v>0.13</v>
      </c>
      <c r="B533" s="69">
        <f t="shared" si="16"/>
        <v>1.2999999999999999E-3</v>
      </c>
      <c r="C533" s="70">
        <f t="shared" si="17"/>
        <v>2.4999999999999998E-5</v>
      </c>
      <c r="F533" s="71">
        <v>41334</v>
      </c>
      <c r="G533" s="69">
        <v>3.6115617555367951E-3</v>
      </c>
      <c r="H533" s="70">
        <f>0.00252047566948541-(+G533/52)</f>
        <v>2.4510225588020101E-3</v>
      </c>
      <c r="I533" s="70">
        <f>0.00148541306257758-(+H533/52)</f>
        <v>1.4382780133698489E-3</v>
      </c>
      <c r="J533" s="70">
        <f>-0.00206489342060146-(+I533/52)</f>
        <v>-2.0925526131662644E-3</v>
      </c>
      <c r="K533" s="70">
        <f>-0.00734158495981388-(+J533/52)</f>
        <v>-7.3013435634068369E-3</v>
      </c>
      <c r="L533" s="70">
        <f>0.0160813108720837-(+K533/52)</f>
        <v>1.6221721325226139E-2</v>
      </c>
      <c r="M533" s="70">
        <f>-0.0164595149028599-(+L533/52)</f>
        <v>-1.677147108219117E-2</v>
      </c>
      <c r="N533" s="70">
        <f>0.000883062075625707-(+M533/52)</f>
        <v>1.2055903656678448E-3</v>
      </c>
    </row>
    <row r="534" spans="1:14">
      <c r="A534" s="68">
        <v>0.12</v>
      </c>
      <c r="B534" s="69">
        <f t="shared" si="16"/>
        <v>1.1999999999999999E-3</v>
      </c>
      <c r="C534" s="70">
        <f t="shared" si="17"/>
        <v>2.3076923076923076E-5</v>
      </c>
      <c r="F534" s="71">
        <v>41341</v>
      </c>
      <c r="G534" s="69">
        <v>-5.7531420935452542E-3</v>
      </c>
      <c r="H534" s="70">
        <f>0.00454380874185957-(+G534/52)</f>
        <v>4.6544460898123637E-3</v>
      </c>
      <c r="I534" s="70">
        <f>0.00726531670450055-(+H534/52)</f>
        <v>7.1758081258503125E-3</v>
      </c>
      <c r="J534" s="70">
        <f>-0.00374564361258267-(+I534/52)</f>
        <v>-3.8836399226951758E-3</v>
      </c>
      <c r="K534" s="70">
        <f>0.01418352190336-(+J534/52)</f>
        <v>1.4258207286488755E-2</v>
      </c>
      <c r="L534" s="70">
        <f>0.00936727964358431-(+K534/52)</f>
        <v>9.093083349613373E-3</v>
      </c>
      <c r="M534" s="70">
        <f>0.00733688317424475-(+L534/52)</f>
        <v>7.1620161867521851E-3</v>
      </c>
      <c r="N534" s="70">
        <f>0.0162710161784922-(+M534/52)</f>
        <v>1.6133285097977734E-2</v>
      </c>
    </row>
    <row r="535" spans="1:14">
      <c r="A535" s="68">
        <v>0.1</v>
      </c>
      <c r="B535" s="69">
        <f t="shared" si="16"/>
        <v>1E-3</v>
      </c>
      <c r="C535" s="70">
        <f t="shared" si="17"/>
        <v>1.9230769230769231E-5</v>
      </c>
      <c r="F535" s="71">
        <v>41348</v>
      </c>
      <c r="G535" s="69">
        <v>9.4764958048901705E-4</v>
      </c>
      <c r="H535" s="70">
        <f>0.0115543552202739-(+G535/52)</f>
        <v>1.1536131189879881E-2</v>
      </c>
      <c r="I535" s="70">
        <f>-0.0143180804673728-(+H535/52)</f>
        <v>-1.453992914410126E-2</v>
      </c>
      <c r="J535" s="70">
        <f>-0.00785297651308127-(+I535/52)</f>
        <v>-7.5733624910793223E-3</v>
      </c>
      <c r="K535" s="70">
        <f>0.01646233610458-(+J535/52)</f>
        <v>1.6607977690946907E-2</v>
      </c>
      <c r="L535" s="70">
        <f>-0.0160675370107897-(+K535/52)</f>
        <v>-1.6386921197154063E-2</v>
      </c>
      <c r="M535" s="70">
        <f>0.00445288901880536-(+L535/52)</f>
        <v>4.7680221187506302E-3</v>
      </c>
      <c r="N535" s="70">
        <f>0.00673715972791233-(+M535/52)</f>
        <v>6.6454669948594327E-3</v>
      </c>
    </row>
    <row r="536" spans="1:14">
      <c r="A536" s="68">
        <v>0.1</v>
      </c>
      <c r="B536" s="69">
        <f t="shared" si="16"/>
        <v>1E-3</v>
      </c>
      <c r="C536" s="70">
        <f t="shared" si="17"/>
        <v>1.9230769230769231E-5</v>
      </c>
      <c r="F536" s="71">
        <v>41355</v>
      </c>
      <c r="G536" s="69">
        <v>3.2287447858868946E-3</v>
      </c>
      <c r="H536" s="70">
        <f>0.0104889138704595-(+G536/52)</f>
        <v>1.0426822624577061E-2</v>
      </c>
      <c r="I536" s="70">
        <f>0.0047944519173253-(+H536/52)</f>
        <v>4.5939360976218948E-3</v>
      </c>
      <c r="J536" s="70">
        <f>0.0149363771454329-(+I536/52)</f>
        <v>1.4848032220478634E-2</v>
      </c>
      <c r="K536" s="70">
        <f>-0.00221472578872877-(+J536/52)</f>
        <v>-2.5002648698918208E-3</v>
      </c>
      <c r="L536" s="70">
        <f>0.00924975215514427-(+K536/52)</f>
        <v>9.2978341718729599E-3</v>
      </c>
      <c r="M536" s="70">
        <f>0.00619864774413854-(+L536/52)</f>
        <v>6.0198432408332904E-3</v>
      </c>
      <c r="N536" s="70">
        <f>0.0160745429881791-(+M536/52)</f>
        <v>1.5958776772009228E-2</v>
      </c>
    </row>
    <row r="537" spans="1:14">
      <c r="A537" s="68">
        <v>7.0000000000000007E-2</v>
      </c>
      <c r="B537" s="69">
        <f t="shared" si="16"/>
        <v>7.000000000000001E-4</v>
      </c>
      <c r="C537" s="70">
        <f t="shared" si="17"/>
        <v>1.3461538461538463E-5</v>
      </c>
      <c r="F537" s="71">
        <v>41362</v>
      </c>
      <c r="G537" s="69">
        <v>2.33852854874681E-3</v>
      </c>
      <c r="H537" s="70">
        <f>0.0131563263603314-(+G537/52)</f>
        <v>1.3111354657470884E-2</v>
      </c>
      <c r="I537" s="70">
        <f>0.015441891949063-(+H537/52)</f>
        <v>1.5189750513342405E-2</v>
      </c>
      <c r="J537" s="70">
        <f>0.0148106606646166-(+I537/52)</f>
        <v>1.4518550077821553E-2</v>
      </c>
      <c r="K537" s="70">
        <f>-0.00937562936268864-(+J537/52)</f>
        <v>-9.6548322488005916E-3</v>
      </c>
      <c r="L537" s="70">
        <f>-0.00525694579441762-(+K537/52)</f>
        <v>-5.0712759434791473E-3</v>
      </c>
      <c r="M537" s="70">
        <f>-0.0235186934809016-(+L537/52)</f>
        <v>-2.3421168943527002E-2</v>
      </c>
      <c r="N537" s="70">
        <f>0.0145996306385631-(+M537/52)</f>
        <v>1.5050037733630927E-2</v>
      </c>
    </row>
    <row r="538" spans="1:14">
      <c r="A538" s="68">
        <v>0.08</v>
      </c>
      <c r="B538" s="69">
        <f t="shared" si="16"/>
        <v>8.0000000000000004E-4</v>
      </c>
      <c r="C538" s="70">
        <f t="shared" si="17"/>
        <v>1.5384615384615384E-5</v>
      </c>
      <c r="F538" s="71">
        <v>41369</v>
      </c>
      <c r="G538" s="69">
        <v>4.3633584730988946E-3</v>
      </c>
      <c r="H538" s="70">
        <f>0.0177649671318696-(+G538/52)</f>
        <v>1.7681056392002317E-2</v>
      </c>
      <c r="I538" s="70">
        <f>0.0110645541442974-(+H538/52)</f>
        <v>1.0724533829066586E-2</v>
      </c>
      <c r="J538" s="70">
        <f>-0.00198796834086227-(+I538/52)</f>
        <v>-2.1942093760366275E-3</v>
      </c>
      <c r="K538" s="70">
        <f>-0.0259794189019089-(+J538/52)</f>
        <v>-2.593722256775435E-2</v>
      </c>
      <c r="L538" s="70">
        <f>0.0113008671203395-(+K538/52)</f>
        <v>1.1799659862027084E-2</v>
      </c>
      <c r="M538" s="70">
        <f>-0.0059830283404008-(+L538/52)</f>
        <v>-6.2099448762090136E-3</v>
      </c>
      <c r="N538" s="70">
        <f>-0.0176352642626649-(+M538/52)</f>
        <v>-1.7515842245814726E-2</v>
      </c>
    </row>
    <row r="539" spans="1:14">
      <c r="A539" s="68">
        <v>7.0000000000000007E-2</v>
      </c>
      <c r="B539" s="69">
        <f t="shared" si="16"/>
        <v>7.000000000000001E-4</v>
      </c>
      <c r="C539" s="70">
        <f t="shared" si="17"/>
        <v>1.3461538461538463E-5</v>
      </c>
      <c r="F539" s="71">
        <v>41376</v>
      </c>
      <c r="G539" s="69">
        <v>2.3576375709663907E-4</v>
      </c>
      <c r="H539" s="70">
        <f>0.0176812557496593-(+G539/52)</f>
        <v>1.7676721831253597E-2</v>
      </c>
      <c r="I539" s="70">
        <f>0.0135719037163057-(+H539/52)</f>
        <v>1.3231966758012362E-2</v>
      </c>
      <c r="J539" s="70">
        <f>0.0233085333313512-(+I539/52)</f>
        <v>2.3054072432158654E-2</v>
      </c>
      <c r="K539" s="70">
        <f>0.0393335020894675-(+J539/52)</f>
        <v>3.8890154542695218E-2</v>
      </c>
      <c r="L539" s="70">
        <f>0.0297532734136533-(+K539/52)</f>
        <v>2.9005385826293775E-2</v>
      </c>
      <c r="M539" s="70">
        <f>0.0367399844061165-(+L539/52)</f>
        <v>3.6182188524841619E-2</v>
      </c>
      <c r="N539" s="70">
        <f>0.0260427795548553-(+M539/52)</f>
        <v>2.5346968237069882E-2</v>
      </c>
    </row>
    <row r="540" spans="1:14">
      <c r="A540" s="68">
        <v>7.0000000000000007E-2</v>
      </c>
      <c r="B540" s="69">
        <f t="shared" si="16"/>
        <v>7.000000000000001E-4</v>
      </c>
      <c r="C540" s="70">
        <f t="shared" si="17"/>
        <v>1.3461538461538463E-5</v>
      </c>
      <c r="F540" s="71">
        <v>41383</v>
      </c>
      <c r="G540" s="69">
        <v>-1.6850182597930056E-3</v>
      </c>
      <c r="H540" s="70">
        <f>0.000108854097646867-(+G540/52)</f>
        <v>1.4125829495057865E-4</v>
      </c>
      <c r="I540" s="70">
        <f>-0.0214573828904307-(+H540/52)</f>
        <v>-2.1460099396102824E-2</v>
      </c>
      <c r="J540" s="70">
        <f>0.00826560332367326-(+I540/52)</f>
        <v>8.6782975428290835E-3</v>
      </c>
      <c r="K540" s="70">
        <f>-0.0164121452438536-(+J540/52)</f>
        <v>-1.6579035581215699E-2</v>
      </c>
      <c r="L540" s="70">
        <f>-0.00212693728994439-(+K540/52)</f>
        <v>-1.8081096826133188E-3</v>
      </c>
      <c r="M540" s="70">
        <f>-0.0109360554515015-(+L540/52)</f>
        <v>-1.0901284111451243E-2</v>
      </c>
      <c r="N540" s="70">
        <f>-0.00333201751795771-(+M540/52)</f>
        <v>-3.1223774388913403E-3</v>
      </c>
    </row>
    <row r="541" spans="1:14">
      <c r="A541" s="68">
        <v>0.06</v>
      </c>
      <c r="B541" s="69">
        <f t="shared" si="16"/>
        <v>5.9999999999999995E-4</v>
      </c>
      <c r="C541" s="70">
        <f t="shared" si="17"/>
        <v>1.1538461538461538E-5</v>
      </c>
      <c r="F541" s="71">
        <v>41390</v>
      </c>
      <c r="G541" s="69">
        <v>5.5593513510318734E-3</v>
      </c>
      <c r="H541" s="70">
        <f>0.0175851217376901-(+G541/52)</f>
        <v>1.7478211134785638E-2</v>
      </c>
      <c r="I541" s="70">
        <f>-0.00143633816860939-(+H541/52)</f>
        <v>-1.7724576135091138E-3</v>
      </c>
      <c r="J541" s="70">
        <f>-0.00985830265745562-(+I541/52)</f>
        <v>-9.8242169341189074E-3</v>
      </c>
      <c r="K541" s="70">
        <f>0.0177459783746684-(+J541/52)</f>
        <v>1.7934905623401456E-2</v>
      </c>
      <c r="L541" s="70">
        <f>0.0236796279179278-(+K541/52)</f>
        <v>2.3334725886708544E-2</v>
      </c>
      <c r="M541" s="70">
        <f>0.0299308394195934-(+L541/52)</f>
        <v>2.9482094691002849E-2</v>
      </c>
      <c r="N541" s="70">
        <f>0.00914378381749847-(+M541/52)</f>
        <v>8.5768204580561076E-3</v>
      </c>
    </row>
    <row r="542" spans="1:14">
      <c r="A542" s="68">
        <v>0.05</v>
      </c>
      <c r="B542" s="69">
        <f t="shared" si="16"/>
        <v>5.0000000000000001E-4</v>
      </c>
      <c r="C542" s="70">
        <f t="shared" si="17"/>
        <v>9.6153846153846157E-6</v>
      </c>
      <c r="F542" s="71">
        <v>41397</v>
      </c>
      <c r="G542" s="69">
        <v>-5.2259265477994413E-4</v>
      </c>
      <c r="H542" s="70">
        <f>0.0138724183954871-(+G542/52)</f>
        <v>1.3882468254232869E-2</v>
      </c>
      <c r="I542" s="70">
        <f>0.0238822648328003-(+H542/52)</f>
        <v>2.3615294289449668E-2</v>
      </c>
      <c r="J542" s="70">
        <f>0.00891606674499912-(+I542/52)</f>
        <v>8.4619264702020108E-3</v>
      </c>
      <c r="K542" s="70">
        <f>-0.0170225117168493-(+J542/52)</f>
        <v>-1.7185241072045492E-2</v>
      </c>
      <c r="L542" s="70">
        <f>0.00756606357111168-(+K542/52)</f>
        <v>7.8965489763433237E-3</v>
      </c>
      <c r="M542" s="70">
        <f>0.0211609359717102-(+L542/52)</f>
        <v>2.1009079260626676E-2</v>
      </c>
      <c r="N542" s="70">
        <f>0.00783096972375285-(+M542/52)</f>
        <v>7.4269489687407977E-3</v>
      </c>
    </row>
    <row r="543" spans="1:14">
      <c r="A543" s="68">
        <v>0.05</v>
      </c>
      <c r="B543" s="69">
        <f t="shared" si="16"/>
        <v>5.0000000000000001E-4</v>
      </c>
      <c r="C543" s="70">
        <f t="shared" si="17"/>
        <v>9.6153846153846157E-6</v>
      </c>
      <c r="F543" s="71">
        <v>41404</v>
      </c>
      <c r="G543" s="69">
        <v>-8.1425587063905687E-3</v>
      </c>
      <c r="H543" s="70">
        <f>-0.0217646573155852-(+G543/52)</f>
        <v>-2.1608069648154614E-2</v>
      </c>
      <c r="I543" s="70">
        <f>-0.00632764425867866-(+H543/52)</f>
        <v>-5.9121044577526097E-3</v>
      </c>
      <c r="J543" s="70">
        <f>-0.0136687482873501-(+I543/52)</f>
        <v>-1.3555053970854858E-2</v>
      </c>
      <c r="K543" s="70">
        <f>0.0209735550827217-(+J543/52)</f>
        <v>2.1234229197545831E-2</v>
      </c>
      <c r="L543" s="70">
        <f>-0.00736464419453914-(+K543/52)</f>
        <v>-7.7729947560304059E-3</v>
      </c>
      <c r="M543" s="70">
        <f>0.0172042218497302-(+L543/52)</f>
        <v>1.7353702518115403E-2</v>
      </c>
      <c r="N543" s="70">
        <f>-0.000646999119958582-(+M543/52)</f>
        <v>-9.8072416838387811E-4</v>
      </c>
    </row>
    <row r="544" spans="1:14">
      <c r="A544" s="68">
        <v>0.04</v>
      </c>
      <c r="B544" s="69">
        <f t="shared" si="16"/>
        <v>4.0000000000000002E-4</v>
      </c>
      <c r="C544" s="70">
        <f t="shared" si="17"/>
        <v>7.6923076923076919E-6</v>
      </c>
      <c r="F544" s="71">
        <v>41411</v>
      </c>
      <c r="G544" s="69">
        <v>-3.5206485098928791E-3</v>
      </c>
      <c r="H544" s="70">
        <f>0.00085338234811443-(+G544/52)</f>
        <v>9.2108712715083154E-4</v>
      </c>
      <c r="I544" s="70">
        <f>-0.0148156803178128-(+H544/52)</f>
        <v>-1.483339353179647E-2</v>
      </c>
      <c r="J544" s="70">
        <f>0.0274604561389399-(+I544/52)</f>
        <v>2.7745713706859063E-2</v>
      </c>
      <c r="K544" s="70">
        <f>-0.000735794487921069-(+J544/52)</f>
        <v>-1.2693659053606664E-3</v>
      </c>
      <c r="L544" s="70">
        <f>0.000545678929338999-(+K544/52)</f>
        <v>5.7008981213439638E-4</v>
      </c>
      <c r="M544" s="70">
        <f>-0.0156954529815476-(+L544/52)</f>
        <v>-1.5706416247165567E-2</v>
      </c>
      <c r="N544" s="70">
        <f>0.0109662176674543-(+M544/52)</f>
        <v>1.1268264133745947E-2</v>
      </c>
    </row>
    <row r="545" spans="1:14">
      <c r="A545" s="68">
        <v>0.04</v>
      </c>
      <c r="B545" s="69">
        <f t="shared" si="16"/>
        <v>4.0000000000000002E-4</v>
      </c>
      <c r="C545" s="70">
        <f t="shared" si="17"/>
        <v>7.6923076923076919E-6</v>
      </c>
      <c r="F545" s="71">
        <v>41418</v>
      </c>
      <c r="G545" s="69">
        <v>-1.3736564109249553E-3</v>
      </c>
      <c r="H545" s="70">
        <f>-0.016237918772927-(+G545/52)</f>
        <v>-1.6211502303486135E-2</v>
      </c>
      <c r="I545" s="70">
        <f>-0.0011948954540602-(+H545/52)</f>
        <v>-8.8313579437777445E-4</v>
      </c>
      <c r="J545" s="70">
        <f>0.00550398656557635-(+I545/52)</f>
        <v>5.5209699462374614E-3</v>
      </c>
      <c r="K545" s="70">
        <f>-0.0117600990861767-(+J545/52)</f>
        <v>-1.1866271585142805E-2</v>
      </c>
      <c r="L545" s="70">
        <f>-0.0290152604512349-(+K545/52)</f>
        <v>-2.8787062920751387E-2</v>
      </c>
      <c r="M545" s="70">
        <f>-0.0348028055651374-(+L545/52)</f>
        <v>-3.4249208201276797E-2</v>
      </c>
      <c r="N545" s="70">
        <f>-0.0156365711233322-(+M545/52)</f>
        <v>-1.4977932504076877E-2</v>
      </c>
    </row>
    <row r="546" spans="1:14">
      <c r="A546" s="68">
        <v>0.04</v>
      </c>
      <c r="B546" s="69">
        <f t="shared" si="16"/>
        <v>4.0000000000000002E-4</v>
      </c>
      <c r="C546" s="70">
        <f t="shared" si="17"/>
        <v>7.6923076923076919E-6</v>
      </c>
      <c r="F546" s="71">
        <v>41425</v>
      </c>
      <c r="G546" s="69">
        <v>-6.0827144440276579E-3</v>
      </c>
      <c r="H546" s="70">
        <f>-0.03395956854061-(+G546/52)</f>
        <v>-3.3842593262840233E-2</v>
      </c>
      <c r="I546" s="70">
        <f>-0.0101494664034554-(+H546/52)</f>
        <v>-9.4986473022469348E-3</v>
      </c>
      <c r="J546" s="70">
        <f>-0.0320540946018625-(+I546/52)</f>
        <v>-3.1871428307588524E-2</v>
      </c>
      <c r="K546" s="70">
        <f>-0.000314405816076912-(+J546/52)</f>
        <v>2.9850626676132888E-4</v>
      </c>
      <c r="L546" s="70">
        <f>-0.0346886670815733-(+K546/52)</f>
        <v>-3.4694407586703328E-2</v>
      </c>
      <c r="M546" s="70">
        <f>0.00911568775076486-(+L546/52)</f>
        <v>9.7828878966630013E-3</v>
      </c>
      <c r="N546" s="70">
        <f>-0.0375078623139253-(+M546/52)</f>
        <v>-3.7695994773476509E-2</v>
      </c>
    </row>
    <row r="547" spans="1:14">
      <c r="A547" s="68">
        <v>0.05</v>
      </c>
      <c r="B547" s="69">
        <f t="shared" si="16"/>
        <v>5.0000000000000001E-4</v>
      </c>
      <c r="C547" s="70">
        <f t="shared" si="17"/>
        <v>9.6153846153846157E-6</v>
      </c>
      <c r="F547" s="71">
        <v>41432</v>
      </c>
      <c r="G547" s="69">
        <v>3.6694157111883891E-3</v>
      </c>
      <c r="H547" s="70">
        <f>-0.00242046003529625-(+G547/52)</f>
        <v>-2.491025722049873E-3</v>
      </c>
      <c r="I547" s="70">
        <f>-0.0129976068088986-(+H547/52)</f>
        <v>-1.2949702468089947E-2</v>
      </c>
      <c r="J547" s="70">
        <f>0.00578672817730854-(+I547/52)</f>
        <v>6.0357609170795003E-3</v>
      </c>
      <c r="K547" s="70">
        <f>-0.00702681044844921-(+J547/52)</f>
        <v>-7.1428827737776614E-3</v>
      </c>
      <c r="L547" s="70">
        <f>0.00230978677332777-(+K547/52)</f>
        <v>2.4471499035927254E-3</v>
      </c>
      <c r="M547" s="70">
        <f>-0.0106719050294894-(+L547/52)</f>
        <v>-1.0718965604558491E-2</v>
      </c>
      <c r="N547" s="70">
        <f>-0.00863960636454214-(+M547/52)</f>
        <v>-8.4334724106083243E-3</v>
      </c>
    </row>
    <row r="548" spans="1:14">
      <c r="A548" s="68">
        <v>0.05</v>
      </c>
      <c r="B548" s="69">
        <f t="shared" si="16"/>
        <v>5.0000000000000001E-4</v>
      </c>
      <c r="C548" s="70">
        <f t="shared" si="17"/>
        <v>9.6153846153846157E-6</v>
      </c>
      <c r="F548" s="71">
        <v>41439</v>
      </c>
      <c r="G548" s="69">
        <v>5.2844185798979169E-3</v>
      </c>
      <c r="H548" s="70">
        <f>0.00140836022395394-(+G548/52)</f>
        <v>1.306736789725134E-3</v>
      </c>
      <c r="I548" s="70">
        <f>0.00335751962857635-(+H548/52)</f>
        <v>3.3323900749277898E-3</v>
      </c>
      <c r="J548" s="70">
        <f>-0.0323798793341572-(+I548/52)</f>
        <v>-3.2443963758675046E-2</v>
      </c>
      <c r="K548" s="70">
        <f>-0.0157974661575843-(+J548/52)</f>
        <v>-1.517354377760978E-2</v>
      </c>
      <c r="L548" s="70">
        <f>-0.00862904091071437-(+K548/52)</f>
        <v>-8.3372419919141814E-3</v>
      </c>
      <c r="M548" s="70">
        <f>0.00427185207459266-(+L548/52)</f>
        <v>4.4321836513602402E-3</v>
      </c>
      <c r="N548" s="70">
        <f>0.00759362781529712-(+M548/52)</f>
        <v>7.5083935143094235E-3</v>
      </c>
    </row>
    <row r="549" spans="1:14">
      <c r="A549" s="68">
        <v>0.05</v>
      </c>
      <c r="B549" s="69">
        <f t="shared" si="16"/>
        <v>5.0000000000000001E-4</v>
      </c>
      <c r="C549" s="70">
        <f t="shared" si="17"/>
        <v>9.6153846153846157E-6</v>
      </c>
      <c r="F549" s="71">
        <v>41446</v>
      </c>
      <c r="G549" s="69">
        <v>-2.3059496699612676E-2</v>
      </c>
      <c r="H549" s="70">
        <f>-0.0334027476214915-(+G549/52)</f>
        <v>-3.2959295761883563E-2</v>
      </c>
      <c r="I549" s="70">
        <f>-0.0371240729580852-(+H549/52)</f>
        <v>-3.6490240347279747E-2</v>
      </c>
      <c r="J549" s="70">
        <f>-0.0858803069514819-(+I549/52)</f>
        <v>-8.5178571560188057E-2</v>
      </c>
      <c r="K549" s="70">
        <f>-0.0420738938189641-(+J549/52)</f>
        <v>-4.0435844365883558E-2</v>
      </c>
      <c r="L549" s="70">
        <f>-0.05019995806867-(+K549/52)</f>
        <v>-4.9422345677018399E-2</v>
      </c>
      <c r="M549" s="70">
        <f>-0.0788428086651521-(+L549/52)</f>
        <v>-7.7892378940594059E-2</v>
      </c>
      <c r="N549" s="70">
        <f>-0.0370822910653581-(+M549/52)</f>
        <v>-3.5584360701115904E-2</v>
      </c>
    </row>
    <row r="550" spans="1:14">
      <c r="A550" s="68">
        <v>0.05</v>
      </c>
      <c r="B550" s="69">
        <f t="shared" si="16"/>
        <v>5.0000000000000001E-4</v>
      </c>
      <c r="C550" s="70">
        <f t="shared" si="17"/>
        <v>9.6153846153846157E-6</v>
      </c>
      <c r="F550" s="71">
        <v>41453</v>
      </c>
      <c r="G550" s="69">
        <v>4.4788279140965925E-4</v>
      </c>
      <c r="H550" s="70">
        <f>0.0200583012982504-(+G550/52)</f>
        <v>2.0049688167646369E-2</v>
      </c>
      <c r="I550" s="70">
        <f>0.0398354499650897-(+H550/52)</f>
        <v>3.9449879038788806E-2</v>
      </c>
      <c r="J550" s="70">
        <f>0.0356375350807628-(+I550/52)</f>
        <v>3.4878883560786091E-2</v>
      </c>
      <c r="K550" s="70">
        <f>0.00847695529119403-(+J550/52)</f>
        <v>7.8062075304096822E-3</v>
      </c>
      <c r="L550" s="70">
        <f>0.0259430067443341-(+K550/52)</f>
        <v>2.5792887368749299E-2</v>
      </c>
      <c r="M550" s="70">
        <f>0.0270358121320626-(+L550/52)</f>
        <v>2.6539795067278958E-2</v>
      </c>
      <c r="N550" s="70">
        <f>0.0157398495289035-(+M550/52)</f>
        <v>1.5229468854532751E-2</v>
      </c>
    </row>
    <row r="551" spans="1:14">
      <c r="A551" s="68">
        <v>0.06</v>
      </c>
      <c r="B551" s="69">
        <f t="shared" si="16"/>
        <v>5.9999999999999995E-4</v>
      </c>
      <c r="C551" s="70">
        <f t="shared" si="17"/>
        <v>1.1538461538461538E-5</v>
      </c>
      <c r="F551" s="71">
        <v>41460</v>
      </c>
      <c r="G551" s="69">
        <v>-9.7391294273767581E-3</v>
      </c>
      <c r="H551" s="70">
        <f>-0.0182625320307495-(+G551/52)</f>
        <v>-1.8075241080223025E-2</v>
      </c>
      <c r="I551" s="70">
        <f>-0.00901325977545482-(+H551/52)</f>
        <v>-8.6656589854505299E-3</v>
      </c>
      <c r="J551" s="70">
        <f>-0.00628868433581968-(+I551/52)</f>
        <v>-6.122037047637939E-3</v>
      </c>
      <c r="K551" s="70">
        <f>-0.00816840606561197-(+J551/52)</f>
        <v>-8.0506745839266248E-3</v>
      </c>
      <c r="L551" s="70">
        <f>-0.00905639927780599-(+K551/52)</f>
        <v>-8.9015786127304777E-3</v>
      </c>
      <c r="M551" s="70">
        <f>-0.0103286998196496-(+L551/52)</f>
        <v>-1.0157515615558629E-2</v>
      </c>
      <c r="N551" s="70">
        <f>0.0029444264106524-(+M551/52)</f>
        <v>3.1397632494131428E-3</v>
      </c>
    </row>
    <row r="552" spans="1:14">
      <c r="A552" s="68">
        <v>0.04</v>
      </c>
      <c r="B552" s="69">
        <f t="shared" si="16"/>
        <v>4.0000000000000002E-4</v>
      </c>
      <c r="C552" s="70">
        <f t="shared" si="17"/>
        <v>7.6923076923076919E-6</v>
      </c>
      <c r="F552" s="71">
        <v>41467</v>
      </c>
      <c r="G552" s="69">
        <v>1.3257865447979841E-2</v>
      </c>
      <c r="H552" s="70">
        <f>0.028344353305227-(+G552/52)</f>
        <v>2.8089394354304308E-2</v>
      </c>
      <c r="I552" s="70">
        <f>0.0378276421970187-(+H552/52)</f>
        <v>3.7287461536359007E-2</v>
      </c>
      <c r="J552" s="70">
        <f>0.0357149987023616-(+I552/52)</f>
        <v>3.4997932134354696E-2</v>
      </c>
      <c r="K552" s="70">
        <f>0.0239800871417597-(+J552/52)</f>
        <v>2.33070499853298E-2</v>
      </c>
      <c r="L552" s="70">
        <f>0.06701929626409-(+K552/52)</f>
        <v>6.6571083764372124E-2</v>
      </c>
      <c r="M552" s="70">
        <f>0.0158019502439074-(+L552/52)</f>
        <v>1.4521737094592551E-2</v>
      </c>
      <c r="N552" s="70">
        <f>0.0377957440965605-(+M552/52)</f>
        <v>3.7516479921664493E-2</v>
      </c>
    </row>
    <row r="553" spans="1:14">
      <c r="A553" s="68">
        <v>0.04</v>
      </c>
      <c r="B553" s="69">
        <f t="shared" si="16"/>
        <v>4.0000000000000002E-4</v>
      </c>
      <c r="C553" s="70">
        <f t="shared" si="17"/>
        <v>7.6923076923076919E-6</v>
      </c>
      <c r="F553" s="71">
        <v>41474</v>
      </c>
      <c r="G553" s="69">
        <v>6.099859532340963E-3</v>
      </c>
      <c r="H553" s="70">
        <f>0.0235178639592701-(+G553/52)</f>
        <v>2.3400558968263544E-2</v>
      </c>
      <c r="I553" s="70">
        <f>0.0220034231468247-(+H553/52)</f>
        <v>2.1553412397435016E-2</v>
      </c>
      <c r="J553" s="70">
        <f>0.0290593677717811-(+I553/52)</f>
        <v>2.8644879071830425E-2</v>
      </c>
      <c r="K553" s="70">
        <f>0.000889651732798951-(+J553/52)</f>
        <v>3.3878867372528891E-4</v>
      </c>
      <c r="L553" s="70">
        <f>-0.021070573710472-(+K553/52)</f>
        <v>-2.107708887727441E-2</v>
      </c>
      <c r="M553" s="70">
        <f>0.0292933028173941-(+L553/52)</f>
        <v>2.9698631449649376E-2</v>
      </c>
      <c r="N553" s="70">
        <f>0.00434410065460776-(+M553/52)</f>
        <v>3.7729731267298876E-3</v>
      </c>
    </row>
    <row r="554" spans="1:14">
      <c r="A554" s="68">
        <v>0.03</v>
      </c>
      <c r="B554" s="69">
        <f t="shared" si="16"/>
        <v>2.9999999999999997E-4</v>
      </c>
      <c r="C554" s="70">
        <f t="shared" si="17"/>
        <v>5.7692307692307689E-6</v>
      </c>
      <c r="F554" s="71">
        <v>41481</v>
      </c>
      <c r="G554" s="69">
        <v>2.0569667724425395E-3</v>
      </c>
      <c r="H554" s="70">
        <f>-0.00377791662428628-(+G554/52)</f>
        <v>-3.8174736776024824E-3</v>
      </c>
      <c r="I554" s="70">
        <f>0.0183759208103131-(+H554/52)</f>
        <v>1.8449333765651606E-2</v>
      </c>
      <c r="J554" s="70">
        <f>0.00678434692700165-(+I554/52)</f>
        <v>6.429552046892965E-3</v>
      </c>
      <c r="K554" s="70">
        <f>0.00566087709926048-(+J554/52)</f>
        <v>5.5372318675894613E-3</v>
      </c>
      <c r="L554" s="70">
        <f>-0.02749307981795-(+K554/52)</f>
        <v>-2.7599565046172874E-2</v>
      </c>
      <c r="M554" s="70">
        <f>0.0277993552646909-(+L554/52)</f>
        <v>2.8330116130963454E-2</v>
      </c>
      <c r="N554" s="70">
        <f>0.00346275809937236-(+M554/52)</f>
        <v>2.9179481737769087E-3</v>
      </c>
    </row>
    <row r="555" spans="1:14">
      <c r="A555" s="68">
        <v>0.03</v>
      </c>
      <c r="B555" s="69">
        <f t="shared" si="16"/>
        <v>2.9999999999999997E-4</v>
      </c>
      <c r="C555" s="70">
        <f t="shared" si="17"/>
        <v>5.7692307692307689E-6</v>
      </c>
      <c r="F555" s="71">
        <v>41488</v>
      </c>
      <c r="G555" s="69">
        <v>-1.5518801738721337E-4</v>
      </c>
      <c r="H555" s="70">
        <f>0.0107592751953249-(+G555/52)</f>
        <v>1.0762259580274654E-2</v>
      </c>
      <c r="I555" s="70">
        <f>0.0139754624109227-(+H555/52)</f>
        <v>1.3768495880532802E-2</v>
      </c>
      <c r="J555" s="70">
        <f>-0.00326326795634588-(+I555/52)</f>
        <v>-3.528046723279203E-3</v>
      </c>
      <c r="K555" s="70">
        <f>-0.00690123115106823-(+J555/52)</f>
        <v>-6.833384098697476E-3</v>
      </c>
      <c r="L555" s="70">
        <f>-0.0331341259696968-(+K555/52)</f>
        <v>-3.3002714737029544E-2</v>
      </c>
      <c r="M555" s="70">
        <f>0.00437879661032961-(+L555/52)</f>
        <v>5.0134642014263318E-3</v>
      </c>
      <c r="N555" s="70">
        <f>0.00655778698132375-(+M555/52)</f>
        <v>6.4613742082193972E-3</v>
      </c>
    </row>
    <row r="556" spans="1:14">
      <c r="A556" s="68">
        <v>0.04</v>
      </c>
      <c r="B556" s="69">
        <f t="shared" si="16"/>
        <v>4.0000000000000002E-4</v>
      </c>
      <c r="C556" s="70">
        <f t="shared" si="17"/>
        <v>7.6923076923076919E-6</v>
      </c>
      <c r="F556" s="71">
        <v>41495</v>
      </c>
      <c r="G556" s="69">
        <v>4.5833157639345286E-3</v>
      </c>
      <c r="H556" s="70">
        <f>-0.0084128602762921-(+G556/52)</f>
        <v>-8.5010009640600712E-3</v>
      </c>
      <c r="I556" s="70">
        <f>0.0164301717699776-(+H556/52)</f>
        <v>1.6593652557747987E-2</v>
      </c>
      <c r="J556" s="70">
        <f>-0.00597300203082069-(+I556/52)</f>
        <v>-6.2921107338543046E-3</v>
      </c>
      <c r="K556" s="70">
        <f>-0.0178359523895141-(+J556/52)</f>
        <v>-1.7714950260016901E-2</v>
      </c>
      <c r="L556" s="70">
        <f>-0.000201770842349156-(+K556/52)</f>
        <v>1.389012780357844E-4</v>
      </c>
      <c r="M556" s="70">
        <f>0.010868696179731-(+L556/52)</f>
        <v>1.0866025001307235E-2</v>
      </c>
      <c r="N556" s="70">
        <f>-0.0186011558180627-(+M556/52)</f>
        <v>-1.8810117837318608E-2</v>
      </c>
    </row>
    <row r="557" spans="1:14">
      <c r="A557" s="68">
        <v>0.05</v>
      </c>
      <c r="B557" s="69">
        <f t="shared" si="16"/>
        <v>5.0000000000000001E-4</v>
      </c>
      <c r="C557" s="70">
        <f t="shared" si="17"/>
        <v>9.6153846153846157E-6</v>
      </c>
      <c r="F557" s="71">
        <v>41502</v>
      </c>
      <c r="G557" s="69">
        <v>-1.1868093906817723E-2</v>
      </c>
      <c r="H557" s="70">
        <f>-0.0412666689304233-(+G557/52)</f>
        <v>-4.1038436355292189E-2</v>
      </c>
      <c r="I557" s="70">
        <f>-0.00283209229385766-(+H557/52)</f>
        <v>-2.0428915947174257E-3</v>
      </c>
      <c r="J557" s="70">
        <f>-0.0384756940271601-(+I557/52)</f>
        <v>-3.8436407650338608E-2</v>
      </c>
      <c r="K557" s="70">
        <f>-0.000585801632921935-(+J557/52)</f>
        <v>1.5336005266149979E-4</v>
      </c>
      <c r="L557" s="70">
        <f>-0.0142403972710224-(+K557/52)</f>
        <v>-1.4243346502804352E-2</v>
      </c>
      <c r="M557" s="70">
        <f>-0.00668093421419937-(+L557/52)</f>
        <v>-6.4070237045300562E-3</v>
      </c>
      <c r="N557" s="70">
        <f>-0.0177481465543156-(+M557/52)</f>
        <v>-1.7624934559997713E-2</v>
      </c>
    </row>
    <row r="558" spans="1:14">
      <c r="A558" s="68">
        <v>0.05</v>
      </c>
      <c r="B558" s="69">
        <f t="shared" si="16"/>
        <v>5.0000000000000001E-4</v>
      </c>
      <c r="C558" s="70">
        <f t="shared" si="17"/>
        <v>9.6153846153846157E-6</v>
      </c>
      <c r="F558" s="71">
        <v>41509</v>
      </c>
      <c r="G558" s="69">
        <v>-3.0331577738123005E-4</v>
      </c>
      <c r="H558" s="70">
        <f>-0.00390103217972072-(+G558/52)</f>
        <v>-3.8951991840018504E-3</v>
      </c>
      <c r="I558" s="70">
        <f>-0.0191001195991368-(+H558/52)</f>
        <v>-1.9025211922521382E-2</v>
      </c>
      <c r="J558" s="70">
        <f>0.00417924672007242-(+I558/52)</f>
        <v>4.5451161801209087E-3</v>
      </c>
      <c r="K558" s="70">
        <f>0.000760156793786796-(+J558/52)</f>
        <v>6.7275071339985542E-4</v>
      </c>
      <c r="L558" s="70">
        <f>0.0234227773840481-(+K558/52)</f>
        <v>2.3409839870328873E-2</v>
      </c>
      <c r="M558" s="70">
        <f>-0.0119435701438849-(+L558/52)</f>
        <v>-1.2393759372160454E-2</v>
      </c>
      <c r="N558" s="70">
        <f>-0.00476445120222662-(+M558/52)</f>
        <v>-4.5261096758389191E-3</v>
      </c>
    </row>
    <row r="559" spans="1:14">
      <c r="A559" s="68">
        <v>0.04</v>
      </c>
      <c r="B559" s="69">
        <f t="shared" si="16"/>
        <v>4.0000000000000002E-4</v>
      </c>
      <c r="C559" s="70">
        <f t="shared" si="17"/>
        <v>7.6923076923076919E-6</v>
      </c>
      <c r="F559" s="71">
        <v>41516</v>
      </c>
      <c r="G559" s="69">
        <v>4.6663535970863025E-4</v>
      </c>
      <c r="H559" s="70">
        <f>-0.0128003901071271-(+G559/52)</f>
        <v>-1.2809363864044574E-2</v>
      </c>
      <c r="I559" s="70">
        <f>-0.0383414431787604-(+H559/52)</f>
        <v>-3.8095109258298003E-2</v>
      </c>
      <c r="J559" s="70">
        <f>-0.024955561519582-(+I559/52)</f>
        <v>-2.422296326461473E-2</v>
      </c>
      <c r="K559" s="70">
        <f>0.0266264608176003-(+J559/52)</f>
        <v>2.7092287034227506E-2</v>
      </c>
      <c r="L559" s="70">
        <f>-0.00357669703178957-(+K559/52)</f>
        <v>-4.0977025516785604E-3</v>
      </c>
      <c r="M559" s="70">
        <f>-0.0362259070697878-(+L559/52)</f>
        <v>-3.6147105097640138E-2</v>
      </c>
      <c r="N559" s="70">
        <f>-0.00827979090129309-(+M559/52)</f>
        <v>-7.5846542648000097E-3</v>
      </c>
    </row>
    <row r="560" spans="1:14">
      <c r="A560" s="68">
        <v>0.03</v>
      </c>
      <c r="B560" s="69">
        <f t="shared" si="16"/>
        <v>2.9999999999999997E-4</v>
      </c>
      <c r="C560" s="70">
        <f t="shared" si="17"/>
        <v>5.7692307692307689E-6</v>
      </c>
      <c r="F560" s="71">
        <v>41523</v>
      </c>
      <c r="G560" s="69">
        <v>-6.2801290338641751E-3</v>
      </c>
      <c r="H560" s="70">
        <f>-0.00121431033861759-(+G560/52)</f>
        <v>-1.0935386264278944E-3</v>
      </c>
      <c r="I560" s="70">
        <f>0.0199161150605236-(+H560/52)</f>
        <v>1.9937144649493369E-2</v>
      </c>
      <c r="J560" s="70">
        <f>0.0168860025291107-(+I560/52)</f>
        <v>1.6502595901235827E-2</v>
      </c>
      <c r="K560" s="70">
        <f>0.00475572849113708-(+J560/52)</f>
        <v>4.4383708776517755E-3</v>
      </c>
      <c r="L560" s="70">
        <f>0.017224725011615-(+K560/52)</f>
        <v>1.7139371725506312E-2</v>
      </c>
      <c r="M560" s="70">
        <f>0.0359545919571889-(+L560/52)</f>
        <v>3.5624988654775314E-2</v>
      </c>
      <c r="N560" s="70">
        <f>-0.00461181446993512-(+M560/52)</f>
        <v>-5.2969104056038762E-3</v>
      </c>
    </row>
    <row r="561" spans="1:14">
      <c r="A561" s="68">
        <v>0.02</v>
      </c>
      <c r="B561" s="69">
        <f t="shared" si="16"/>
        <v>2.0000000000000001E-4</v>
      </c>
      <c r="C561" s="70">
        <f t="shared" si="17"/>
        <v>3.8461538461538459E-6</v>
      </c>
      <c r="F561" s="71">
        <v>41530</v>
      </c>
      <c r="G561" s="69">
        <v>5.3128557683332564E-3</v>
      </c>
      <c r="H561" s="70">
        <f>0.00651682267545186-(+G561/52)</f>
        <v>6.4146523722146817E-3</v>
      </c>
      <c r="I561" s="70">
        <f>0.030218162904876-(+H561/52)</f>
        <v>3.0094804205410334E-2</v>
      </c>
      <c r="J561" s="70">
        <f>-0.000886573511066385-(+I561/52)</f>
        <v>-1.4653197457858147E-3</v>
      </c>
      <c r="K561" s="70">
        <f>0.0245133701226111-(+J561/52)</f>
        <v>2.4541549348491599E-2</v>
      </c>
      <c r="L561" s="70">
        <f>0.00802112075682712-(+K561/52)</f>
        <v>7.5491678847407432E-3</v>
      </c>
      <c r="M561" s="70">
        <f>0.0261036358974846-(+L561/52)</f>
        <v>2.5958459592008817E-2</v>
      </c>
      <c r="N561" s="70">
        <f>0.00653170434200951-(+M561/52)</f>
        <v>6.0325031960093405E-3</v>
      </c>
    </row>
    <row r="562" spans="1:14">
      <c r="A562" s="68">
        <v>0.02</v>
      </c>
      <c r="B562" s="69">
        <f t="shared" si="16"/>
        <v>2.0000000000000001E-4</v>
      </c>
      <c r="C562" s="70">
        <f t="shared" si="17"/>
        <v>3.8461538461538459E-6</v>
      </c>
      <c r="F562" s="71">
        <v>41537</v>
      </c>
      <c r="G562" s="69">
        <v>1.1099119714260575E-2</v>
      </c>
      <c r="H562" s="70">
        <f>0.0276029030904196-(+G562/52)</f>
        <v>2.7389458480529975E-2</v>
      </c>
      <c r="I562" s="70">
        <f>0.0352653011406507-(+H562/52)</f>
        <v>3.4738580785255893E-2</v>
      </c>
      <c r="J562" s="70">
        <f>0.0352274155044603-(+I562/52)</f>
        <v>3.455936587397461E-2</v>
      </c>
      <c r="K562" s="70">
        <f>0.0344267689669805-(+J562/52)</f>
        <v>3.376216577709637E-2</v>
      </c>
      <c r="L562" s="70">
        <f>0.00850507715499568-(+K562/52)</f>
        <v>7.855804736205365E-3</v>
      </c>
      <c r="M562" s="70">
        <f>0.0464741810105497-(+L562/52)</f>
        <v>4.6323107842545751E-2</v>
      </c>
      <c r="N562" s="70">
        <f>0.0246379077813178-(+M562/52)</f>
        <v>2.3747078784345767E-2</v>
      </c>
    </row>
    <row r="563" spans="1:14">
      <c r="A563" s="68">
        <v>0.01</v>
      </c>
      <c r="B563" s="69">
        <f t="shared" si="16"/>
        <v>1E-4</v>
      </c>
      <c r="C563" s="70">
        <f t="shared" si="17"/>
        <v>1.923076923076923E-6</v>
      </c>
      <c r="F563" s="71">
        <v>41544</v>
      </c>
      <c r="G563" s="69">
        <v>6.2508011778505028E-3</v>
      </c>
      <c r="H563" s="70">
        <f>-0.00810376000518002-(+G563/52)</f>
        <v>-8.2239677201386835E-3</v>
      </c>
      <c r="I563" s="70">
        <f>-0.000187562464999577-(+H563/52)</f>
        <v>-2.9409239612294621E-5</v>
      </c>
      <c r="J563" s="70">
        <f>-0.00077372373511339-(+I563/52)</f>
        <v>-7.7315817281315357E-4</v>
      </c>
      <c r="K563" s="70">
        <f>0.0157719595655176-(+J563/52)</f>
        <v>1.5786827991917853E-2</v>
      </c>
      <c r="L563" s="70">
        <f>0.0126959087188829-(+K563/52)</f>
        <v>1.2392315872884479E-2</v>
      </c>
      <c r="M563" s="70">
        <f>0.00428450151217703-(+L563/52)</f>
        <v>4.0461877453907905E-3</v>
      </c>
      <c r="N563" s="70">
        <f>0.000747148911547078-(+M563/52)</f>
        <v>6.6933760875110128E-4</v>
      </c>
    </row>
    <row r="564" spans="1:14">
      <c r="A564" s="68">
        <v>0.02</v>
      </c>
      <c r="B564" s="69">
        <f t="shared" si="16"/>
        <v>2.0000000000000001E-4</v>
      </c>
      <c r="C564" s="70">
        <f t="shared" si="17"/>
        <v>3.8461538461538459E-6</v>
      </c>
      <c r="F564" s="71">
        <v>41551</v>
      </c>
      <c r="G564" s="69">
        <v>1.1381441970901194E-3</v>
      </c>
      <c r="H564" s="70">
        <f>-0.000662836942112323-(+G564/52)</f>
        <v>-6.8472433051790227E-4</v>
      </c>
      <c r="I564" s="70">
        <f>0.0132979935091214-(+H564/52)</f>
        <v>1.3311161284708283E-2</v>
      </c>
      <c r="J564" s="70">
        <f>-0.00151448439208057-(+I564/52)</f>
        <v>-1.7704682629403447E-3</v>
      </c>
      <c r="K564" s="70">
        <f>0.00287629855814203-(+J564/52)</f>
        <v>2.9103460247370369E-3</v>
      </c>
      <c r="L564" s="70">
        <f>-0.0226242779652922-(+K564/52)</f>
        <v>-2.2680246158075602E-2</v>
      </c>
      <c r="M564" s="70">
        <f>0.0255048804004703-(+L564/52)</f>
        <v>2.5941038980433293E-2</v>
      </c>
      <c r="N564" s="70">
        <f>-0.00748179588517103-(+M564/52)</f>
        <v>-7.980662019410131E-3</v>
      </c>
    </row>
    <row r="565" spans="1:14">
      <c r="A565" s="68">
        <v>0.02</v>
      </c>
      <c r="B565" s="69">
        <f t="shared" si="16"/>
        <v>2.0000000000000001E-4</v>
      </c>
      <c r="C565" s="70">
        <f t="shared" si="17"/>
        <v>3.8461538461538459E-6</v>
      </c>
      <c r="F565" s="71">
        <v>41558</v>
      </c>
      <c r="G565" s="69">
        <v>-9.6748653508800942E-4</v>
      </c>
      <c r="H565" s="70">
        <f>0.0154915281490564-(+G565/52)</f>
        <v>1.5510133659346554E-2</v>
      </c>
      <c r="I565" s="70">
        <f>0.018640521976932-(+H565/52)</f>
        <v>1.834225017579072E-2</v>
      </c>
      <c r="J565" s="70">
        <f>0.00726838669946053-(+I565/52)</f>
        <v>6.9156511191568624E-3</v>
      </c>
      <c r="K565" s="70">
        <f>0.010477830144101-(+J565/52)</f>
        <v>1.0344836853347984E-2</v>
      </c>
      <c r="L565" s="70">
        <f>0.0152428142855765-(+K565/52)</f>
        <v>1.5043875115319807E-2</v>
      </c>
      <c r="M565" s="70">
        <f>0.0236942204820413-(+L565/52)</f>
        <v>2.3404915191362074E-2</v>
      </c>
      <c r="N565" s="70">
        <f>0.0107263235054047-(+M565/52)</f>
        <v>1.027622898249389E-2</v>
      </c>
    </row>
    <row r="566" spans="1:14">
      <c r="A566" s="68">
        <v>0.05</v>
      </c>
      <c r="B566" s="69">
        <f t="shared" si="16"/>
        <v>5.0000000000000001E-4</v>
      </c>
      <c r="C566" s="70">
        <f t="shared" si="17"/>
        <v>9.6153846153846157E-6</v>
      </c>
      <c r="F566" s="71">
        <v>41565</v>
      </c>
      <c r="G566" s="69">
        <v>8.8215417265588153E-3</v>
      </c>
      <c r="H566" s="70">
        <f>0.0195650560380018-(+G566/52)</f>
        <v>1.9395411004798746E-2</v>
      </c>
      <c r="I566" s="70">
        <f>0.0181618023154676-(+H566/52)</f>
        <v>1.7788813642298396E-2</v>
      </c>
      <c r="J566" s="70">
        <f>0.0281278187259641-(+I566/52)</f>
        <v>2.7785726155919899E-2</v>
      </c>
      <c r="K566" s="70">
        <f>-0.0143135397139731-(+J566/52)</f>
        <v>-1.4847880601586944E-2</v>
      </c>
      <c r="L566" s="70">
        <f>0.0498137441361208-(+K566/52)</f>
        <v>5.0099280301535938E-2</v>
      </c>
      <c r="M566" s="70">
        <f>0.0305772819727821-(+L566/52)</f>
        <v>2.9613834274675638E-2</v>
      </c>
      <c r="N566" s="70">
        <f>0.0174119584494553-(+M566/52)</f>
        <v>1.684246163648077E-2</v>
      </c>
    </row>
    <row r="567" spans="1:14">
      <c r="A567" s="68">
        <v>0.08</v>
      </c>
      <c r="B567" s="69">
        <f t="shared" si="16"/>
        <v>8.0000000000000004E-4</v>
      </c>
      <c r="C567" s="70">
        <f t="shared" si="17"/>
        <v>1.5384615384615384E-5</v>
      </c>
      <c r="F567" s="71">
        <v>41572</v>
      </c>
      <c r="G567" s="69">
        <v>4.850981302075741E-3</v>
      </c>
      <c r="H567" s="70">
        <f>0.0208979417517194-(+G567/52)</f>
        <v>2.0804653649756404E-2</v>
      </c>
      <c r="I567" s="70">
        <f>0.0102181851564732-(+H567/52)</f>
        <v>9.8180956632086536E-3</v>
      </c>
      <c r="J567" s="70">
        <f>0.012638480005286-(+I567/52)</f>
        <v>1.2449670473301217E-2</v>
      </c>
      <c r="K567" s="70">
        <f>-0.00306516887306582-(+J567/52)</f>
        <v>-3.3045856129369972E-3</v>
      </c>
      <c r="L567" s="70">
        <f>0.0147289378652317-(+K567/52)</f>
        <v>1.4792487588557411E-2</v>
      </c>
      <c r="M567" s="70">
        <f>0.0105804603314126-(+L567/52)</f>
        <v>1.0295989416248034E-2</v>
      </c>
      <c r="N567" s="70">
        <f>0.012139775507536-(+M567/52)</f>
        <v>1.1941775711069691E-2</v>
      </c>
    </row>
    <row r="568" spans="1:14">
      <c r="A568" s="68">
        <v>0.04</v>
      </c>
      <c r="B568" s="69">
        <f t="shared" si="16"/>
        <v>4.0000000000000002E-4</v>
      </c>
      <c r="C568" s="70">
        <f t="shared" si="17"/>
        <v>7.6923076923076919E-6</v>
      </c>
      <c r="F568" s="71">
        <v>41579</v>
      </c>
      <c r="G568" s="69">
        <v>-6.7451873662171986E-3</v>
      </c>
      <c r="H568" s="70">
        <f>-0.00946495210477541-(+G568/52)</f>
        <v>-9.3352369631173864E-3</v>
      </c>
      <c r="I568" s="70">
        <f>-0.0182556651377884-(+H568/52)</f>
        <v>-1.8076141350036143E-2</v>
      </c>
      <c r="J568" s="70">
        <f>-0.0198140394758307-(+I568/52)</f>
        <v>-1.9466421372945391E-2</v>
      </c>
      <c r="K568" s="70">
        <f>-0.00192834501651088-(+J568/52)</f>
        <v>-1.5539907593388534E-3</v>
      </c>
      <c r="L568" s="70">
        <f>-0.00733412979244339-(+K568/52)</f>
        <v>-7.3042453547637973E-3</v>
      </c>
      <c r="M568" s="70">
        <f>-0.0341513111268604-(+L568/52)</f>
        <v>-3.4010844870038019E-2</v>
      </c>
      <c r="N568" s="70">
        <f>-0.00665830150265412-(+M568/52)</f>
        <v>-6.0042467936149268E-3</v>
      </c>
    </row>
    <row r="569" spans="1:14">
      <c r="A569" s="68">
        <v>0.04</v>
      </c>
      <c r="B569" s="69">
        <f t="shared" si="16"/>
        <v>4.0000000000000002E-4</v>
      </c>
      <c r="C569" s="70">
        <f t="shared" si="17"/>
        <v>7.6923076923076919E-6</v>
      </c>
      <c r="F569" s="71">
        <v>41586</v>
      </c>
      <c r="G569" s="69">
        <v>-5.4020802206830249E-3</v>
      </c>
      <c r="H569" s="70">
        <f>-0.0079620279894798-(+G569/52)</f>
        <v>-7.8581418313897426E-3</v>
      </c>
      <c r="I569" s="70">
        <f>-0.0230202175774391-(+H569/52)</f>
        <v>-2.2869099465296989E-2</v>
      </c>
      <c r="J569" s="70">
        <f>-0.018535571507291-(+I569/52)</f>
        <v>-1.8095781132958368E-2</v>
      </c>
      <c r="K569" s="70">
        <f>-0.024208928986036-(+J569/52)</f>
        <v>-2.3860933195017569E-2</v>
      </c>
      <c r="L569" s="70">
        <f>0.000551590427385205-(+K569/52)</f>
        <v>1.0104545272893891E-3</v>
      </c>
      <c r="M569" s="70">
        <f>-0.002614079339601-(+L569/52)</f>
        <v>-2.6335111574334884E-3</v>
      </c>
      <c r="N569" s="70">
        <f>-0.0102169396859994-(+M569/52)</f>
        <v>-1.016629524066414E-2</v>
      </c>
    </row>
    <row r="570" spans="1:14">
      <c r="A570" s="68">
        <v>0.05</v>
      </c>
      <c r="B570" s="69">
        <f t="shared" si="16"/>
        <v>5.0000000000000001E-4</v>
      </c>
      <c r="C570" s="70">
        <f t="shared" si="17"/>
        <v>9.6153846153846157E-6</v>
      </c>
      <c r="F570" s="71">
        <v>41593</v>
      </c>
      <c r="G570" s="69">
        <v>4.5322944895402235E-3</v>
      </c>
      <c r="H570" s="70">
        <f>-0.000836941535037865-(+G570/52)</f>
        <v>-9.2410104445210008E-4</v>
      </c>
      <c r="I570" s="70">
        <f>0.025560181700468-(+H570/52)</f>
        <v>2.5577952874399772E-2</v>
      </c>
      <c r="J570" s="70">
        <f>0.0222806693621014-(+I570/52)</f>
        <v>2.1788785652978329E-2</v>
      </c>
      <c r="K570" s="70">
        <f>0.000871032024235819-(+J570/52)</f>
        <v>4.5201691552469725E-4</v>
      </c>
      <c r="L570" s="70">
        <f>0.00856813724585333-(+K570/52)</f>
        <v>8.559444612862472E-3</v>
      </c>
      <c r="M570" s="70">
        <f>0.00818466065845132-(+L570/52)</f>
        <v>8.0200559543578097E-3</v>
      </c>
      <c r="N570" s="70">
        <f>0.0100596509776568-(+M570/52)</f>
        <v>9.9054191323806884E-3</v>
      </c>
    </row>
    <row r="571" spans="1:14">
      <c r="A571" s="68">
        <v>0.08</v>
      </c>
      <c r="B571" s="69">
        <f t="shared" si="16"/>
        <v>8.0000000000000004E-4</v>
      </c>
      <c r="C571" s="70">
        <f t="shared" si="17"/>
        <v>1.5384615384615384E-5</v>
      </c>
      <c r="F571" s="71">
        <v>41600</v>
      </c>
      <c r="G571" s="69">
        <v>-8.6097328956678961E-4</v>
      </c>
      <c r="H571" s="70">
        <f>-0.00770340673600232-(+G571/52)</f>
        <v>-7.6868495573568047E-3</v>
      </c>
      <c r="I571" s="70">
        <f>-0.0195828350586896-(+H571/52)</f>
        <v>-1.9435011028740432E-2</v>
      </c>
      <c r="J571" s="70">
        <f>-0.0181127902690748-(+I571/52)</f>
        <v>-1.7739040056983638E-2</v>
      </c>
      <c r="K571" s="70">
        <f>0.00436835089447183-(+J571/52)</f>
        <v>4.7094862801830535E-3</v>
      </c>
      <c r="L571" s="70">
        <f>-0.0301972173209331-(+K571/52)</f>
        <v>-3.0287784364782775E-2</v>
      </c>
      <c r="M571" s="70">
        <f>-0.0120653769290091-(+L571/52)</f>
        <v>-1.1482919537378662E-2</v>
      </c>
      <c r="N571" s="70">
        <f>-0.0033972419474218-(+M571/52)</f>
        <v>-3.1764165717029797E-3</v>
      </c>
    </row>
    <row r="572" spans="1:14">
      <c r="A572" s="68">
        <v>0.08</v>
      </c>
      <c r="B572" s="69">
        <f t="shared" si="16"/>
        <v>8.0000000000000004E-4</v>
      </c>
      <c r="C572" s="70">
        <f t="shared" si="17"/>
        <v>1.5384615384615384E-5</v>
      </c>
      <c r="F572" s="71">
        <v>41607</v>
      </c>
      <c r="G572" s="69">
        <v>1.1228831518838873E-3</v>
      </c>
      <c r="H572" s="70">
        <f>-0.00260074850810718-(+G572/52)</f>
        <v>-2.6223424148741777E-3</v>
      </c>
      <c r="I572" s="70">
        <f>0.0278892387585821-(+H572/52)</f>
        <v>2.7939668420406603E-2</v>
      </c>
      <c r="J572" s="70">
        <f>-0.0033184927135811-(+I572/52)</f>
        <v>-3.8557940293581501E-3</v>
      </c>
      <c r="K572" s="70">
        <f>0.000824221111050173-(+J572/52)</f>
        <v>8.9837099623013745E-4</v>
      </c>
      <c r="L572" s="70">
        <f>0.00567448308646994-(+K572/52)</f>
        <v>5.6572067211578215E-3</v>
      </c>
      <c r="M572" s="70">
        <f>0.0167578774194631-(+L572/52)</f>
        <v>1.6649084982517756E-2</v>
      </c>
      <c r="N572" s="70">
        <f>-0.00316644500515831-(+M572/52)</f>
        <v>-3.4866197163605744E-3</v>
      </c>
    </row>
    <row r="573" spans="1:14">
      <c r="A573" s="68">
        <v>7.0000000000000007E-2</v>
      </c>
      <c r="B573" s="69">
        <f t="shared" si="16"/>
        <v>7.000000000000001E-4</v>
      </c>
      <c r="C573" s="70">
        <f t="shared" si="17"/>
        <v>1.3461538461538463E-5</v>
      </c>
      <c r="F573" s="71">
        <v>41614</v>
      </c>
      <c r="G573" s="69">
        <v>-5.4654140926834105E-3</v>
      </c>
      <c r="H573" s="70">
        <f>-0.0102735705060467-(+G573/52)</f>
        <v>-1.0168466388879712E-2</v>
      </c>
      <c r="I573" s="70">
        <f>0.00262540043086105-(+H573/52)</f>
        <v>2.8209478614164289E-3</v>
      </c>
      <c r="J573" s="70">
        <f>-0.0328547430904475-(+I573/52)</f>
        <v>-3.2908992087782432E-2</v>
      </c>
      <c r="K573" s="70">
        <f>-0.0184811345457004-(+J573/52)</f>
        <v>-1.7848269313243046E-2</v>
      </c>
      <c r="L573" s="70">
        <f>0.0104110453344803-(+K573/52)</f>
        <v>1.0754281282811896E-2</v>
      </c>
      <c r="M573" s="70">
        <f>-0.0157717248182805-(+L573/52)</f>
        <v>-1.5978537919873036E-2</v>
      </c>
      <c r="N573" s="70">
        <f>-0.000610985900565173-(+M573/52)</f>
        <v>-3.0370632518299918E-4</v>
      </c>
    </row>
    <row r="574" spans="1:14">
      <c r="A574" s="68">
        <v>0.06</v>
      </c>
      <c r="B574" s="69">
        <f t="shared" si="16"/>
        <v>5.9999999999999995E-4</v>
      </c>
      <c r="C574" s="70">
        <f t="shared" si="17"/>
        <v>1.1538461538461538E-5</v>
      </c>
      <c r="F574" s="71">
        <v>41621</v>
      </c>
      <c r="G574" s="69">
        <v>-3.2796144891685897E-4</v>
      </c>
      <c r="H574" s="70">
        <f>-0.00631710065840203-(+G574/52)</f>
        <v>-6.3107937074613207E-3</v>
      </c>
      <c r="I574" s="70">
        <f>-0.01070268430637-(+H574/52)</f>
        <v>-1.0581322888918819E-2</v>
      </c>
      <c r="J574" s="70">
        <f>-0.00167069737011203-(+I574/52)</f>
        <v>-1.4672103914789758E-3</v>
      </c>
      <c r="K574" s="70">
        <f>-0.00183299914804255-(+J574/52)</f>
        <v>-1.8047835635910314E-3</v>
      </c>
      <c r="L574" s="70">
        <f>-0.00993081458882041-(+K574/52)</f>
        <v>-9.8961072125975068E-3</v>
      </c>
      <c r="M574" s="70">
        <f>-0.0156763738844528-(+L574/52)</f>
        <v>-1.5486064130364387E-2</v>
      </c>
      <c r="N574" s="70">
        <f>-0.0172054011734358-(+M574/52)</f>
        <v>-1.690759224785187E-2</v>
      </c>
    </row>
    <row r="575" spans="1:14">
      <c r="A575" s="68">
        <v>7.0000000000000007E-2</v>
      </c>
      <c r="B575" s="69">
        <f t="shared" si="16"/>
        <v>7.000000000000001E-4</v>
      </c>
      <c r="C575" s="70">
        <f t="shared" si="17"/>
        <v>1.3461538461538463E-5</v>
      </c>
      <c r="F575" s="71">
        <v>41628</v>
      </c>
      <c r="G575" s="69">
        <v>2.0874454749181771E-3</v>
      </c>
      <c r="H575" s="70">
        <f>0.0234392876685072-(+G575/52)</f>
        <v>2.3399144486297235E-2</v>
      </c>
      <c r="I575" s="70">
        <f>0.00382779787378789-(+H575/52)</f>
        <v>3.3778143259744816E-3</v>
      </c>
      <c r="J575" s="70">
        <f>0.0196528184123269-(+I575/52)</f>
        <v>1.9587860444519701E-2</v>
      </c>
      <c r="K575" s="70">
        <f>0.00293990861281132-(+J575/52)</f>
        <v>2.5632189888782492E-3</v>
      </c>
      <c r="L575" s="70">
        <f>0.00470340940144447-(+K575/52)</f>
        <v>4.6541167285814268E-3</v>
      </c>
      <c r="M575" s="70">
        <f>0.0178986834817435-(+L575/52)</f>
        <v>1.7809181236963088E-2</v>
      </c>
      <c r="N575" s="70">
        <f>0.0322742405921017-(+M575/52)</f>
        <v>3.1931756337544713E-2</v>
      </c>
    </row>
    <row r="576" spans="1:14">
      <c r="A576" s="68">
        <v>7.0000000000000007E-2</v>
      </c>
      <c r="B576" s="69">
        <f t="shared" si="16"/>
        <v>7.000000000000001E-4</v>
      </c>
      <c r="C576" s="70">
        <f t="shared" si="17"/>
        <v>1.3461538461538463E-5</v>
      </c>
      <c r="F576" s="71">
        <v>41635</v>
      </c>
      <c r="G576" s="69">
        <v>-2.0316012445677351E-3</v>
      </c>
      <c r="H576" s="70">
        <f>0.0087147981452498-(+G576/52)</f>
        <v>8.7538673999530258E-3</v>
      </c>
      <c r="I576" s="70">
        <f>0.0032684586071968-(+H576/52)</f>
        <v>3.1001150033515496E-3</v>
      </c>
      <c r="J576" s="70">
        <f>0.0238036941252084-(+I576/52)</f>
        <v>2.3744076528990101E-2</v>
      </c>
      <c r="K576" s="70">
        <f>0.0157524649491537-(+J576/52)</f>
        <v>1.5295848092826967E-2</v>
      </c>
      <c r="L576" s="70">
        <f>0.0140366033599842-(+K576/52)</f>
        <v>1.3742452435122144E-2</v>
      </c>
      <c r="M576" s="70">
        <f>0.0166421805609619-(+L576/52)</f>
        <v>1.6377902629517244E-2</v>
      </c>
      <c r="N576" s="70">
        <f>0.015477325134512-(+M576/52)</f>
        <v>1.5162365468559745E-2</v>
      </c>
    </row>
    <row r="577" spans="1:14">
      <c r="A577" s="68">
        <v>7.0000000000000007E-2</v>
      </c>
      <c r="B577" s="69">
        <f t="shared" si="16"/>
        <v>7.000000000000001E-4</v>
      </c>
      <c r="C577" s="70">
        <f t="shared" si="17"/>
        <v>1.3461538461538463E-5</v>
      </c>
      <c r="F577" s="71">
        <v>41642</v>
      </c>
      <c r="G577" s="69">
        <v>6.2096795475146674E-4</v>
      </c>
      <c r="H577" s="70">
        <f>-0.0101525043968486-(+G577/52)</f>
        <v>-1.0164446088286129E-2</v>
      </c>
      <c r="I577" s="70">
        <f>-0.0141834570519619-(+H577/52)</f>
        <v>-1.3987986934879475E-2</v>
      </c>
      <c r="J577" s="70">
        <f>-0.0138784051418108-(+I577/52)</f>
        <v>-1.3609405393063118E-2</v>
      </c>
      <c r="K577" s="70">
        <f>0.0105193228027268-(+J577/52)</f>
        <v>1.0781042137208782E-2</v>
      </c>
      <c r="L577" s="70">
        <f>-0.00290969060837254-(+K577/52)</f>
        <v>-3.1170183417804013E-3</v>
      </c>
      <c r="M577" s="70">
        <f>0.00611395422562752-(+L577/52)</f>
        <v>6.1738968860463733E-3</v>
      </c>
      <c r="N577" s="70">
        <f>-0.000587373290864848-(+M577/52)</f>
        <v>-7.0610207713497062E-4</v>
      </c>
    </row>
    <row r="578" spans="1:14">
      <c r="A578" s="68">
        <v>7.0000000000000007E-2</v>
      </c>
      <c r="B578" s="69">
        <f t="shared" si="16"/>
        <v>7.000000000000001E-4</v>
      </c>
      <c r="C578" s="70">
        <f t="shared" si="17"/>
        <v>1.3461538461538463E-5</v>
      </c>
      <c r="F578" s="71">
        <v>41649</v>
      </c>
      <c r="G578" s="69">
        <v>6.9021953790529399E-3</v>
      </c>
      <c r="H578" s="70">
        <f>0.0107726308000855-(+G578/52)</f>
        <v>1.0639896273565251E-2</v>
      </c>
      <c r="I578" s="70">
        <f>0.00484066155707953-(+H578/52)</f>
        <v>4.6360481672032749E-3</v>
      </c>
      <c r="J578" s="70">
        <f>-0.0116333707217994-(+I578/52)</f>
        <v>-1.1722525494245618E-2</v>
      </c>
      <c r="K578" s="70">
        <f>-0.00694267062513344-(+J578/52)</f>
        <v>-6.7172374425517939E-3</v>
      </c>
      <c r="L578" s="70">
        <f>0.0158176722922474-(+K578/52)</f>
        <v>1.5946849935373396E-2</v>
      </c>
      <c r="M578" s="70">
        <f>0.0103366997855729-(+L578/52)</f>
        <v>1.0030029594508027E-2</v>
      </c>
      <c r="N578" s="70">
        <f>0.00542276348874552-(+M578/52)</f>
        <v>5.2298783042357506E-3</v>
      </c>
    </row>
    <row r="579" spans="1:14">
      <c r="A579" s="68">
        <v>0.05</v>
      </c>
      <c r="B579" s="69">
        <f t="shared" si="16"/>
        <v>5.0000000000000001E-4</v>
      </c>
      <c r="C579" s="70">
        <f t="shared" si="17"/>
        <v>9.6153846153846157E-6</v>
      </c>
      <c r="F579" s="71">
        <v>41656</v>
      </c>
      <c r="G579" s="69">
        <v>8.306525259425743E-4</v>
      </c>
      <c r="H579" s="70">
        <f>0.000862064813789167-(+G579/52)</f>
        <v>8.4609072675180975E-4</v>
      </c>
      <c r="I579" s="70">
        <f>-0.00637937601004641-(+H579/52)</f>
        <v>-6.3956469855608678E-3</v>
      </c>
      <c r="J579" s="70">
        <f>0.00910568731644851-(+I579/52)</f>
        <v>9.2286805277092959E-3</v>
      </c>
      <c r="K579" s="70">
        <f>0.00748455651367249-(+J579/52)</f>
        <v>7.3070818881396191E-3</v>
      </c>
      <c r="L579" s="70">
        <f>0.0183718871263643-(+K579/52)</f>
        <v>1.8231366320823155E-2</v>
      </c>
      <c r="M579" s="70">
        <f>0.0110571977091755-(+L579/52)</f>
        <v>1.0706594510698133E-2</v>
      </c>
      <c r="N579" s="70">
        <f>0.00388393395203082-(+M579/52)</f>
        <v>3.6780379037481639E-3</v>
      </c>
    </row>
    <row r="580" spans="1:14">
      <c r="A580" s="68">
        <v>0.04</v>
      </c>
      <c r="B580" s="69">
        <f t="shared" si="16"/>
        <v>4.0000000000000002E-4</v>
      </c>
      <c r="C580" s="70">
        <f t="shared" si="17"/>
        <v>7.6923076923076919E-6</v>
      </c>
      <c r="F580" s="71">
        <v>41663</v>
      </c>
      <c r="G580" s="69">
        <v>3.374768259941778E-3</v>
      </c>
      <c r="H580" s="70">
        <f>0.00134731979597738-(+G580/52)</f>
        <v>1.2824204063631151E-3</v>
      </c>
      <c r="I580" s="70">
        <f>0.0030508887202583-(+H580/52)</f>
        <v>3.0262267893667017E-3</v>
      </c>
      <c r="J580" s="70">
        <f>0.00660331837644981-(+I580/52)</f>
        <v>6.545121707423527E-3</v>
      </c>
      <c r="K580" s="70">
        <f>-0.00495542627547823-(+J580/52)</f>
        <v>-5.0812940006209903E-3</v>
      </c>
      <c r="L580" s="70">
        <f>-0.0260685057540029-(+K580/52)</f>
        <v>-2.5970788561683267E-2</v>
      </c>
      <c r="M580" s="70">
        <f>-0.00857676222218674-(+L580/52)</f>
        <v>-8.077323980615907E-3</v>
      </c>
      <c r="N580" s="70">
        <f>-0.0136747416476323-(+M580/52)</f>
        <v>-1.3519408494158917E-2</v>
      </c>
    </row>
    <row r="581" spans="1:14">
      <c r="A581" s="68">
        <v>0.04</v>
      </c>
      <c r="B581" s="69">
        <f t="shared" ref="B581:B644" si="18">+A581/100</f>
        <v>4.0000000000000002E-4</v>
      </c>
      <c r="C581" s="70">
        <f t="shared" ref="C581:C644" si="19">+B581/52</f>
        <v>7.6923076923076919E-6</v>
      </c>
      <c r="F581" s="71">
        <v>41670</v>
      </c>
      <c r="G581" s="69">
        <v>6.4847484023493459E-4</v>
      </c>
      <c r="H581" s="70">
        <f>0.0084863046612205-(+G581/52)</f>
        <v>8.4738339912159826E-3</v>
      </c>
      <c r="I581" s="70">
        <f>-0.00573206470519883-(+H581/52)</f>
        <v>-5.8950230511837527E-3</v>
      </c>
      <c r="J581" s="70">
        <f>0.0105684704781101-(+I581/52)</f>
        <v>1.0681836306017481E-2</v>
      </c>
      <c r="K581" s="70">
        <f>-0.0173714804875793-(+J581/52)</f>
        <v>-1.7576900416541176E-2</v>
      </c>
      <c r="L581" s="70">
        <f>0.00388567284457599-(+K581/52)</f>
        <v>4.2236901602787048E-3</v>
      </c>
      <c r="M581" s="70">
        <f>-0.00563665970333788-(+L581/52)</f>
        <v>-5.7178845141124699E-3</v>
      </c>
      <c r="N581" s="70">
        <f>0.00259575853663724-(+M581/52)</f>
        <v>2.705717854216326E-3</v>
      </c>
    </row>
    <row r="582" spans="1:14">
      <c r="A582" s="68">
        <v>0.04</v>
      </c>
      <c r="B582" s="69">
        <f t="shared" si="18"/>
        <v>4.0000000000000002E-4</v>
      </c>
      <c r="C582" s="70">
        <f t="shared" si="19"/>
        <v>7.6923076923076919E-6</v>
      </c>
      <c r="F582" s="71">
        <v>41677</v>
      </c>
      <c r="G582" s="69">
        <v>2.4700833598842796E-3</v>
      </c>
      <c r="H582" s="70">
        <f>0.000681387170861545-(+G582/52)</f>
        <v>6.3388556778684732E-4</v>
      </c>
      <c r="I582" s="70">
        <f>0.00860871258845682-(+H582/52)</f>
        <v>8.5965224813839974E-3</v>
      </c>
      <c r="J582" s="70">
        <f>0.00487041484430732-(+I582/52)</f>
        <v>4.7050971042807048E-3</v>
      </c>
      <c r="K582" s="70">
        <f>-0.00615968084377777-(+J582/52)</f>
        <v>-6.2501634803985521E-3</v>
      </c>
      <c r="L582" s="70">
        <f>0.0112452641001274-(+K582/52)</f>
        <v>1.1365459551673526E-2</v>
      </c>
      <c r="M582" s="70">
        <f>0.017899809827219-(+L582/52)</f>
        <v>1.7681243297379124E-2</v>
      </c>
      <c r="N582" s="70">
        <f>0.00187879781221736-(+M582/52)</f>
        <v>1.5387739026523767E-3</v>
      </c>
    </row>
    <row r="583" spans="1:14">
      <c r="A583" s="68">
        <v>7.0000000000000007E-2</v>
      </c>
      <c r="B583" s="69">
        <f t="shared" si="18"/>
        <v>7.000000000000001E-4</v>
      </c>
      <c r="C583" s="70">
        <f t="shared" si="19"/>
        <v>1.3461538461538463E-5</v>
      </c>
      <c r="F583" s="71">
        <v>41684</v>
      </c>
      <c r="G583" s="69">
        <v>2.3938641624417622E-3</v>
      </c>
      <c r="H583" s="70">
        <f>0.0382412182335043-(+G583/52)</f>
        <v>3.8195182384226575E-2</v>
      </c>
      <c r="I583" s="70">
        <f>0.014871649630526-(+H583/52)</f>
        <v>1.4137126892367798E-2</v>
      </c>
      <c r="J583" s="70">
        <f>0.0345335132302273-(+I583/52)</f>
        <v>3.4261645405374068E-2</v>
      </c>
      <c r="K583" s="70">
        <f>0.0136792188718091-(+J583/52)</f>
        <v>1.3020341075551906E-2</v>
      </c>
      <c r="L583" s="70">
        <f>0.0319587221390785-(+K583/52)</f>
        <v>3.1708330964548656E-2</v>
      </c>
      <c r="M583" s="70">
        <f>0.0255851367481447-(+L583/52)</f>
        <v>2.4975361152672612E-2</v>
      </c>
      <c r="N583" s="70">
        <f>0.0172985746095702-(+M583/52)</f>
        <v>1.6818279202788035E-2</v>
      </c>
    </row>
    <row r="584" spans="1:14">
      <c r="A584" s="68">
        <v>0.04</v>
      </c>
      <c r="B584" s="69">
        <f t="shared" si="18"/>
        <v>4.0000000000000002E-4</v>
      </c>
      <c r="C584" s="70">
        <f t="shared" si="19"/>
        <v>7.6923076923076919E-6</v>
      </c>
      <c r="F584" s="71">
        <v>41691</v>
      </c>
      <c r="G584" s="69">
        <v>6.0348092538131106E-4</v>
      </c>
      <c r="H584" s="70">
        <f>0.00941570354063463-(+G584/52)</f>
        <v>9.4040981382234514E-3</v>
      </c>
      <c r="I584" s="70">
        <f>-0.000626639537656673-(+H584/52)</f>
        <v>-8.0748757877635471E-4</v>
      </c>
      <c r="J584" s="70">
        <f>0.0173352878196699-(+I584/52)</f>
        <v>1.735081642695406E-2</v>
      </c>
      <c r="K584" s="70">
        <f>-0.0114763780363965-(+J584/52)</f>
        <v>-1.1810047583068693E-2</v>
      </c>
      <c r="L584" s="70">
        <f>0.00505999314364065-(+K584/52)</f>
        <v>5.2871094433150478E-3</v>
      </c>
      <c r="M584" s="70">
        <f>0.00852841116984417-(+L584/52)</f>
        <v>8.4267359882419565E-3</v>
      </c>
      <c r="N584" s="70">
        <f>0.0024628121324022-(+M584/52)</f>
        <v>2.3007595172437009E-3</v>
      </c>
    </row>
    <row r="585" spans="1:14">
      <c r="A585" s="68">
        <v>0.05</v>
      </c>
      <c r="B585" s="69">
        <f t="shared" si="18"/>
        <v>5.0000000000000001E-4</v>
      </c>
      <c r="C585" s="70">
        <f t="shared" si="19"/>
        <v>9.6153846153846157E-6</v>
      </c>
      <c r="F585" s="71">
        <v>41698</v>
      </c>
      <c r="G585" s="69">
        <v>6.2904247096846645E-3</v>
      </c>
      <c r="H585" s="70">
        <f>0.00395287446670284-(+G585/52)</f>
        <v>3.8319047607473654E-3</v>
      </c>
      <c r="I585" s="70">
        <f>0.0316714857623013-(+H585/52)</f>
        <v>3.159779528613308E-2</v>
      </c>
      <c r="J585" s="70">
        <f>0.0156307940061943-(+I585/52)</f>
        <v>1.5023144096845586E-2</v>
      </c>
      <c r="K585" s="70">
        <f>0.0179667486202569-(+J585/52)</f>
        <v>1.7677842003009869E-2</v>
      </c>
      <c r="L585" s="70">
        <f>-0.00499358746964278-(+K585/52)</f>
        <v>-5.3335459697006621E-3</v>
      </c>
      <c r="M585" s="70">
        <f>0.0172136304164079-(+L585/52)</f>
        <v>1.731619860813291E-2</v>
      </c>
      <c r="N585" s="70">
        <f>0.00128927996387644-(+M585/52)</f>
        <v>9.5627614448926868E-4</v>
      </c>
    </row>
    <row r="586" spans="1:14">
      <c r="A586" s="68">
        <v>0.05</v>
      </c>
      <c r="B586" s="69">
        <f t="shared" si="18"/>
        <v>5.0000000000000001E-4</v>
      </c>
      <c r="C586" s="70">
        <f t="shared" si="19"/>
        <v>9.6153846153846157E-6</v>
      </c>
      <c r="F586" s="71">
        <v>41705</v>
      </c>
      <c r="G586" s="69">
        <v>-4.9014819111009916E-3</v>
      </c>
      <c r="H586" s="70">
        <f>-0.0117214194231614-(+G586/52)</f>
        <v>-1.1627160155640227E-2</v>
      </c>
      <c r="I586" s="70">
        <f>0.0207532080857294-(+H586/52)</f>
        <v>2.0976807319491714E-2</v>
      </c>
      <c r="J586" s="70">
        <f>-0.00513587287236816-(+I586/52)</f>
        <v>-5.5392730131276161E-3</v>
      </c>
      <c r="K586" s="70">
        <f>0.00219142683421162-(+J586/52)</f>
        <v>2.2979513152333051E-3</v>
      </c>
      <c r="L586" s="70">
        <f>-0.00565886429317155-(+K586/52)</f>
        <v>-5.7030556646183441E-3</v>
      </c>
      <c r="M586" s="70">
        <f>0.011978433507742-(+L586/52)</f>
        <v>1.2088107655138507E-2</v>
      </c>
      <c r="N586" s="70">
        <f>0.00750617108136339-(+M586/52)</f>
        <v>7.2737074726107265E-3</v>
      </c>
    </row>
    <row r="587" spans="1:14">
      <c r="A587" s="68">
        <v>0.05</v>
      </c>
      <c r="B587" s="69">
        <f t="shared" si="18"/>
        <v>5.0000000000000001E-4</v>
      </c>
      <c r="C587" s="70">
        <f t="shared" si="19"/>
        <v>9.6153846153846157E-6</v>
      </c>
      <c r="F587" s="71">
        <v>41712</v>
      </c>
      <c r="G587" s="69">
        <v>4.3965062386886831E-3</v>
      </c>
      <c r="H587" s="70">
        <f>0.00755129984018161-(+G587/52)</f>
        <v>7.4667516432837507E-3</v>
      </c>
      <c r="I587" s="70">
        <f>-0.00607479226380022-(+H587/52)</f>
        <v>-6.2183836415556767E-3</v>
      </c>
      <c r="J587" s="70">
        <f>0.00306527604960364-(+I587/52)</f>
        <v>3.1848603504027874E-3</v>
      </c>
      <c r="K587" s="70">
        <f>-0.0336042401338104-(+J587/52)</f>
        <v>-3.3665487448241223E-2</v>
      </c>
      <c r="L587" s="70">
        <f>-0.00404242813883767-(+K587/52)</f>
        <v>-3.3950149186791853E-3</v>
      </c>
      <c r="M587" s="70">
        <f>-0.0274863711691175-(+L587/52)</f>
        <v>-2.7421082420681361E-2</v>
      </c>
      <c r="N587" s="70">
        <f>-0.00318623264798907-(+M587/52)</f>
        <v>-2.6589041398990439E-3</v>
      </c>
    </row>
    <row r="588" spans="1:14">
      <c r="A588" s="68">
        <v>0.05</v>
      </c>
      <c r="B588" s="69">
        <f t="shared" si="18"/>
        <v>5.0000000000000001E-4</v>
      </c>
      <c r="C588" s="70">
        <f t="shared" si="19"/>
        <v>9.6153846153846157E-6</v>
      </c>
      <c r="F588" s="71">
        <v>41719</v>
      </c>
      <c r="G588" s="69">
        <v>-4.1364651240251814E-3</v>
      </c>
      <c r="H588" s="70">
        <f>-0.00742198507421982-(+G588/52)</f>
        <v>-7.3424376679885666E-3</v>
      </c>
      <c r="I588" s="70">
        <f>0.00924064233378351-(+H588/52)</f>
        <v>9.3818430581679053E-3</v>
      </c>
      <c r="J588" s="70">
        <f>0.00282244716622817-(+I588/52)</f>
        <v>2.6420271074172491E-3</v>
      </c>
      <c r="K588" s="70">
        <f>-0.0255738419618528-(+J588/52)</f>
        <v>-2.5624650175456978E-2</v>
      </c>
      <c r="L588" s="70">
        <f>0.00762637130731176-(+K588/52)</f>
        <v>8.1191530414551627E-3</v>
      </c>
      <c r="M588" s="70">
        <f>0.014129684674786-(+L588/52)</f>
        <v>1.3973547116296477E-2</v>
      </c>
      <c r="N588" s="70">
        <f>-0.00210041831115737-(+M588/52)</f>
        <v>-2.3691403710861484E-3</v>
      </c>
    </row>
    <row r="589" spans="1:14">
      <c r="A589" s="68">
        <v>0.06</v>
      </c>
      <c r="B589" s="69">
        <f t="shared" si="18"/>
        <v>5.9999999999999995E-4</v>
      </c>
      <c r="C589" s="70">
        <f t="shared" si="19"/>
        <v>1.1538461538461538E-5</v>
      </c>
      <c r="F589" s="71">
        <v>41726</v>
      </c>
      <c r="G589" s="69">
        <v>2.3576278193078938E-3</v>
      </c>
      <c r="H589" s="70">
        <f>0.0045789852052988-(+G589/52)</f>
        <v>4.5336462087736482E-3</v>
      </c>
      <c r="I589" s="70">
        <f>0.0132870645176019-(+H589/52)</f>
        <v>1.3199879013587022E-2</v>
      </c>
      <c r="J589" s="70">
        <f>-0.00185201271738561-(+I589/52)</f>
        <v>-2.1058565445699756E-3</v>
      </c>
      <c r="K589" s="70">
        <f>0.0240348263380892-(+J589/52)</f>
        <v>2.4075323579330933E-2</v>
      </c>
      <c r="L589" s="70">
        <f>0.01100967771283-(+K589/52)</f>
        <v>1.054669072091979E-2</v>
      </c>
      <c r="M589" s="70">
        <f>0.0191257869286214-(+L589/52)</f>
        <v>1.8922965953219097E-2</v>
      </c>
      <c r="N589" s="70">
        <f>0.0133632135657045-(+M589/52)</f>
        <v>1.2999310374296439E-2</v>
      </c>
    </row>
    <row r="590" spans="1:14">
      <c r="A590" s="68">
        <v>0.05</v>
      </c>
      <c r="B590" s="69">
        <f t="shared" si="18"/>
        <v>5.0000000000000001E-4</v>
      </c>
      <c r="C590" s="70">
        <f t="shared" si="19"/>
        <v>9.6153846153846157E-6</v>
      </c>
      <c r="F590" s="71">
        <v>41733</v>
      </c>
      <c r="G590" s="69">
        <v>8.8727775669209669E-4</v>
      </c>
      <c r="H590" s="70">
        <f>0.00716079657594503-(+G590/52)</f>
        <v>7.1437335421624896E-3</v>
      </c>
      <c r="I590" s="70">
        <f>0.0109736083178387-(+H590/52)</f>
        <v>1.0836228826643268E-2</v>
      </c>
      <c r="J590" s="70">
        <f>0.0063113116249278-(+I590/52)</f>
        <v>6.1029226090308138E-3</v>
      </c>
      <c r="K590" s="70">
        <f>-0.00519920832222862-(+J590/52)</f>
        <v>-5.3165722185561353E-3</v>
      </c>
      <c r="L590" s="70">
        <f>-0.0143945753077705-(+K590/52)</f>
        <v>-1.4292333534336728E-2</v>
      </c>
      <c r="M590" s="70">
        <f>0.0188116189630668-(+L590/52)</f>
        <v>1.9086471531034814E-2</v>
      </c>
      <c r="N590" s="70">
        <f>0.0143672200685349-(+M590/52)</f>
        <v>1.4000172539091922E-2</v>
      </c>
    </row>
    <row r="591" spans="1:14">
      <c r="A591" s="68">
        <v>0.03</v>
      </c>
      <c r="B591" s="69">
        <f t="shared" si="18"/>
        <v>2.9999999999999997E-4</v>
      </c>
      <c r="C591" s="70">
        <f t="shared" si="19"/>
        <v>5.7692307692307689E-6</v>
      </c>
      <c r="F591" s="71">
        <v>41740</v>
      </c>
      <c r="G591" s="69">
        <v>6.3010880564866745E-3</v>
      </c>
      <c r="H591" s="70">
        <f>0.00182838522809557-(+G591/52)</f>
        <v>1.7072104577785187E-3</v>
      </c>
      <c r="I591" s="70">
        <f>-0.0132379332590465-(+H591/52)</f>
        <v>-1.3270764229388395E-2</v>
      </c>
      <c r="J591" s="70">
        <f>-0.0266781976995589-(+I591/52)</f>
        <v>-2.6422990695147586E-2</v>
      </c>
      <c r="K591" s="70">
        <f>0.0365231827344956-(+J591/52)</f>
        <v>3.7031317170940742E-2</v>
      </c>
      <c r="L591" s="70">
        <f>-0.00799595613375199-(+K591/52)</f>
        <v>-8.7080968485777743E-3</v>
      </c>
      <c r="M591" s="70">
        <f>-0.0183214827073615-(+L591/52)</f>
        <v>-1.8154019306427311E-2</v>
      </c>
      <c r="N591" s="70">
        <f>0.001203830369357-(+M591/52)</f>
        <v>1.552946125249833E-3</v>
      </c>
    </row>
    <row r="592" spans="1:14">
      <c r="A592" s="68">
        <v>0.04</v>
      </c>
      <c r="B592" s="69">
        <f t="shared" si="18"/>
        <v>4.0000000000000002E-4</v>
      </c>
      <c r="C592" s="70">
        <f t="shared" si="19"/>
        <v>7.6923076923076919E-6</v>
      </c>
      <c r="F592" s="71">
        <v>41747</v>
      </c>
      <c r="G592" s="69">
        <v>-1.7882225584111826E-3</v>
      </c>
      <c r="H592" s="70">
        <f>0.0155942248965505-(+G592/52)</f>
        <v>1.5628613791904562E-2</v>
      </c>
      <c r="I592" s="70">
        <f>-0.00330455124669536-(+H592/52)</f>
        <v>-3.6051015119242941E-3</v>
      </c>
      <c r="J592" s="70">
        <f>0.0192989127923713-(+I592/52)</f>
        <v>1.9368241667600612E-2</v>
      </c>
      <c r="K592" s="70">
        <f>-0.0133597732270654-(+J592/52)</f>
        <v>-1.3732239412980796E-2</v>
      </c>
      <c r="L592" s="70">
        <f>0.0130016302969671-(+K592/52)</f>
        <v>1.3265711824139808E-2</v>
      </c>
      <c r="M592" s="70">
        <f>-0.00363645857420986-(+L592/52)</f>
        <v>-3.8915684169817796E-3</v>
      </c>
      <c r="N592" s="70">
        <f>0.0176157725022509-(+M592/52)</f>
        <v>1.7690610356423626E-2</v>
      </c>
    </row>
    <row r="593" spans="1:14">
      <c r="A593" s="68">
        <v>0.04</v>
      </c>
      <c r="B593" s="69">
        <f t="shared" si="18"/>
        <v>4.0000000000000002E-4</v>
      </c>
      <c r="C593" s="70">
        <f t="shared" si="19"/>
        <v>7.6923076923076919E-6</v>
      </c>
      <c r="F593" s="71">
        <v>41754</v>
      </c>
      <c r="G593" s="69">
        <v>2.9742356199161045E-3</v>
      </c>
      <c r="H593" s="70">
        <f>0.00765959718169537-(+G593/52)</f>
        <v>7.6024003428508298E-3</v>
      </c>
      <c r="I593" s="70">
        <f>0.00448189828309186-(+H593/52)</f>
        <v>4.3356982764985747E-3</v>
      </c>
      <c r="J593" s="70">
        <f>0.00667728989201274-(+I593/52)</f>
        <v>6.5939110790031522E-3</v>
      </c>
      <c r="K593" s="70">
        <f>-0.00300617554347359-(+J593/52)</f>
        <v>-3.1329815257621122E-3</v>
      </c>
      <c r="L593" s="70">
        <f>0.00396167791161091-(+K593/52)</f>
        <v>4.0219275563371047E-3</v>
      </c>
      <c r="M593" s="70">
        <f>0.00583208244273681-(+L593/52)</f>
        <v>5.7547376820380192E-3</v>
      </c>
      <c r="N593" s="70">
        <f>-0.0043135736233171-(+M593/52)</f>
        <v>-4.4242416556639855E-3</v>
      </c>
    </row>
    <row r="594" spans="1:14">
      <c r="A594" s="68">
        <v>0.03</v>
      </c>
      <c r="B594" s="69">
        <f t="shared" si="18"/>
        <v>2.9999999999999997E-4</v>
      </c>
      <c r="C594" s="70">
        <f t="shared" si="19"/>
        <v>5.7692307692307689E-6</v>
      </c>
      <c r="F594" s="71">
        <v>41761</v>
      </c>
      <c r="G594" s="69">
        <v>4.3404585138887208E-3</v>
      </c>
      <c r="H594" s="70">
        <f>0.0109297336429207-(+G594/52)</f>
        <v>1.0846263286884377E-2</v>
      </c>
      <c r="I594" s="70">
        <f>0.0139437358858856-(+H594/52)</f>
        <v>1.3735153899599362E-2</v>
      </c>
      <c r="J594" s="70">
        <f>0.014848913088657-(+I594/52)</f>
        <v>1.4584775513664704E-2</v>
      </c>
      <c r="K594" s="70">
        <f>-0.00658183791793368-(+J594/52)</f>
        <v>-6.8623143701195396E-3</v>
      </c>
      <c r="L594" s="70">
        <f>0.0338548221216072-(+K594/52)</f>
        <v>3.398678970564796E-2</v>
      </c>
      <c r="M594" s="70">
        <f>0.00951243203411969-(+L594/52)</f>
        <v>8.8588399243956905E-3</v>
      </c>
      <c r="N594" s="70">
        <f>0.0109214997686244-(+M594/52)</f>
        <v>1.0751137462386021E-2</v>
      </c>
    </row>
    <row r="595" spans="1:14">
      <c r="A595" s="68">
        <v>0.03</v>
      </c>
      <c r="B595" s="69">
        <f t="shared" si="18"/>
        <v>2.9999999999999997E-4</v>
      </c>
      <c r="C595" s="70">
        <f t="shared" si="19"/>
        <v>5.7692307692307689E-6</v>
      </c>
      <c r="F595" s="71">
        <v>41768</v>
      </c>
      <c r="G595" s="69">
        <v>-3.6076027901150087E-4</v>
      </c>
      <c r="H595" s="70">
        <f>0.00407835328844531-(+G595/52)</f>
        <v>4.0852909861186079E-3</v>
      </c>
      <c r="I595" s="70">
        <f>0.00459960701931868-(+H595/52)</f>
        <v>4.5210437311240916E-3</v>
      </c>
      <c r="J595" s="70">
        <f>0.00435502312326156-(+I595/52)</f>
        <v>4.2680799745860969E-3</v>
      </c>
      <c r="K595" s="70">
        <f>-0.0147858437470191-(+J595/52)</f>
        <v>-1.4867922208068832E-2</v>
      </c>
      <c r="L595" s="70">
        <f>0.0161959839430667-(+K595/52)</f>
        <v>1.6481905523991102E-2</v>
      </c>
      <c r="M595" s="70">
        <f>-0.00178428575115118-(+L595/52)</f>
        <v>-2.1012454727663936E-3</v>
      </c>
      <c r="N595" s="70">
        <f>-0.00451854597739889-(+M595/52)</f>
        <v>-4.4781374106149206E-3</v>
      </c>
    </row>
    <row r="596" spans="1:14">
      <c r="A596" s="68">
        <v>0.03</v>
      </c>
      <c r="B596" s="69">
        <f t="shared" si="18"/>
        <v>2.9999999999999997E-4</v>
      </c>
      <c r="C596" s="70">
        <f t="shared" si="19"/>
        <v>5.7692307692307689E-6</v>
      </c>
      <c r="F596" s="71">
        <v>41775</v>
      </c>
      <c r="G596" s="69">
        <v>3.7304886441640872E-3</v>
      </c>
      <c r="H596" s="70">
        <f>0.00579261398229172-(+G596/52)</f>
        <v>5.7208738160577947E-3</v>
      </c>
      <c r="I596" s="70">
        <f>-0.00507276953167784-(+H596/52)</f>
        <v>-5.1827863358327982E-3</v>
      </c>
      <c r="J596" s="70">
        <f>0.0158493361561282-(+I596/52)</f>
        <v>1.5949005124124983E-2</v>
      </c>
      <c r="K596" s="70">
        <f>0.0318067389620449-(+J596/52)</f>
        <v>3.15000273250425E-2</v>
      </c>
      <c r="L596" s="70">
        <f>-0.000635270999609679-(+K596/52)</f>
        <v>-1.2410407558604963E-3</v>
      </c>
      <c r="M596" s="70">
        <f>0.00804733115931055-(+L596/52)</f>
        <v>8.071197327692483E-3</v>
      </c>
      <c r="N596" s="70">
        <f>0.013998008344641-(+M596/52)</f>
        <v>1.3842793011416145E-2</v>
      </c>
    </row>
    <row r="597" spans="1:14">
      <c r="A597" s="68">
        <v>0.03</v>
      </c>
      <c r="B597" s="69">
        <f t="shared" si="18"/>
        <v>2.9999999999999997E-4</v>
      </c>
      <c r="C597" s="70">
        <f t="shared" si="19"/>
        <v>5.7692307692307689E-6</v>
      </c>
      <c r="F597" s="71">
        <v>41782</v>
      </c>
      <c r="G597" s="69">
        <v>-4.7403820657110747E-4</v>
      </c>
      <c r="H597" s="70">
        <f>0.00060532687651316-(+G597/52)</f>
        <v>6.1444299587029669E-4</v>
      </c>
      <c r="I597" s="70">
        <f>0.00167298919117754-(+H597/52)</f>
        <v>1.661172979718496E-3</v>
      </c>
      <c r="J597" s="70">
        <f>0.00973121247093855-(+I597/52)</f>
        <v>9.6992668367131933E-3</v>
      </c>
      <c r="K597" s="70">
        <f>0.00831332136169569-(+J597/52)</f>
        <v>8.1267969994512045E-3</v>
      </c>
      <c r="L597" s="70">
        <f>-0.0085937310610652-(+K597/52)</f>
        <v>-8.7500156187469546E-3</v>
      </c>
      <c r="M597" s="70">
        <f>-0.00319103725197106-(+L597/52)</f>
        <v>-3.0227677208413111E-3</v>
      </c>
      <c r="N597" s="70">
        <f>0.0149843785210925-(+M597/52)</f>
        <v>1.5042508669570218E-2</v>
      </c>
    </row>
    <row r="598" spans="1:14">
      <c r="A598" s="68">
        <v>0.03</v>
      </c>
      <c r="B598" s="69">
        <f t="shared" si="18"/>
        <v>2.9999999999999997E-4</v>
      </c>
      <c r="C598" s="70">
        <f t="shared" si="19"/>
        <v>5.7692307692307689E-6</v>
      </c>
      <c r="F598" s="71">
        <v>41789</v>
      </c>
      <c r="G598" s="69">
        <v>4.4685339114238672E-3</v>
      </c>
      <c r="H598" s="70">
        <f>0.0120127905971827-(+G598/52)</f>
        <v>1.192685725273224E-2</v>
      </c>
      <c r="I598" s="70">
        <f>0.011670311933473-(+H598/52)</f>
        <v>1.1440949293997379E-2</v>
      </c>
      <c r="J598" s="70">
        <f>0.0161209101390122-(+I598/52)</f>
        <v>1.5900891883358404E-2</v>
      </c>
      <c r="K598" s="70">
        <f>0.00162442045416095-(+J598/52)</f>
        <v>1.318634071788673E-3</v>
      </c>
      <c r="L598" s="70">
        <f>0.0142948934777086-(+K598/52)</f>
        <v>1.4269535130174203E-2</v>
      </c>
      <c r="M598" s="70">
        <f>0.0358128645513652-(+L598/52)</f>
        <v>3.553845041424647E-2</v>
      </c>
      <c r="N598" s="70">
        <f>0.00273554314784816-(+M598/52)</f>
        <v>2.052111409112651E-3</v>
      </c>
    </row>
    <row r="599" spans="1:14">
      <c r="A599" s="68">
        <v>0.04</v>
      </c>
      <c r="B599" s="69">
        <f t="shared" si="18"/>
        <v>4.0000000000000002E-4</v>
      </c>
      <c r="C599" s="70">
        <f t="shared" si="19"/>
        <v>7.6923076923076919E-6</v>
      </c>
      <c r="F599" s="71">
        <v>41796</v>
      </c>
      <c r="G599" s="69">
        <v>-3.1053558422830872E-3</v>
      </c>
      <c r="H599" s="70">
        <f>-0.0114218616567037-(+G599/52)</f>
        <v>-1.1362143275121334E-2</v>
      </c>
      <c r="I599" s="70">
        <f>0.012855966925944-(+H599/52)</f>
        <v>1.3074469681234794E-2</v>
      </c>
      <c r="J599" s="70">
        <f>0.00344951256887611-(+I599/52)</f>
        <v>3.1980804596215945E-3</v>
      </c>
      <c r="K599" s="70">
        <f>0.00777528127850789-(+J599/52)</f>
        <v>7.7137797312074744E-3</v>
      </c>
      <c r="L599" s="70">
        <f>-0.00168706863454142-(+K599/52)</f>
        <v>-1.835410552449256E-3</v>
      </c>
      <c r="M599" s="70">
        <f>0.0210201366095981-(+L599/52)</f>
        <v>2.1055432966375971E-2</v>
      </c>
      <c r="N599" s="70">
        <f>0.0113414884165926-(+M599/52)</f>
        <v>1.0936576244162293E-2</v>
      </c>
    </row>
    <row r="600" spans="1:14">
      <c r="A600" s="68">
        <v>0.04</v>
      </c>
      <c r="B600" s="69">
        <f t="shared" si="18"/>
        <v>4.0000000000000002E-4</v>
      </c>
      <c r="C600" s="70">
        <f t="shared" si="19"/>
        <v>7.6923076923076919E-6</v>
      </c>
      <c r="F600" s="71">
        <v>41803</v>
      </c>
      <c r="G600" s="69">
        <v>-5.2131798422870676E-4</v>
      </c>
      <c r="H600" s="70">
        <f>-0.00547673037468949-(+G600/52)</f>
        <v>-5.4667050288389387E-3</v>
      </c>
      <c r="I600" s="70">
        <f>-0.00553140780378217-(+H600/52)</f>
        <v>-5.4262788609198819E-3</v>
      </c>
      <c r="J600" s="70">
        <f>0.0107126146967847-(+I600/52)</f>
        <v>1.0816966213340851E-2</v>
      </c>
      <c r="K600" s="70">
        <f>-0.00308024994028083-(+J600/52)</f>
        <v>-3.2882685213066155E-3</v>
      </c>
      <c r="L600" s="70">
        <f>-0.0202343170403734-(+K600/52)</f>
        <v>-2.0171081107271352E-2</v>
      </c>
      <c r="M600" s="70">
        <f>-0.00390270687300375-(+L600/52)</f>
        <v>-3.5148014670946855E-3</v>
      </c>
      <c r="N600" s="70">
        <f>-0.000713563655824429-(+M600/52)</f>
        <v>-6.4597131991876201E-4</v>
      </c>
    </row>
    <row r="601" spans="1:14">
      <c r="A601" s="68">
        <v>0.04</v>
      </c>
      <c r="B601" s="69">
        <f t="shared" si="18"/>
        <v>4.0000000000000002E-4</v>
      </c>
      <c r="C601" s="70">
        <f t="shared" si="19"/>
        <v>7.6923076923076919E-6</v>
      </c>
      <c r="F601" s="71">
        <v>41810</v>
      </c>
      <c r="G601" s="69">
        <v>1.9050606134254685E-3</v>
      </c>
      <c r="H601" s="70">
        <f>0.018270888615764-(+G601/52)</f>
        <v>1.8234252834736588E-2</v>
      </c>
      <c r="I601" s="70">
        <f>0.00591339719618664-(+H601/52)</f>
        <v>5.5627384878263204E-3</v>
      </c>
      <c r="J601" s="70">
        <f>0.00302187645668915-(+I601/52)</f>
        <v>2.9149007165386442E-3</v>
      </c>
      <c r="K601" s="70">
        <f>-0.016596463792973-(+J601/52)</f>
        <v>-1.6652519575983356E-2</v>
      </c>
      <c r="L601" s="70">
        <f>0.00479791214142899-(+K601/52)</f>
        <v>5.1181529025055928E-3</v>
      </c>
      <c r="M601" s="70">
        <f>-0.0015944122305723-(+L601/52)</f>
        <v>-1.6928382479281768E-3</v>
      </c>
      <c r="N601" s="70">
        <f>0.0385329041681318-(+M601/52)</f>
        <v>3.8565458749822729E-2</v>
      </c>
    </row>
    <row r="602" spans="1:14">
      <c r="A602" s="68">
        <v>0.03</v>
      </c>
      <c r="B602" s="69">
        <f t="shared" si="18"/>
        <v>2.9999999999999997E-4</v>
      </c>
      <c r="C602" s="70">
        <f t="shared" si="19"/>
        <v>5.7692307692307689E-6</v>
      </c>
      <c r="F602" s="71">
        <v>41817</v>
      </c>
      <c r="G602" s="69">
        <v>4.9553441189649555E-3</v>
      </c>
      <c r="H602" s="70">
        <f>-0.000827419134707271-(+G602/52)</f>
        <v>-9.2271421391813553E-4</v>
      </c>
      <c r="I602" s="70">
        <f>-0.00626202370166854-(+H602/52)</f>
        <v>-6.2442791975547297E-3</v>
      </c>
      <c r="J602" s="70">
        <f>0.00630438614765777-(+I602/52)</f>
        <v>6.4244684399184376E-3</v>
      </c>
      <c r="K602" s="70">
        <f>-0.00195781716210552-(+J602/52)</f>
        <v>-2.0813646321039517E-3</v>
      </c>
      <c r="L602" s="70">
        <f>0.0094241788990512-(+K602/52)</f>
        <v>9.4642051419762761E-3</v>
      </c>
      <c r="M602" s="70">
        <f>0.00392774898748634-(+L602/52)</f>
        <v>3.7457450424483348E-3</v>
      </c>
      <c r="N602" s="70">
        <f>0.00935523862109202-(+M602/52)</f>
        <v>9.2832050625833978E-3</v>
      </c>
    </row>
    <row r="603" spans="1:14">
      <c r="A603" s="68">
        <v>0.03</v>
      </c>
      <c r="B603" s="69">
        <f t="shared" si="18"/>
        <v>2.9999999999999997E-4</v>
      </c>
      <c r="C603" s="70">
        <f t="shared" si="19"/>
        <v>5.7692307692307689E-6</v>
      </c>
      <c r="F603" s="71">
        <v>41824</v>
      </c>
      <c r="G603" s="69">
        <v>-3.6494980512410563E-3</v>
      </c>
      <c r="H603" s="70">
        <f>-0.00580526742647369-(+G603/52)</f>
        <v>-5.7350847716421309E-3</v>
      </c>
      <c r="I603" s="70">
        <f>0.0138797987383255-(+H603/52)</f>
        <v>1.3990088830087849E-2</v>
      </c>
      <c r="J603" s="70">
        <f>0.00763443873976031-(+I603/52)</f>
        <v>7.365398569950928E-3</v>
      </c>
      <c r="K603" s="70">
        <f>0.0189141496342236-(+J603/52)</f>
        <v>1.8772507354032235E-2</v>
      </c>
      <c r="L603" s="70">
        <f>0.00914629207294354-(+K603/52)</f>
        <v>8.7852823161352275E-3</v>
      </c>
      <c r="M603" s="70">
        <f>0.00618880376479768-(+L603/52)</f>
        <v>6.0198560279489249E-3</v>
      </c>
      <c r="N603" s="70">
        <f>-0.00165914931827795-(+M603/52)</f>
        <v>-1.7749157803538908E-3</v>
      </c>
    </row>
    <row r="604" spans="1:14">
      <c r="A604" s="68">
        <v>0.02</v>
      </c>
      <c r="B604" s="69">
        <f t="shared" si="18"/>
        <v>2.0000000000000001E-4</v>
      </c>
      <c r="C604" s="70">
        <f t="shared" si="19"/>
        <v>3.8461538461538459E-6</v>
      </c>
      <c r="F604" s="71">
        <v>41831</v>
      </c>
      <c r="G604" s="69">
        <v>3.8197546518682576E-3</v>
      </c>
      <c r="H604" s="70">
        <f>0.00254604782963389-(+G604/52)</f>
        <v>2.4725910094056543E-3</v>
      </c>
      <c r="I604" s="70">
        <f>-0.013619571593918-(+H604/52)</f>
        <v>-1.3667121421021956E-2</v>
      </c>
      <c r="J604" s="70">
        <f>-0.0124759379079493-(+I604/52)</f>
        <v>-1.2213108649852724E-2</v>
      </c>
      <c r="K604" s="70">
        <f>0.0128167403695794-(+J604/52)</f>
        <v>1.305160784361503E-2</v>
      </c>
      <c r="L604" s="70">
        <f>0.00672095934203098-(+K604/52)</f>
        <v>6.4699668834999223E-3</v>
      </c>
      <c r="M604" s="70">
        <f>-0.0157193215507609-(+L604/52)</f>
        <v>-1.5843743990828205E-2</v>
      </c>
      <c r="N604" s="70">
        <f>0.00169292203512483-(+M604/52)</f>
        <v>1.9976094195638342E-3</v>
      </c>
    </row>
    <row r="605" spans="1:14">
      <c r="A605" s="68">
        <v>0.03</v>
      </c>
      <c r="B605" s="69">
        <f t="shared" si="18"/>
        <v>2.9999999999999997E-4</v>
      </c>
      <c r="C605" s="70">
        <f t="shared" si="19"/>
        <v>5.7692307692307689E-6</v>
      </c>
      <c r="F605" s="71">
        <v>41838</v>
      </c>
      <c r="G605" s="69">
        <v>8.2296949097597635E-4</v>
      </c>
      <c r="H605" s="70">
        <f>0.00545175008458136-(+G605/52)</f>
        <v>5.4359237482164372E-3</v>
      </c>
      <c r="I605" s="70">
        <f>0.0141176254466294-(+H605/52)</f>
        <v>1.4013088451471391E-2</v>
      </c>
      <c r="J605" s="70">
        <f>0.00287751822854992-(+I605/52)</f>
        <v>2.6080357583293159E-3</v>
      </c>
      <c r="K605" s="70">
        <f>0.00122436613112765-(+J605/52)</f>
        <v>1.1742115973136247E-3</v>
      </c>
      <c r="L605" s="70">
        <f>0.00542077924033794-(+K605/52)</f>
        <v>5.3981982480819091E-3</v>
      </c>
      <c r="M605" s="70">
        <f>0.0039293283238497-(+L605/52)</f>
        <v>3.8255168190788938E-3</v>
      </c>
      <c r="N605" s="70">
        <f>0.0129579936009909-(+M605/52)</f>
        <v>1.2884425969854767E-2</v>
      </c>
    </row>
    <row r="606" spans="1:14">
      <c r="A606" s="68">
        <v>0.02</v>
      </c>
      <c r="B606" s="69">
        <f t="shared" si="18"/>
        <v>2.0000000000000001E-4</v>
      </c>
      <c r="C606" s="70">
        <f t="shared" si="19"/>
        <v>3.8461538461538459E-6</v>
      </c>
      <c r="F606" s="71">
        <v>41845</v>
      </c>
      <c r="G606" s="69">
        <v>4.0693672488246816E-5</v>
      </c>
      <c r="H606" s="70">
        <f>0.0016015265614883-(+G606/52)</f>
        <v>1.600743990863526E-3</v>
      </c>
      <c r="I606" s="70">
        <f>0.00395351786102457-(+H606/52)</f>
        <v>3.9227343227387331E-3</v>
      </c>
      <c r="J606" s="70">
        <f>-0.0113781074361438-(+I606/52)</f>
        <v>-1.1453544634658006E-2</v>
      </c>
      <c r="K606" s="70">
        <f>0.0068978096138221-(+J606/52)</f>
        <v>7.1180700875655232E-3</v>
      </c>
      <c r="L606" s="70">
        <f>-0.0109293710104691-(+K606/52)</f>
        <v>-1.1066256973691513E-2</v>
      </c>
      <c r="M606" s="70">
        <f>0.000679164697439148-(+L606/52)</f>
        <v>8.9197733154860017E-4</v>
      </c>
      <c r="N606" s="70">
        <f>0.0101150842371785-(+M606/52)</f>
        <v>1.0097930826956413E-2</v>
      </c>
    </row>
    <row r="607" spans="1:14">
      <c r="A607" s="68">
        <v>0.03</v>
      </c>
      <c r="B607" s="69">
        <f t="shared" si="18"/>
        <v>2.9999999999999997E-4</v>
      </c>
      <c r="C607" s="70">
        <f t="shared" si="19"/>
        <v>5.7692307692307689E-6</v>
      </c>
      <c r="F607" s="71">
        <v>41852</v>
      </c>
      <c r="G607" s="69">
        <v>-3.9789775725273015E-3</v>
      </c>
      <c r="H607" s="70">
        <f>-0.0324896237327346-(+G607/52)</f>
        <v>-3.2413104933262916E-2</v>
      </c>
      <c r="I607" s="70">
        <f>-0.0102869334969258-(+H607/52)</f>
        <v>-9.6636045559015133E-3</v>
      </c>
      <c r="J607" s="70">
        <f>-0.0317733958341404-(+I607/52)</f>
        <v>-3.1587557284988445E-2</v>
      </c>
      <c r="K607" s="70">
        <f>-0.0176410045286126-(+J607/52)</f>
        <v>-1.7033551503901283E-2</v>
      </c>
      <c r="L607" s="70">
        <f>0.00990762298561407-(+K607/52)</f>
        <v>1.0235191283766017E-2</v>
      </c>
      <c r="M607" s="70">
        <f>-0.0346803620219773-(+L607/52)</f>
        <v>-3.4877192623588189E-2</v>
      </c>
      <c r="N607" s="70">
        <f>-0.0367063166840247-(+M607/52)</f>
        <v>-3.6035601441263387E-2</v>
      </c>
    </row>
    <row r="608" spans="1:14">
      <c r="A608" s="68">
        <v>0.03</v>
      </c>
      <c r="B608" s="69">
        <f t="shared" si="18"/>
        <v>2.9999999999999997E-4</v>
      </c>
      <c r="C608" s="70">
        <f t="shared" si="19"/>
        <v>5.7692307692307689E-6</v>
      </c>
      <c r="F608" s="71">
        <v>41859</v>
      </c>
      <c r="G608" s="69">
        <v>2.338257594683874E-3</v>
      </c>
      <c r="H608" s="70">
        <f>-0.00416241780653319-(+G608/52)</f>
        <v>-4.207384298738649E-3</v>
      </c>
      <c r="I608" s="70">
        <f>-0.0244954046903378-(+H608/52)</f>
        <v>-2.4414493453823596E-2</v>
      </c>
      <c r="J608" s="70">
        <f>-0.00882919770334163-(+I608/52)</f>
        <v>-8.3596882138450221E-3</v>
      </c>
      <c r="K608" s="70">
        <f>-0.0139178174046058-(+J608/52)</f>
        <v>-1.3757054169724165E-2</v>
      </c>
      <c r="L608" s="70">
        <f>0.028473299748333-(+K608/52)</f>
        <v>2.8737858482366159E-2</v>
      </c>
      <c r="M608" s="70">
        <f>-0.0488101882388757-(+L608/52)</f>
        <v>-4.9362839363536588E-2</v>
      </c>
      <c r="N608" s="70">
        <f>-0.000607334612575415-(+M608/52)</f>
        <v>3.4195075980028859E-4</v>
      </c>
    </row>
    <row r="609" spans="1:14">
      <c r="A609" s="68">
        <v>0.03</v>
      </c>
      <c r="B609" s="69">
        <f t="shared" si="18"/>
        <v>2.9999999999999997E-4</v>
      </c>
      <c r="C609" s="70">
        <f t="shared" si="19"/>
        <v>5.7692307692307689E-6</v>
      </c>
      <c r="F609" s="71">
        <v>41866</v>
      </c>
      <c r="G609" s="69">
        <v>4.5940690448154275E-3</v>
      </c>
      <c r="H609" s="70">
        <f>0.0194425440822721-(+G609/52)</f>
        <v>1.9354196600641034E-2</v>
      </c>
      <c r="I609" s="70">
        <f>0.0278997729332721-(+H609/52)</f>
        <v>2.7527576844798236E-2</v>
      </c>
      <c r="J609" s="70">
        <f>0.0241904556861532-(+I609/52)</f>
        <v>2.3661079208368619E-2</v>
      </c>
      <c r="K609" s="70">
        <f>0.0245692622846311-(+J609/52)</f>
        <v>2.4114241530624012E-2</v>
      </c>
      <c r="L609" s="70">
        <f>0.00432834342336672-(+K609/52)</f>
        <v>3.8646080093162585E-3</v>
      </c>
      <c r="M609" s="70">
        <f>0.0273643783005281-(+L609/52)</f>
        <v>2.7290058915733557E-2</v>
      </c>
      <c r="N609" s="70">
        <f>0.0413605228347282-(+M609/52)</f>
        <v>4.0835714009425629E-2</v>
      </c>
    </row>
    <row r="610" spans="1:14">
      <c r="A610" s="68">
        <v>0.04</v>
      </c>
      <c r="B610" s="69">
        <f t="shared" si="18"/>
        <v>4.0000000000000002E-4</v>
      </c>
      <c r="C610" s="70">
        <f t="shared" si="19"/>
        <v>7.6923076923076919E-6</v>
      </c>
      <c r="F610" s="71">
        <v>41873</v>
      </c>
      <c r="G610" s="69">
        <v>-3.3533420793267475E-3</v>
      </c>
      <c r="H610" s="70">
        <f>0.00818721046023307-(+G610/52)</f>
        <v>8.2516978079124319E-3</v>
      </c>
      <c r="I610" s="70">
        <f>0.0111133585296732-(+H610/52)</f>
        <v>1.0954672033367191E-2</v>
      </c>
      <c r="J610" s="70">
        <f>0.00537021648377272-(+I610/52)</f>
        <v>5.1595497139002742E-3</v>
      </c>
      <c r="K610" s="70">
        <f>0.0103204396971897-(+J610/52)</f>
        <v>1.0221217587307003E-2</v>
      </c>
      <c r="L610" s="70">
        <f>0.00366705779672514-(+K610/52)</f>
        <v>3.4704959200461591E-3</v>
      </c>
      <c r="M610" s="70">
        <f>0.0126724521584335-(+L610/52)</f>
        <v>1.2605711852278765E-2</v>
      </c>
      <c r="N610" s="70">
        <f>0.00818251562676856-(+M610/52)</f>
        <v>7.9400980911478146E-3</v>
      </c>
    </row>
    <row r="611" spans="1:14">
      <c r="A611" s="68">
        <v>0.03</v>
      </c>
      <c r="B611" s="69">
        <f t="shared" si="18"/>
        <v>2.9999999999999997E-4</v>
      </c>
      <c r="C611" s="70">
        <f t="shared" si="19"/>
        <v>5.7692307692307689E-6</v>
      </c>
      <c r="F611" s="71">
        <v>41880</v>
      </c>
      <c r="G611" s="69">
        <v>4.3323304053405438E-3</v>
      </c>
      <c r="H611" s="70">
        <f>0.014927360098943-(+G611/52)</f>
        <v>1.4844046052686452E-2</v>
      </c>
      <c r="I611" s="70">
        <f>0.00903347036756483-(+H611/52)</f>
        <v>8.748007943474705E-3</v>
      </c>
      <c r="J611" s="70">
        <f>0.00991205258549722-(+I611/52)</f>
        <v>9.7438216635073217E-3</v>
      </c>
      <c r="K611" s="70">
        <f>-0.00970590771176259-(+J611/52)</f>
        <v>-9.8932888975992693E-3</v>
      </c>
      <c r="L611" s="70">
        <f>0.00979740653132077-(+K611/52)</f>
        <v>9.9876620870438335E-3</v>
      </c>
      <c r="M611" s="70">
        <f>0.0164141552862588-(+L611/52)</f>
        <v>1.6222084861507956E-2</v>
      </c>
      <c r="N611" s="70">
        <f>0.0134228857707431-(+M611/52)</f>
        <v>1.3110922600329486E-2</v>
      </c>
    </row>
    <row r="612" spans="1:14">
      <c r="A612" s="68">
        <v>0.03</v>
      </c>
      <c r="B612" s="69">
        <f t="shared" si="18"/>
        <v>2.9999999999999997E-4</v>
      </c>
      <c r="C612" s="70">
        <f t="shared" si="19"/>
        <v>5.7692307692307689E-6</v>
      </c>
      <c r="F612" s="71">
        <v>41887</v>
      </c>
      <c r="G612" s="69">
        <v>-6.6303211719144989E-3</v>
      </c>
      <c r="H612" s="70">
        <f>0.0112001083198992-(+G612/52)</f>
        <v>1.1327614496282171E-2</v>
      </c>
      <c r="I612" s="70">
        <f>0.0311636817250291-(+H612/52)</f>
        <v>3.0945842984715984E-2</v>
      </c>
      <c r="J612" s="70">
        <f>-0.00315405368684614-(+I612/52)</f>
        <v>-3.749166051936832E-3</v>
      </c>
      <c r="K612" s="70">
        <f>0.000111940762606991-(+J612/52)</f>
        <v>1.8404010975962238E-4</v>
      </c>
      <c r="L612" s="70">
        <f>0.00926797803626551-(+K612/52)</f>
        <v>9.2644388033855159E-3</v>
      </c>
      <c r="M612" s="70">
        <f>0.013886336695023-(+L612/52)</f>
        <v>1.370817441034251E-2</v>
      </c>
      <c r="N612" s="70">
        <f>0.0125902291549727-(+M612/52)</f>
        <v>1.2326610416312266E-2</v>
      </c>
    </row>
    <row r="613" spans="1:14">
      <c r="A613" s="68">
        <v>0.03</v>
      </c>
      <c r="B613" s="69">
        <f t="shared" si="18"/>
        <v>2.9999999999999997E-4</v>
      </c>
      <c r="C613" s="70">
        <f t="shared" si="19"/>
        <v>5.7692307692307689E-6</v>
      </c>
      <c r="F613" s="71">
        <v>41894</v>
      </c>
      <c r="G613" s="69">
        <v>-9.773326863245637E-3</v>
      </c>
      <c r="H613" s="70">
        <f>-0.0281064841160915-(+G613/52)</f>
        <v>-2.7918535522567543E-2</v>
      </c>
      <c r="I613" s="70">
        <f>-0.0274977857466894-(+H613/52)</f>
        <v>-2.6960890832793873E-2</v>
      </c>
      <c r="J613" s="70">
        <f>-0.0319713387267932-(+I613/52)</f>
        <v>-3.1452860056931778E-2</v>
      </c>
      <c r="K613" s="70">
        <f>-0.00219710976428751-(+J613/52)</f>
        <v>-1.5922470708849758E-3</v>
      </c>
      <c r="L613" s="70">
        <f>-0.0228665937257755-(+K613/52)</f>
        <v>-2.2835973589796943E-2</v>
      </c>
      <c r="M613" s="70">
        <f>-0.0379504820660073-(+L613/52)</f>
        <v>-3.7511328727741974E-2</v>
      </c>
      <c r="N613" s="70">
        <f>-0.0305007026467171-(+M613/52)</f>
        <v>-2.9779330940414371E-2</v>
      </c>
    </row>
    <row r="614" spans="1:14">
      <c r="A614" s="68">
        <v>0.02</v>
      </c>
      <c r="B614" s="69">
        <f t="shared" si="18"/>
        <v>2.0000000000000001E-4</v>
      </c>
      <c r="C614" s="70">
        <f t="shared" si="19"/>
        <v>3.8461538461538459E-6</v>
      </c>
      <c r="F614" s="71">
        <v>41901</v>
      </c>
      <c r="G614" s="69">
        <v>4.9073617897072601E-4</v>
      </c>
      <c r="H614" s="70">
        <f>-0.00246268303288898-(+G614/52)</f>
        <v>-2.4721202670999554E-3</v>
      </c>
      <c r="I614" s="70">
        <f>-0.0240569904105238-(+H614/52)</f>
        <v>-2.4009449636156491E-2</v>
      </c>
      <c r="J614" s="70">
        <f>-0.00791822969570796-(+I614/52)</f>
        <v>-7.4565095103972592E-3</v>
      </c>
      <c r="K614" s="70">
        <f>0.00560458005118481-(+J614/52)</f>
        <v>5.7479744648462963E-3</v>
      </c>
      <c r="L614" s="70">
        <f>-0.00225908665058352-(+K614/52)</f>
        <v>-2.3696246210613337E-3</v>
      </c>
      <c r="M614" s="70">
        <f>-0.0206380165045029-(+L614/52)</f>
        <v>-2.0592446800251719E-2</v>
      </c>
      <c r="N614" s="70">
        <f>0.008456277883523-(+M614/52)</f>
        <v>8.8522864758355333E-3</v>
      </c>
    </row>
    <row r="615" spans="1:14">
      <c r="A615" s="68">
        <v>0.02</v>
      </c>
      <c r="B615" s="69">
        <f t="shared" si="18"/>
        <v>2.0000000000000001E-4</v>
      </c>
      <c r="C615" s="70">
        <f t="shared" si="19"/>
        <v>3.8461538461538459E-6</v>
      </c>
      <c r="F615" s="71">
        <v>41908</v>
      </c>
      <c r="G615" s="69">
        <v>-8.8465142655115179E-4</v>
      </c>
      <c r="H615" s="70">
        <f>-0.0176395692613133-(+G615/52)</f>
        <v>-1.7622556733879625E-2</v>
      </c>
      <c r="I615" s="70">
        <f>-0.0181062521765058-(+H615/52)</f>
        <v>-1.7767356854700423E-2</v>
      </c>
      <c r="J615" s="70">
        <f>-0.0280600262893791-(+I615/52)</f>
        <v>-2.7718346349865631E-2</v>
      </c>
      <c r="K615" s="70">
        <f>-0.0297506661984341-(+J615/52)</f>
        <v>-2.9217621076321299E-2</v>
      </c>
      <c r="L615" s="70">
        <f>-0.0119221693518381-(+K615/52)</f>
        <v>-1.1360292023447306E-2</v>
      </c>
      <c r="M615" s="70">
        <f>-0.02911057719508-(+L615/52)</f>
        <v>-2.8892110040782935E-2</v>
      </c>
      <c r="N615" s="70">
        <f>-0.0323329080966555-(+M615/52)</f>
        <v>-3.1777290595871206E-2</v>
      </c>
    </row>
    <row r="616" spans="1:14">
      <c r="A616" s="68">
        <v>0.01</v>
      </c>
      <c r="B616" s="69">
        <f t="shared" si="18"/>
        <v>1E-4</v>
      </c>
      <c r="C616" s="70">
        <f t="shared" si="19"/>
        <v>1.923076923076923E-6</v>
      </c>
      <c r="F616" s="71">
        <v>41915</v>
      </c>
      <c r="G616" s="69">
        <v>-6.7835593364533276E-4</v>
      </c>
      <c r="H616" s="70">
        <f>0.000861129661523337-(+G616/52)</f>
        <v>8.741749679395933E-4</v>
      </c>
      <c r="I616" s="70">
        <f>-0.00837745366206463-(+H616/52)</f>
        <v>-8.3942647191403916E-3</v>
      </c>
      <c r="J616" s="70">
        <f>-0.0139587599475721-(+I616/52)</f>
        <v>-1.3797331779896324E-2</v>
      </c>
      <c r="K616" s="70">
        <f>-0.0288489380184293-(+J616/52)</f>
        <v>-2.8583604714969756E-2</v>
      </c>
      <c r="L616" s="70">
        <f>0.00244362523221804-(+K616/52)</f>
        <v>2.9933099382751507E-3</v>
      </c>
      <c r="M616" s="70">
        <f>-0.0180762910387749-(+L616/52)</f>
        <v>-1.813385469143404E-2</v>
      </c>
      <c r="N616" s="70">
        <f>-0.0125049148478517-(+M616/52)</f>
        <v>-1.2156186873016429E-2</v>
      </c>
    </row>
    <row r="617" spans="1:14">
      <c r="A617" s="68">
        <v>0.02</v>
      </c>
      <c r="B617" s="69">
        <f t="shared" si="18"/>
        <v>2.0000000000000001E-4</v>
      </c>
      <c r="C617" s="70">
        <f t="shared" si="19"/>
        <v>3.8461538461538459E-6</v>
      </c>
      <c r="F617" s="71">
        <v>41922</v>
      </c>
      <c r="G617" s="69">
        <v>4.7903396749852849E-3</v>
      </c>
      <c r="H617" s="70">
        <f>0.000618953135151207-(+G617/52)</f>
        <v>5.2683121832456682E-4</v>
      </c>
      <c r="I617" s="70">
        <f>-0.0306534636800988-(+H617/52)</f>
        <v>-3.0663595049681965E-2</v>
      </c>
      <c r="J617" s="70">
        <f>0.0095833127657625-(+I617/52)</f>
        <v>1.0172997285948691E-2</v>
      </c>
      <c r="K617" s="70">
        <f>-0.015701388614849-(+J617/52)</f>
        <v>-1.5897023178040322E-2</v>
      </c>
      <c r="L617" s="70">
        <f>-0.0117028837025931-(+K617/52)</f>
        <v>-1.1397171718400018E-2</v>
      </c>
      <c r="M617" s="70">
        <f>-0.0214119546123534-(+L617/52)</f>
        <v>-2.1192778233153402E-2</v>
      </c>
      <c r="N617" s="70">
        <f>-0.042231712299713-(+M617/52)</f>
        <v>-4.1824158872152357E-2</v>
      </c>
    </row>
    <row r="618" spans="1:14">
      <c r="A618" s="68">
        <v>0.01</v>
      </c>
      <c r="B618" s="69">
        <f t="shared" si="18"/>
        <v>1E-4</v>
      </c>
      <c r="C618" s="70">
        <f t="shared" si="19"/>
        <v>1.923076923076923E-6</v>
      </c>
      <c r="F618" s="71">
        <v>41929</v>
      </c>
      <c r="G618" s="69">
        <v>4.543408168080393E-3</v>
      </c>
      <c r="H618" s="70">
        <f>0.00694465770251613-(+G618/52)</f>
        <v>6.8572844685145838E-3</v>
      </c>
      <c r="I618" s="70">
        <f>0.000942920739192166-(+H618/52)</f>
        <v>8.1104988402842402E-4</v>
      </c>
      <c r="J618" s="70">
        <f>0.0109835996870808-(+I618/52)</f>
        <v>1.0968002573926407E-2</v>
      </c>
      <c r="K618" s="70">
        <f>0.00236983714051518-(+J618/52)</f>
        <v>2.1589140140935181E-3</v>
      </c>
      <c r="L618" s="70">
        <f>0.00047108656970246-(+K618/52)</f>
        <v>4.295689925083539E-4</v>
      </c>
      <c r="M618" s="70">
        <f>0.005935054013843-(+L618/52)</f>
        <v>5.9267930716793782E-3</v>
      </c>
      <c r="N618" s="70">
        <f>0.00526311499240554-(+M618/52)</f>
        <v>5.1491382025655522E-3</v>
      </c>
    </row>
    <row r="619" spans="1:14">
      <c r="A619" s="68">
        <v>0.02</v>
      </c>
      <c r="B619" s="69">
        <f t="shared" si="18"/>
        <v>2.0000000000000001E-4</v>
      </c>
      <c r="C619" s="70">
        <f t="shared" si="19"/>
        <v>3.8461538461538459E-6</v>
      </c>
      <c r="F619" s="71">
        <v>41936</v>
      </c>
      <c r="G619" s="69">
        <v>-1.1099754649677382E-3</v>
      </c>
      <c r="H619" s="70">
        <f>0.0290509218918824-(+G619/52)</f>
        <v>2.9072267573901012E-2</v>
      </c>
      <c r="I619" s="70">
        <f>0.0224642220401869-(+H619/52)</f>
        <v>2.1905139971458036E-2</v>
      </c>
      <c r="J619" s="70">
        <f>0.0307135874202451-(+I619/52)</f>
        <v>3.0292334728486293E-2</v>
      </c>
      <c r="K619" s="70">
        <f>0.0162607768198383-(+J619/52)</f>
        <v>1.5678231921213561E-2</v>
      </c>
      <c r="L619" s="70">
        <f>0.0361752666156891-(+K619/52)</f>
        <v>3.5873762155665762E-2</v>
      </c>
      <c r="M619" s="70">
        <f>0.0281899586836649-(+L619/52)</f>
        <v>2.750007864220979E-2</v>
      </c>
      <c r="N619" s="70">
        <f>0.0360975214206558-(+M619/52)</f>
        <v>3.5568673754459462E-2</v>
      </c>
    </row>
    <row r="620" spans="1:14">
      <c r="A620" s="68">
        <v>0.02</v>
      </c>
      <c r="B620" s="69">
        <f t="shared" si="18"/>
        <v>2.0000000000000001E-4</v>
      </c>
      <c r="C620" s="70">
        <f t="shared" si="19"/>
        <v>3.8461538461538459E-6</v>
      </c>
      <c r="F620" s="71">
        <v>41943</v>
      </c>
      <c r="G620" s="69">
        <v>-3.3057117941236815E-3</v>
      </c>
      <c r="H620" s="70">
        <f>0.0314992633236804-(+G620/52)</f>
        <v>3.1562834704336629E-2</v>
      </c>
      <c r="I620" s="70">
        <f>0.0173427838938319-(+H620/52)</f>
        <v>1.6735806303363888E-2</v>
      </c>
      <c r="J620" s="70">
        <f>0.0240907323743515-(+I620/52)</f>
        <v>2.3768889945440658E-2</v>
      </c>
      <c r="K620" s="70">
        <f>0.00974291474075022-(+J620/52)</f>
        <v>9.2858207033379003E-3</v>
      </c>
      <c r="L620" s="70">
        <f>-0.0178095242917371-(+K620/52)</f>
        <v>-1.7988097766801291E-2</v>
      </c>
      <c r="M620" s="70">
        <f>0.0298445036860991-(+L620/52)</f>
        <v>3.019042864315297E-2</v>
      </c>
      <c r="N620" s="70">
        <f>0.010961977434292-(+M620/52)</f>
        <v>1.038139226807752E-2</v>
      </c>
    </row>
    <row r="621" spans="1:14">
      <c r="A621" s="68">
        <v>0.02</v>
      </c>
      <c r="B621" s="69">
        <f t="shared" si="18"/>
        <v>2.0000000000000001E-4</v>
      </c>
      <c r="C621" s="70">
        <f t="shared" si="19"/>
        <v>3.8461538461538459E-6</v>
      </c>
      <c r="F621" s="71">
        <v>41950</v>
      </c>
      <c r="G621" s="69">
        <v>-3.0053557122057127E-3</v>
      </c>
      <c r="H621" s="70">
        <f>-0.00631680047283666-(+G621/52)</f>
        <v>-6.2590051706788571E-3</v>
      </c>
      <c r="I621" s="70">
        <f>0.000903313074414594-(+H621/52)</f>
        <v>1.0236785584661105E-3</v>
      </c>
      <c r="J621" s="70">
        <f>-0.0119747349129466-(+I621/52)</f>
        <v>-1.1994421039070948E-2</v>
      </c>
      <c r="K621" s="70">
        <f>0.0189296989697151-(+J621/52)</f>
        <v>1.916036091277416E-2</v>
      </c>
      <c r="L621" s="70">
        <f>0.0130976903233289-(+K621/52)</f>
        <v>1.2729221844237089E-2</v>
      </c>
      <c r="M621" s="70">
        <f>-0.0159188646516942-(+L621/52)</f>
        <v>-1.616365737946799E-2</v>
      </c>
      <c r="N621" s="70">
        <f>-0.00728981464517311-(+M621/52)</f>
        <v>-6.978975080183341E-3</v>
      </c>
    </row>
    <row r="622" spans="1:14">
      <c r="A622" s="68">
        <v>0.03</v>
      </c>
      <c r="B622" s="69">
        <f t="shared" si="18"/>
        <v>2.9999999999999997E-4</v>
      </c>
      <c r="C622" s="70">
        <f t="shared" si="19"/>
        <v>5.7692307692307689E-6</v>
      </c>
      <c r="F622" s="71">
        <v>41957</v>
      </c>
      <c r="G622" s="69">
        <v>3.1786138176007776E-7</v>
      </c>
      <c r="H622" s="70">
        <f>-0.00605542406556044-(+G622/52)</f>
        <v>-6.0554301782793198E-3</v>
      </c>
      <c r="I622" s="70">
        <f>0.0108785700731718-(+H622/52)</f>
        <v>1.0995020653523327E-2</v>
      </c>
      <c r="J622" s="70">
        <f>-0.00561442327120489-(+I622/52)</f>
        <v>-5.8258659760803385E-3</v>
      </c>
      <c r="K622" s="70">
        <f>0.00660920273038691-(+J622/52)</f>
        <v>6.7212386145423008E-3</v>
      </c>
      <c r="L622" s="70">
        <f>0.00544586278953011-(+K622/52)</f>
        <v>5.316608200788912E-3</v>
      </c>
      <c r="M622" s="70">
        <f>0.0104216888381475-(+L622/52)</f>
        <v>1.0319446372747712E-2</v>
      </c>
      <c r="N622" s="70">
        <f>-0.0135585466153022-(+M622/52)</f>
        <v>-1.3756997507085809E-2</v>
      </c>
    </row>
    <row r="623" spans="1:14">
      <c r="A623" s="68">
        <v>0.02</v>
      </c>
      <c r="B623" s="69">
        <f t="shared" si="18"/>
        <v>2.0000000000000001E-4</v>
      </c>
      <c r="C623" s="70">
        <f t="shared" si="19"/>
        <v>3.8461538461538459E-6</v>
      </c>
      <c r="F623" s="71">
        <v>41964</v>
      </c>
      <c r="G623" s="69">
        <v>1.0411158773576462E-3</v>
      </c>
      <c r="H623" s="70">
        <f>0.00808707107563034-(+G623/52)</f>
        <v>8.0670496164503853E-3</v>
      </c>
      <c r="I623" s="70">
        <f>0.00405416232673665-(+H623/52)</f>
        <v>3.8990267571895271E-3</v>
      </c>
      <c r="J623" s="70">
        <f>0.0234072603478944-(+I623/52)</f>
        <v>2.3332279064102294E-2</v>
      </c>
      <c r="K623" s="70">
        <f>0.0154919289119337-(+J623/52)</f>
        <v>1.5043231237624041E-2</v>
      </c>
      <c r="L623" s="70">
        <f>0.0215393647040862-(+K623/52)</f>
        <v>2.1250071795670355E-2</v>
      </c>
      <c r="M623" s="70">
        <f>0.0134061663784646-(+L623/52)</f>
        <v>1.2997511151624785E-2</v>
      </c>
      <c r="N623" s="70">
        <f>0.0210521600269838-(+M623/52)</f>
        <v>2.0802207889452556E-2</v>
      </c>
    </row>
    <row r="624" spans="1:14">
      <c r="A624" s="68">
        <v>0.02</v>
      </c>
      <c r="B624" s="69">
        <f t="shared" si="18"/>
        <v>2.0000000000000001E-4</v>
      </c>
      <c r="C624" s="70">
        <f t="shared" si="19"/>
        <v>3.8461538461538459E-6</v>
      </c>
      <c r="F624" s="71">
        <v>41971</v>
      </c>
      <c r="G624" s="69">
        <v>4.8386613026136652E-3</v>
      </c>
      <c r="H624" s="70">
        <f>0.00493451563833331-(+G624/52)</f>
        <v>4.8414644594368932E-3</v>
      </c>
      <c r="I624" s="70">
        <f>-0.00431366647971074-(+H624/52)</f>
        <v>-4.4067715654691414E-3</v>
      </c>
      <c r="J624" s="70">
        <f>0.0013084531935046-(+I624/52)</f>
        <v>1.3931988005328527E-3</v>
      </c>
      <c r="K624" s="70">
        <f>0.00254883535272061-(+J624/52)</f>
        <v>2.5220430680949779E-3</v>
      </c>
      <c r="L624" s="70">
        <f>0.0304877343924169-(+K624/52)</f>
        <v>3.0439233564184303E-2</v>
      </c>
      <c r="M624" s="70">
        <f>0.0179485537571427-(+L624/52)</f>
        <v>1.7363183880908385E-2</v>
      </c>
      <c r="N624" s="70">
        <f>-0.0270288405703594-(+M624/52)</f>
        <v>-2.7362747952684563E-2</v>
      </c>
    </row>
    <row r="625" spans="1:14">
      <c r="A625" s="68">
        <v>0.02</v>
      </c>
      <c r="B625" s="69">
        <f t="shared" si="18"/>
        <v>2.0000000000000001E-4</v>
      </c>
      <c r="C625" s="70">
        <f t="shared" si="19"/>
        <v>3.8461538461538459E-6</v>
      </c>
      <c r="F625" s="71">
        <v>41978</v>
      </c>
      <c r="G625" s="69">
        <v>-7.3761066938354096E-3</v>
      </c>
      <c r="H625" s="70">
        <f>0.00067275427239998-(+G625/52)</f>
        <v>8.146024780506609E-4</v>
      </c>
      <c r="I625" s="70">
        <f>0.00394537386023795-(+H625/52)</f>
        <v>3.9297084279677451E-3</v>
      </c>
      <c r="J625" s="70">
        <f>-0.0215092560989485-(+I625/52)</f>
        <v>-2.1584827414870958E-2</v>
      </c>
      <c r="K625" s="70">
        <f>0.0059846960993716-(+J625/52)</f>
        <v>6.3997889342729646E-3</v>
      </c>
      <c r="L625" s="70">
        <f>-0.0387068781779984-(+K625/52)</f>
        <v>-3.8829951042119032E-2</v>
      </c>
      <c r="M625" s="70">
        <f>-0.0051397615505872-(+L625/52)</f>
        <v>-4.3930317228541415E-3</v>
      </c>
      <c r="N625" s="70">
        <f>0.00750924398279053-(+M625/52)</f>
        <v>7.5937253620761867E-3</v>
      </c>
    </row>
    <row r="626" spans="1:14">
      <c r="A626" s="68">
        <v>0.02</v>
      </c>
      <c r="B626" s="69">
        <f t="shared" si="18"/>
        <v>2.0000000000000001E-4</v>
      </c>
      <c r="C626" s="70">
        <f t="shared" si="19"/>
        <v>3.8461538461538459E-6</v>
      </c>
      <c r="F626" s="71">
        <v>41985</v>
      </c>
      <c r="G626" s="69">
        <v>6.3742580303940708E-3</v>
      </c>
      <c r="H626" s="70">
        <f>-0.019947691626561-(+G626/52)</f>
        <v>-2.0070273511760887E-2</v>
      </c>
      <c r="I626" s="70">
        <f>-0.0095087777719489-(+H626/52)</f>
        <v>-9.1228109736458066E-3</v>
      </c>
      <c r="J626" s="70">
        <f>-0.00517244815924619-(+I626/52)</f>
        <v>-4.9970094866760781E-3</v>
      </c>
      <c r="K626" s="70">
        <f>-0.0237675112756537-(+J626/52)</f>
        <v>-2.3671414939371468E-2</v>
      </c>
      <c r="L626" s="70">
        <f>-0.028447733712642-(+K626/52)</f>
        <v>-2.7992514194577163E-2</v>
      </c>
      <c r="M626" s="70">
        <f>-0.0254931060005877-(+L626/52)</f>
        <v>-2.4954788419922755E-2</v>
      </c>
      <c r="N626" s="70">
        <f>-0.0693594290122237-(+M626/52)</f>
        <v>-6.8879529234917483E-2</v>
      </c>
    </row>
    <row r="627" spans="1:14">
      <c r="A627" s="68">
        <v>0.03</v>
      </c>
      <c r="B627" s="69">
        <f t="shared" si="18"/>
        <v>2.9999999999999997E-4</v>
      </c>
      <c r="C627" s="70">
        <f t="shared" si="19"/>
        <v>5.7692307692307689E-6</v>
      </c>
      <c r="F627" s="71">
        <v>41992</v>
      </c>
      <c r="G627" s="69">
        <v>-1.4772522847055457E-3</v>
      </c>
      <c r="H627" s="70">
        <f>0.0211693548387097-(+G627/52)</f>
        <v>2.1197763536492498E-2</v>
      </c>
      <c r="I627" s="70">
        <f>0.011083017859939-(+H627/52)</f>
        <v>1.0675368561160298E-2</v>
      </c>
      <c r="J627" s="70">
        <f>0.0133205993434871-(+I627/52)</f>
        <v>1.3115303794234017E-2</v>
      </c>
      <c r="K627" s="70">
        <f>-0.00771982279881574-(+J627/52)</f>
        <v>-7.9720401794740863E-3</v>
      </c>
      <c r="L627" s="70">
        <f>0.0159604906326972-(+K627/52)</f>
        <v>1.6113799097687086E-2</v>
      </c>
      <c r="M627" s="70">
        <f>0.00388926844349095-(+L627/52)</f>
        <v>3.5793876916123523E-3</v>
      </c>
      <c r="N627" s="70">
        <f>0.0486777486081563-(+M627/52)</f>
        <v>4.8608914229471452E-2</v>
      </c>
    </row>
    <row r="628" spans="1:14">
      <c r="A628" s="68">
        <v>0.04</v>
      </c>
      <c r="B628" s="69">
        <f t="shared" si="18"/>
        <v>4.0000000000000002E-4</v>
      </c>
      <c r="C628" s="70">
        <f t="shared" si="19"/>
        <v>7.6923076923076919E-6</v>
      </c>
      <c r="F628" s="71">
        <v>41999</v>
      </c>
      <c r="G628" s="69">
        <v>-2.0314757367781633E-3</v>
      </c>
      <c r="H628" s="70">
        <f>0.0208533872929919-(+G628/52)</f>
        <v>2.0892454134083787E-2</v>
      </c>
      <c r="I628" s="70">
        <f>0.0161724146569766-(+H628/52)</f>
        <v>1.5770636692859604E-2</v>
      </c>
      <c r="J628" s="70">
        <f>0.0182830779370572-(+I628/52)</f>
        <v>1.7979796462194515E-2</v>
      </c>
      <c r="K628" s="70">
        <f>0.00513267933522012-(+J628/52)</f>
        <v>4.7869140186394561E-3</v>
      </c>
      <c r="L628" s="70">
        <f>0.00924843385896227-(+K628/52)</f>
        <v>9.1563778201422807E-3</v>
      </c>
      <c r="M628" s="70">
        <f>0.00736820494103159-(+L628/52)</f>
        <v>7.1921207521827004E-3</v>
      </c>
      <c r="N628" s="70">
        <f>0.0217995926570362-(+M628/52)</f>
        <v>2.1661282642571146E-2</v>
      </c>
    </row>
    <row r="629" spans="1:14">
      <c r="A629" s="68">
        <v>0.03</v>
      </c>
      <c r="B629" s="69">
        <f t="shared" si="18"/>
        <v>2.9999999999999997E-4</v>
      </c>
      <c r="C629" s="70">
        <f t="shared" si="19"/>
        <v>5.7692307692307689E-6</v>
      </c>
      <c r="F629" s="71">
        <v>42006</v>
      </c>
      <c r="G629" s="69">
        <v>3.0071809582729401E-3</v>
      </c>
      <c r="H629" s="70">
        <f>-0.0213783584245497-(+G629/52)</f>
        <v>-2.1436188827593412E-2</v>
      </c>
      <c r="I629" s="70">
        <f>-0.0240731360745166-(+H629/52)</f>
        <v>-2.3660901673985955E-2</v>
      </c>
      <c r="J629" s="70">
        <f>-0.0138026783344876-(+I629/52)</f>
        <v>-1.3347660994603255E-2</v>
      </c>
      <c r="K629" s="70">
        <f>0.0119786087199529-(+J629/52)</f>
        <v>1.2235294508310655E-2</v>
      </c>
      <c r="L629" s="70">
        <f>-0.00615528143897959-(+K629/52)</f>
        <v>-6.3905755641394104E-3</v>
      </c>
      <c r="M629" s="70">
        <f>-0.00756340579710144-(+L629/52)</f>
        <v>-7.4405101131756824E-3</v>
      </c>
      <c r="N629" s="70">
        <f>0.00179789638203053-(+M629/52)</f>
        <v>1.9409831149762163E-3</v>
      </c>
    </row>
    <row r="630" spans="1:14">
      <c r="A630" s="68">
        <v>0.03</v>
      </c>
      <c r="B630" s="69">
        <f t="shared" si="18"/>
        <v>2.9999999999999997E-4</v>
      </c>
      <c r="C630" s="70">
        <f t="shared" si="19"/>
        <v>5.7692307692307689E-6</v>
      </c>
      <c r="F630" s="71">
        <v>42013</v>
      </c>
      <c r="G630" s="69">
        <v>2.9656999036228541E-3</v>
      </c>
      <c r="H630" s="70">
        <f>0.0049324302161576-(+G630/52)</f>
        <v>4.8753975257033143E-3</v>
      </c>
      <c r="I630" s="70">
        <f>0.0251101756609966-(+H630/52)</f>
        <v>2.5016418016271535E-2</v>
      </c>
      <c r="J630" s="70">
        <f>0.00259571493733854-(+I630/52)</f>
        <v>2.1146299754871644E-3</v>
      </c>
      <c r="K630" s="70">
        <f>-0.006092050209205-(+J630/52)</f>
        <v>-6.1327161702720602E-3</v>
      </c>
      <c r="L630" s="70">
        <f>0.0123089318367802-(+K630/52)</f>
        <v>1.2426868686208507E-2</v>
      </c>
      <c r="M630" s="70">
        <f>0.00298909323232789-(+L630/52)</f>
        <v>2.7501149883623417E-3</v>
      </c>
      <c r="N630" s="70">
        <f>-0.0426372421644613-(+M630/52)</f>
        <v>-4.2690128991160571E-2</v>
      </c>
    </row>
    <row r="631" spans="1:14">
      <c r="A631" s="68">
        <v>0.03</v>
      </c>
      <c r="B631" s="69">
        <f t="shared" si="18"/>
        <v>2.9999999999999997E-4</v>
      </c>
      <c r="C631" s="70">
        <f t="shared" si="19"/>
        <v>5.7692307692307689E-6</v>
      </c>
      <c r="F631" s="71">
        <v>42020</v>
      </c>
      <c r="G631" s="69">
        <v>2.2160631854083995E-3</v>
      </c>
      <c r="H631" s="70">
        <f>0.0136475465016178-(+G631/52)</f>
        <v>1.3604929901898407E-2</v>
      </c>
      <c r="I631" s="70">
        <f>0.031525063007561-(+H631/52)</f>
        <v>3.12634297402168E-2</v>
      </c>
      <c r="J631" s="70">
        <f>0.0166075332870741-(+I631/52)</f>
        <v>1.6006313484377626E-2</v>
      </c>
      <c r="K631" s="70">
        <f>-0.000972451419526465-(+J631/52)</f>
        <v>-1.2802651403798809E-3</v>
      </c>
      <c r="L631" s="70">
        <f>-0.0129065095164613-(+K631/52)</f>
        <v>-1.2881889032992457E-2</v>
      </c>
      <c r="M631" s="70">
        <f>0.021111540823987-(+L631/52)</f>
        <v>2.1359269459236857E-2</v>
      </c>
      <c r="N631" s="70">
        <f>-0.00165713310467465-(+M631/52)</f>
        <v>-2.0678882865830511E-3</v>
      </c>
    </row>
    <row r="632" spans="1:14">
      <c r="A632" s="68">
        <v>0.03</v>
      </c>
      <c r="B632" s="69">
        <f t="shared" si="18"/>
        <v>2.9999999999999997E-4</v>
      </c>
      <c r="C632" s="70">
        <f t="shared" si="19"/>
        <v>5.7692307692307689E-6</v>
      </c>
      <c r="F632" s="71">
        <v>42027</v>
      </c>
      <c r="G632" s="69">
        <v>7.808302624565213E-4</v>
      </c>
      <c r="H632" s="70">
        <f>0.0129365168810677-(+G632/52)</f>
        <v>1.2921500914481998E-2</v>
      </c>
      <c r="I632" s="70">
        <f>-0.00211967935506154-(+H632/52)</f>
        <v>-2.3681697572631166E-3</v>
      </c>
      <c r="J632" s="70">
        <f>0.00474890372764796-(+I632/52)</f>
        <v>4.7944454537491733E-3</v>
      </c>
      <c r="K632" s="70">
        <f>0.0376338422252468-(+J632/52)</f>
        <v>3.7541641351136239E-2</v>
      </c>
      <c r="L632" s="70">
        <f>0.0348686386145391-(+K632/52)</f>
        <v>3.4146683973171096E-2</v>
      </c>
      <c r="M632" s="70">
        <f>0.00328988897553011-(+L632/52)</f>
        <v>2.6332219760460507E-3</v>
      </c>
      <c r="N632" s="70">
        <f>0.0211180226979452-(+M632/52)</f>
        <v>2.1067383813790468E-2</v>
      </c>
    </row>
    <row r="633" spans="1:14">
      <c r="A633" s="68">
        <v>0.03</v>
      </c>
      <c r="B633" s="69">
        <f t="shared" si="18"/>
        <v>2.9999999999999997E-4</v>
      </c>
      <c r="C633" s="70">
        <f t="shared" si="19"/>
        <v>5.7692307692307689E-6</v>
      </c>
      <c r="F633" s="71">
        <v>42034</v>
      </c>
      <c r="G633" s="69">
        <v>3.4453536854454165E-3</v>
      </c>
      <c r="H633" s="70">
        <f>-0.00633399295869794-(+G633/52)</f>
        <v>-6.400249760341121E-3</v>
      </c>
      <c r="I633" s="70">
        <f>-0.0173830339673233-(+H633/52)</f>
        <v>-1.7259952241162894E-2</v>
      </c>
      <c r="J633" s="70">
        <f>-0.00400867745687715-(+I633/52)</f>
        <v>-3.6767552983932483E-3</v>
      </c>
      <c r="K633" s="70">
        <f>-0.0111840288494339-(+J633/52)</f>
        <v>-1.1113322016772492E-2</v>
      </c>
      <c r="L633" s="70">
        <f>-0.0114208207717603-(+K633/52)</f>
        <v>-1.120710304066852E-2</v>
      </c>
      <c r="M633" s="70">
        <f>-0.000769811544212323-(+L633/52)</f>
        <v>-5.5429033189177451E-4</v>
      </c>
      <c r="N633" s="70">
        <f>-0.0162042475056367-(+M633/52)</f>
        <v>-1.6193588076177243E-2</v>
      </c>
    </row>
    <row r="634" spans="1:14">
      <c r="A634" s="68">
        <v>0.02</v>
      </c>
      <c r="B634" s="69">
        <f t="shared" si="18"/>
        <v>2.0000000000000001E-4</v>
      </c>
      <c r="C634" s="70">
        <f t="shared" si="19"/>
        <v>3.8461538461538459E-6</v>
      </c>
      <c r="F634" s="71">
        <v>42041</v>
      </c>
      <c r="G634" s="69">
        <v>-5.9216903252825139E-3</v>
      </c>
      <c r="H634" s="70">
        <f>-0.0246616866082283-(+G634/52)</f>
        <v>-2.4547807948126714E-2</v>
      </c>
      <c r="I634" s="70">
        <f>0.00703900913432143-(+H634/52)</f>
        <v>7.5110823640930982E-3</v>
      </c>
      <c r="J634" s="70">
        <f>-0.0237274066829246-(+I634/52)</f>
        <v>-2.3871850574541772E-2</v>
      </c>
      <c r="K634" s="70">
        <f>0.00753624378824589-(+J634/52)</f>
        <v>7.9953178377563088E-3</v>
      </c>
      <c r="L634" s="70">
        <f>0.00463864674224119-(+K634/52)</f>
        <v>4.4848906299766456E-3</v>
      </c>
      <c r="M634" s="70">
        <f>0.0129746507252173-(+L634/52)</f>
        <v>1.2888402828486981E-2</v>
      </c>
      <c r="N634" s="70">
        <f>0.0126257774459699-(+M634/52)</f>
        <v>1.2377923545422073E-2</v>
      </c>
    </row>
    <row r="635" spans="1:14">
      <c r="A635" s="68">
        <v>0.02</v>
      </c>
      <c r="B635" s="69">
        <f t="shared" si="18"/>
        <v>2.0000000000000001E-4</v>
      </c>
      <c r="C635" s="70">
        <f t="shared" si="19"/>
        <v>3.8461538461538459E-6</v>
      </c>
      <c r="F635" s="71">
        <v>42048</v>
      </c>
      <c r="G635" s="69">
        <v>2.581850112708397E-4</v>
      </c>
      <c r="H635" s="70">
        <f>-0.022960512019418-(+G635/52)</f>
        <v>-2.2965477115788595E-2</v>
      </c>
      <c r="I635" s="70">
        <f>0.00567674448271472-(+H635/52)</f>
        <v>6.1183882734029624E-3</v>
      </c>
      <c r="J635" s="70">
        <f>-0.0219115694009167-(+I635/52)</f>
        <v>-2.2029230713866758E-2</v>
      </c>
      <c r="K635" s="70">
        <f>0.0230673596249873-(+J635/52)</f>
        <v>2.3490998677177046E-2</v>
      </c>
      <c r="L635" s="70">
        <f>0.00695883841747697-(+K635/52)</f>
        <v>6.5070884429158727E-3</v>
      </c>
      <c r="M635" s="70">
        <f>0.00287395197648191-(+L635/52)</f>
        <v>2.7488156602719894E-3</v>
      </c>
      <c r="N635" s="70">
        <f>0.00901245209170204-(+M635/52)</f>
        <v>8.9595902520814251E-3</v>
      </c>
    </row>
    <row r="636" spans="1:14">
      <c r="A636" s="68">
        <v>0.01</v>
      </c>
      <c r="B636" s="69">
        <f t="shared" si="18"/>
        <v>1E-4</v>
      </c>
      <c r="C636" s="70">
        <f t="shared" si="19"/>
        <v>1.923076923076923E-6</v>
      </c>
      <c r="F636" s="71">
        <v>42055</v>
      </c>
      <c r="G636" s="69">
        <v>-2.0690909750433317E-3</v>
      </c>
      <c r="H636" s="70">
        <f>0.00924896242923764-(+G636/52)</f>
        <v>9.2887526402961659E-3</v>
      </c>
      <c r="I636" s="70">
        <f>0.00222201324022453-(+H636/52)</f>
        <v>2.0433833817572961E-3</v>
      </c>
      <c r="J636" s="70">
        <f>0.00942054865598826-(+I636/52)</f>
        <v>9.3812528217236957E-3</v>
      </c>
      <c r="K636" s="70">
        <f>-0.0147539285372774-(+J636/52)</f>
        <v>-1.493433724538747E-2</v>
      </c>
      <c r="L636" s="70">
        <f>-0.005069699721543-(+K636/52)</f>
        <v>-4.7825009283624723E-3</v>
      </c>
      <c r="M636" s="70">
        <f>-0.00331416779387267-(+L636/52)</f>
        <v>-3.2221966221733919E-3</v>
      </c>
      <c r="N636" s="70">
        <f>-0.000706497358022267-(+M636/52)</f>
        <v>-6.4453203836508646E-4</v>
      </c>
    </row>
    <row r="637" spans="1:14">
      <c r="A637" s="68">
        <v>0.02</v>
      </c>
      <c r="B637" s="69">
        <f t="shared" si="18"/>
        <v>2.0000000000000001E-4</v>
      </c>
      <c r="C637" s="70">
        <f t="shared" si="19"/>
        <v>3.8461538461538459E-6</v>
      </c>
      <c r="F637" s="71">
        <v>42062</v>
      </c>
      <c r="G637" s="69">
        <v>4.3070905442252902E-3</v>
      </c>
      <c r="H637" s="70">
        <f>-0.00556754441769486-(+G637/52)</f>
        <v>-5.650373082006885E-3</v>
      </c>
      <c r="I637" s="70">
        <f>0.0172609812355021-(+H637/52)</f>
        <v>1.7369642256309922E-2</v>
      </c>
      <c r="J637" s="70">
        <f>0.0126704807172373-(+I637/52)</f>
        <v>1.2336449135385187E-2</v>
      </c>
      <c r="K637" s="70">
        <f>0.0144653248733222-(+J637/52)</f>
        <v>1.4228085466872485E-2</v>
      </c>
      <c r="L637" s="70">
        <f>0.00274557357572606-(+K637/52)</f>
        <v>2.4719565475169736E-3</v>
      </c>
      <c r="M637" s="70">
        <f>-0.00161686810453294-(+L637/52)</f>
        <v>-1.6644057304467279E-3</v>
      </c>
      <c r="N637" s="70">
        <f>-0.010994741878945-(+M637/52)</f>
        <v>-1.0962734076436409E-2</v>
      </c>
    </row>
    <row r="638" spans="1:14">
      <c r="A638" s="68">
        <v>0.02</v>
      </c>
      <c r="B638" s="69">
        <f t="shared" si="18"/>
        <v>2.0000000000000001E-4</v>
      </c>
      <c r="C638" s="70">
        <f t="shared" si="19"/>
        <v>3.8461538461538459E-6</v>
      </c>
      <c r="F638" s="71">
        <v>42069</v>
      </c>
      <c r="G638" s="69">
        <v>-1.4344647133787939E-2</v>
      </c>
      <c r="H638" s="70">
        <f>-0.0444635853521879-(+G638/52)</f>
        <v>-4.4187726753461207E-2</v>
      </c>
      <c r="I638" s="70">
        <f>-0.0247935834429145-(+H638/52)</f>
        <v>-2.3943819466886403E-2</v>
      </c>
      <c r="J638" s="70">
        <f>-0.037769867167672-(+I638/52)</f>
        <v>-3.7309409101001105E-2</v>
      </c>
      <c r="K638" s="70">
        <f>-0.0318068389287964-(+J638/52)</f>
        <v>-3.1089350292238683E-2</v>
      </c>
      <c r="L638" s="70">
        <f>-0.0194707567373273-(+K638/52)</f>
        <v>-1.8872884616322708E-2</v>
      </c>
      <c r="M638" s="70">
        <f>-0.0260546814887552-(+L638/52)</f>
        <v>-2.5691741399979762E-2</v>
      </c>
      <c r="N638" s="70">
        <f>-0.00876038988219818-(+M638/52)</f>
        <v>-8.2663179321985688E-3</v>
      </c>
    </row>
    <row r="639" spans="1:14">
      <c r="A639" s="68">
        <v>0.02</v>
      </c>
      <c r="B639" s="69">
        <f t="shared" si="18"/>
        <v>2.0000000000000001E-4</v>
      </c>
      <c r="C639" s="70">
        <f t="shared" si="19"/>
        <v>3.8461538461538459E-6</v>
      </c>
      <c r="F639" s="71">
        <v>42076</v>
      </c>
      <c r="G639" s="69">
        <v>5.6209451539961065E-4</v>
      </c>
      <c r="H639" s="70">
        <f>-0.0154029265560458-(+G639/52)</f>
        <v>-1.5413736065957331E-2</v>
      </c>
      <c r="I639" s="70">
        <f>0.0059941356456399-(+H639/52)</f>
        <v>6.2905536469083107E-3</v>
      </c>
      <c r="J639" s="70">
        <f>-0.0294521650664027-(+I639/52)</f>
        <v>-2.9573137251920168E-2</v>
      </c>
      <c r="K639" s="70">
        <f>-0.0123065394702712-(+J639/52)</f>
        <v>-1.1737825292349659E-2</v>
      </c>
      <c r="L639" s="70">
        <f>-0.0128811136086175-(+K639/52)</f>
        <v>-1.2655386199149236E-2</v>
      </c>
      <c r="M639" s="70">
        <f>-0.0260707635009312-(+L639/52)</f>
        <v>-2.5827390689409098E-2</v>
      </c>
      <c r="N639" s="70">
        <f>-0.02418813051335-(+M639/52)</f>
        <v>-2.3691449923169055E-2</v>
      </c>
    </row>
    <row r="640" spans="1:14">
      <c r="A640" s="68">
        <v>0.03</v>
      </c>
      <c r="B640" s="69">
        <f t="shared" si="18"/>
        <v>2.9999999999999997E-4</v>
      </c>
      <c r="C640" s="70">
        <f t="shared" si="19"/>
        <v>5.7692307692307689E-6</v>
      </c>
      <c r="F640" s="71">
        <v>42083</v>
      </c>
      <c r="G640" s="69">
        <v>1.3411672750118814E-2</v>
      </c>
      <c r="H640" s="70">
        <f>0.0381541989618146-(+G640/52)</f>
        <v>3.789628217815847E-2</v>
      </c>
      <c r="I640" s="70">
        <f>0.0515069882974444-(+H640/52)</f>
        <v>5.0778213640172119E-2</v>
      </c>
      <c r="J640" s="70">
        <f>0.0611118366021607-(+I640/52)</f>
        <v>6.0135332493695848E-2</v>
      </c>
      <c r="K640" s="70">
        <f>0.0163783400725332-(+J640/52)</f>
        <v>1.5221891370731357E-2</v>
      </c>
      <c r="L640" s="70">
        <f>0.0337959026762308-(+K640/52)</f>
        <v>3.3503173996024434E-2</v>
      </c>
      <c r="M640" s="70">
        <f>0.0487281997798251-(+L640/52)</f>
        <v>4.8083907972209246E-2</v>
      </c>
      <c r="N640" s="70">
        <f>0.0486593117556807-(+M640/52)</f>
        <v>4.7734621217753605E-2</v>
      </c>
    </row>
    <row r="641" spans="1:14">
      <c r="A641" s="68">
        <v>0.03</v>
      </c>
      <c r="B641" s="69">
        <f t="shared" si="18"/>
        <v>2.9999999999999997E-4</v>
      </c>
      <c r="C641" s="70">
        <f t="shared" si="19"/>
        <v>5.7692307692307689E-6</v>
      </c>
      <c r="F641" s="71">
        <v>42090</v>
      </c>
      <c r="G641" s="69">
        <v>-8.525335430286657E-4</v>
      </c>
      <c r="H641" s="70">
        <f>-0.0141399785096299-(+G641/52)</f>
        <v>-1.4123583633802426E-2</v>
      </c>
      <c r="I641" s="70">
        <f>0.0152924149289237-(+H641/52)</f>
        <v>1.5564022306496825E-2</v>
      </c>
      <c r="J641" s="70">
        <f>-0.0129054575450361-(+I641/52)</f>
        <v>-1.3204765666314885E-2</v>
      </c>
      <c r="K641" s="70">
        <f>-0.00351080104503749-(+J641/52)</f>
        <v>-3.2568632437622036E-3</v>
      </c>
      <c r="L641" s="70">
        <f>-0.0117561480022051-(+K641/52)</f>
        <v>-1.1693516016748135E-2</v>
      </c>
      <c r="M641" s="70">
        <f>0.0174254143646409-(+L641/52)</f>
        <v>1.7650289672655289E-2</v>
      </c>
      <c r="N641" s="70">
        <f>-0.00548799768475098-(+M641/52)</f>
        <v>-5.8274263323020437E-3</v>
      </c>
    </row>
    <row r="642" spans="1:14">
      <c r="A642" s="68">
        <v>0.03</v>
      </c>
      <c r="B642" s="69">
        <f t="shared" si="18"/>
        <v>2.9999999999999997E-4</v>
      </c>
      <c r="C642" s="70">
        <f t="shared" si="19"/>
        <v>5.7692307692307689E-6</v>
      </c>
      <c r="F642" s="71">
        <v>42097</v>
      </c>
      <c r="G642" s="69">
        <v>3.7346685044056752E-3</v>
      </c>
      <c r="H642" s="70">
        <f>0.00575795735811358-(+G642/52)</f>
        <v>5.6861368099519324E-3</v>
      </c>
      <c r="I642" s="70">
        <f>0.0143329387235122-(+H642/52)</f>
        <v>1.4223589938705431E-2</v>
      </c>
      <c r="J642" s="70">
        <f>0.0118847045503558-(+I642/52)</f>
        <v>1.1611173974611465E-2</v>
      </c>
      <c r="K642" s="70">
        <f>0.0299634100665532-(+J642/52)</f>
        <v>2.9740118259349132E-2</v>
      </c>
      <c r="L642" s="70">
        <f>-0.00356236322406663-(+K642/52)</f>
        <v>-4.1342885752079592E-3</v>
      </c>
      <c r="M642" s="70">
        <f>0.00212141287545573-(+L642/52)</f>
        <v>2.2009184249789601E-3</v>
      </c>
      <c r="N642" s="70">
        <f>0.0120766308301672-(+M642/52)</f>
        <v>1.2034305475840681E-2</v>
      </c>
    </row>
    <row r="643" spans="1:14">
      <c r="A643" s="68">
        <v>0.03</v>
      </c>
      <c r="B643" s="69">
        <f t="shared" si="18"/>
        <v>2.9999999999999997E-4</v>
      </c>
      <c r="C643" s="70">
        <f t="shared" si="19"/>
        <v>5.7692307692307689E-6</v>
      </c>
      <c r="F643" s="71">
        <v>42104</v>
      </c>
      <c r="G643" s="69">
        <v>-3.8554152528199825E-3</v>
      </c>
      <c r="H643" s="70">
        <f>0.00569045316385755-(+G643/52)</f>
        <v>5.7645957648733183E-3</v>
      </c>
      <c r="I643" s="70">
        <f>0.0140577170041436-(+H643/52)</f>
        <v>1.3946859393280652E-2</v>
      </c>
      <c r="J643" s="70">
        <f>0.0219117867430361-(+I643/52)</f>
        <v>2.1643577908549934E-2</v>
      </c>
      <c r="K643" s="70">
        <f>0.0463869119216124-(+J643/52)</f>
        <v>4.5970689269524904E-2</v>
      </c>
      <c r="L643" s="70">
        <f>-0.00447280746721171-(+K643/52)</f>
        <v>-5.3568591839333428E-3</v>
      </c>
      <c r="M643" s="70">
        <f>0.0180046745683972-(+L643/52)</f>
        <v>1.8107691091165147E-2</v>
      </c>
      <c r="N643" s="70">
        <f>0.019030275923027-(+M643/52)</f>
        <v>1.8682051094350748E-2</v>
      </c>
    </row>
    <row r="644" spans="1:14">
      <c r="A644" s="68">
        <v>0.03</v>
      </c>
      <c r="B644" s="69">
        <f t="shared" si="18"/>
        <v>2.9999999999999997E-4</v>
      </c>
      <c r="C644" s="70">
        <f t="shared" si="19"/>
        <v>5.7692307692307689E-6</v>
      </c>
      <c r="F644" s="71">
        <v>42111</v>
      </c>
      <c r="G644" s="69">
        <v>5.7538212612986261E-3</v>
      </c>
      <c r="H644" s="70">
        <f>-0.000746992710381583-(+G644/52)</f>
        <v>-8.5764311925271041E-4</v>
      </c>
      <c r="I644" s="70">
        <f>-0.0166266432499811-(+H644/52)</f>
        <v>-1.6610150113072392E-2</v>
      </c>
      <c r="J644" s="70">
        <f>0.0106297352342159-(+I644/52)</f>
        <v>1.094916119792883E-2</v>
      </c>
      <c r="K644" s="70">
        <f>-0.00748135389973693-(+J644/52)</f>
        <v>-7.6919146920047922E-3</v>
      </c>
      <c r="L644" s="70">
        <f>0.00884979677535818-(+K644/52)</f>
        <v>8.9977182117428889E-3</v>
      </c>
      <c r="M644" s="70">
        <f>-0.00120652517201858-(+L644/52)</f>
        <v>-1.3795582145520969E-3</v>
      </c>
      <c r="N644" s="70">
        <f>0.016216428048908-(+M644/52)</f>
        <v>1.6242958014572463E-2</v>
      </c>
    </row>
    <row r="645" spans="1:14">
      <c r="A645" s="68">
        <v>0.02</v>
      </c>
      <c r="B645" s="69">
        <f t="shared" ref="B645:B708" si="20">+A645/100</f>
        <v>2.0000000000000001E-4</v>
      </c>
      <c r="C645" s="70">
        <f t="shared" ref="C645:C708" si="21">+B645/52</f>
        <v>3.8461538461538459E-6</v>
      </c>
      <c r="F645" s="71">
        <v>42118</v>
      </c>
      <c r="G645" s="69">
        <v>8.0154978054663084E-4</v>
      </c>
      <c r="H645" s="70">
        <f>0.0196253651830213-(+G645/52)</f>
        <v>1.9609950764164632E-2</v>
      </c>
      <c r="I645" s="70">
        <f>0.0289841573252121-(+H645/52)</f>
        <v>2.8607042887439704E-2</v>
      </c>
      <c r="J645" s="70">
        <f>0.0364129400877678-(+I645/52)</f>
        <v>3.586280464762473E-2</v>
      </c>
      <c r="K645" s="70">
        <f>0.0553845443491912-(+J645/52)</f>
        <v>5.4694875029044569E-2</v>
      </c>
      <c r="L645" s="70">
        <f>-0.00942563490692495-(+K645/52)</f>
        <v>-1.047745942671427E-2</v>
      </c>
      <c r="M645" s="70">
        <f>0.0273750182085617-(+L645/52)</f>
        <v>2.7576507812921591E-2</v>
      </c>
      <c r="N645" s="70">
        <f>0.0152403674347695-(+M645/52)</f>
        <v>1.4710049976828699E-2</v>
      </c>
    </row>
    <row r="646" spans="1:14">
      <c r="A646" s="68">
        <v>0.03</v>
      </c>
      <c r="B646" s="69">
        <f t="shared" si="20"/>
        <v>2.9999999999999997E-4</v>
      </c>
      <c r="C646" s="70">
        <f t="shared" si="21"/>
        <v>5.7692307692307689E-6</v>
      </c>
      <c r="F646" s="71">
        <v>42125</v>
      </c>
      <c r="G646" s="69">
        <v>-7.0474275109217418E-3</v>
      </c>
      <c r="H646" s="70">
        <f>-0.0117980179329873-(+G646/52)</f>
        <v>-1.1662490480854189E-2</v>
      </c>
      <c r="I646" s="70">
        <f>-0.026410453194797-(+H646/52)</f>
        <v>-2.6186174531703649E-2</v>
      </c>
      <c r="J646" s="70">
        <f>-0.0355225087888499-(+I646/52)</f>
        <v>-3.5018928509394066E-2</v>
      </c>
      <c r="K646" s="70">
        <f>-0.0121114457172441-(+J646/52)</f>
        <v>-1.1438004784371137E-2</v>
      </c>
      <c r="L646" s="70">
        <f>-0.0192999316172011-(+K646/52)</f>
        <v>-1.9079969986732424E-2</v>
      </c>
      <c r="M646" s="70">
        <f>0.018843847478611-(+L646/52)</f>
        <v>1.9210769978355854E-2</v>
      </c>
      <c r="N646" s="70">
        <f>-0.0209650666632902-(+M646/52)</f>
        <v>-2.1334504547489353E-2</v>
      </c>
    </row>
    <row r="647" spans="1:14">
      <c r="A647" s="68">
        <v>0.01</v>
      </c>
      <c r="B647" s="69">
        <f t="shared" si="20"/>
        <v>1E-4</v>
      </c>
      <c r="C647" s="70">
        <f t="shared" si="21"/>
        <v>1.923076923076923E-6</v>
      </c>
      <c r="F647" s="71">
        <v>42132</v>
      </c>
      <c r="G647" s="69">
        <v>-1.1530165023989304E-3</v>
      </c>
      <c r="H647" s="70">
        <f>0.00579035339063989-(+G647/52)</f>
        <v>5.8125267849167923E-3</v>
      </c>
      <c r="I647" s="70">
        <f>0.00591208875611674-(+H647/52)</f>
        <v>5.8003093948683403E-3</v>
      </c>
      <c r="J647" s="70">
        <f>0.0246861411816317-(+I647/52)</f>
        <v>2.4574596770191925E-2</v>
      </c>
      <c r="K647" s="70">
        <f>-0.0256270205636173-(+J647/52)</f>
        <v>-2.6099608963044068E-2</v>
      </c>
      <c r="L647" s="70">
        <f>0.00525913728419381-(+K647/52)</f>
        <v>5.7610528411754262E-3</v>
      </c>
      <c r="M647" s="70">
        <f>-0.0362065746822124-(+L647/52)</f>
        <v>-3.6317364159927312E-2</v>
      </c>
      <c r="N647" s="70">
        <f>-0.0125809588842676-(+M647/52)</f>
        <v>-1.1882548035038229E-2</v>
      </c>
    </row>
    <row r="648" spans="1:14">
      <c r="A648" s="68">
        <v>0.01</v>
      </c>
      <c r="B648" s="69">
        <f t="shared" si="20"/>
        <v>1E-4</v>
      </c>
      <c r="C648" s="70">
        <f t="shared" si="21"/>
        <v>1.923076923076923E-6</v>
      </c>
      <c r="F648" s="71">
        <v>42139</v>
      </c>
      <c r="G648" s="69">
        <v>3.2846542707842129E-3</v>
      </c>
      <c r="H648" s="70">
        <f>0.0134980456661267-(+G648/52)</f>
        <v>1.3434879237842388E-2</v>
      </c>
      <c r="I648" s="70">
        <f>0.0213332422429141-(+H648/52)</f>
        <v>2.1074879180647901E-2</v>
      </c>
      <c r="J648" s="70">
        <f>0.0127429839610911-(+I648/52)</f>
        <v>1.2337697823001717E-2</v>
      </c>
      <c r="K648" s="70">
        <f>0.0157866828270587-(+J648/52)</f>
        <v>1.5549419407385589E-2</v>
      </c>
      <c r="L648" s="70">
        <f>0.0107427284149092-(+K648/52)</f>
        <v>1.0443701118613324E-2</v>
      </c>
      <c r="M648" s="70">
        <f>0.0362108555087552-(+L648/52)</f>
        <v>3.6010015102628017E-2</v>
      </c>
      <c r="N648" s="70">
        <f>0.0104098996206962-(+M648/52)</f>
        <v>9.7173993302610458E-3</v>
      </c>
    </row>
    <row r="649" spans="1:14">
      <c r="A649" s="68">
        <v>0.02</v>
      </c>
      <c r="B649" s="69">
        <f t="shared" si="20"/>
        <v>2.0000000000000001E-4</v>
      </c>
      <c r="C649" s="70">
        <f t="shared" si="21"/>
        <v>3.8461538461538459E-6</v>
      </c>
      <c r="F649" s="71">
        <v>42146</v>
      </c>
      <c r="G649" s="69">
        <v>-9.7366287578620897E-3</v>
      </c>
      <c r="H649" s="70">
        <f>0.0000209143765425114-(+G649/52)</f>
        <v>2.0815723727062848E-4</v>
      </c>
      <c r="I649" s="70">
        <f>0.00723601244169182-(+H649/52)</f>
        <v>7.2320094178981546E-3</v>
      </c>
      <c r="J649" s="70">
        <f>-0.0148020129742969-(+I649/52)</f>
        <v>-1.4941090078487249E-2</v>
      </c>
      <c r="K649" s="70">
        <f>-0.00239757185258113-(+J649/52)</f>
        <v>-2.110243197225606E-3</v>
      </c>
      <c r="L649" s="70">
        <f>-0.0171156977225016-(+K649/52)</f>
        <v>-1.7075116122554954E-2</v>
      </c>
      <c r="M649" s="70">
        <f>-0.0282771981103219-(+L649/52)</f>
        <v>-2.794883049258046E-2</v>
      </c>
      <c r="N649" s="70">
        <f>-0.0158817398878998-(+M649/52)</f>
        <v>-1.53442623784271E-2</v>
      </c>
    </row>
    <row r="650" spans="1:14">
      <c r="A650" s="68">
        <v>0.02</v>
      </c>
      <c r="B650" s="69">
        <f t="shared" si="20"/>
        <v>2.0000000000000001E-4</v>
      </c>
      <c r="C650" s="70">
        <f t="shared" si="21"/>
        <v>3.8461538461538459E-6</v>
      </c>
      <c r="F650" s="71">
        <v>42153</v>
      </c>
      <c r="G650" s="69">
        <v>7.8867858381737586E-4</v>
      </c>
      <c r="H650" s="70">
        <f>4.18278782817872E-06-(+G650/52)</f>
        <v>-1.0984108014463124E-5</v>
      </c>
      <c r="I650" s="70">
        <f>-0.0102310882104188-(+H650/52)</f>
        <v>-1.0230876977572368E-2</v>
      </c>
      <c r="J650" s="70">
        <f>-0.0094714955939563-(+I650/52)</f>
        <v>-9.2747479597722164E-3</v>
      </c>
      <c r="K650" s="70">
        <f>-0.0112093292717112-(+J650/52)</f>
        <v>-1.1030968734023271E-2</v>
      </c>
      <c r="L650" s="70">
        <f>-0.012200288890466-(+K650/52)</f>
        <v>-1.1988154876350167E-2</v>
      </c>
      <c r="M650" s="70">
        <f>-0.0181001014305201-(+L650/52)</f>
        <v>-1.7869559990590287E-2</v>
      </c>
      <c r="N650" s="70">
        <f>-0.0212170706006322-(+M650/52)</f>
        <v>-2.0873425216197772E-2</v>
      </c>
    </row>
    <row r="651" spans="1:14">
      <c r="A651" s="68">
        <v>0.01</v>
      </c>
      <c r="B651" s="69">
        <f t="shared" si="20"/>
        <v>1E-4</v>
      </c>
      <c r="C651" s="70">
        <f t="shared" si="21"/>
        <v>1.923076923076923E-6</v>
      </c>
      <c r="F651" s="71">
        <v>42160</v>
      </c>
      <c r="G651" s="69">
        <v>-1.3748043279492101E-2</v>
      </c>
      <c r="H651" s="70">
        <f>-0.0559110910338135-(+G651/52)</f>
        <v>-5.5646705586130954E-2</v>
      </c>
      <c r="I651" s="70">
        <f>-0.0252934989175717-(+H651/52)</f>
        <v>-2.4223369963992259E-2</v>
      </c>
      <c r="J651" s="70">
        <f>-0.0303010998601683-(+I651/52)</f>
        <v>-2.9835265822399218E-2</v>
      </c>
      <c r="K651" s="70">
        <f>-0.04108170223704-(+J651/52)</f>
        <v>-4.050794712507079E-2</v>
      </c>
      <c r="L651" s="70">
        <f>0.00738029763830472-(+K651/52)</f>
        <v>8.159296621479158E-3</v>
      </c>
      <c r="M651" s="70">
        <f>-0.0202824727946284-(+L651/52)</f>
        <v>-2.043938234504146E-2</v>
      </c>
      <c r="N651" s="70">
        <f>-0.0322947898779694-(+M651/52)</f>
        <v>-3.1901724832872451E-2</v>
      </c>
    </row>
    <row r="652" spans="1:14">
      <c r="A652" s="68">
        <v>0.02</v>
      </c>
      <c r="B652" s="69">
        <f t="shared" si="20"/>
        <v>2.0000000000000001E-4</v>
      </c>
      <c r="C652" s="70">
        <f t="shared" si="21"/>
        <v>3.8461538461538459E-6</v>
      </c>
      <c r="F652" s="71">
        <v>42167</v>
      </c>
      <c r="G652" s="69">
        <v>4.661751644577705E-3</v>
      </c>
      <c r="H652" s="70">
        <f>0.000128484021461246-(+G652/52)</f>
        <v>3.8834951373213216E-5</v>
      </c>
      <c r="I652" s="70">
        <f>0.00756406985831535-(+H652/52)</f>
        <v>7.5633230323274032E-3</v>
      </c>
      <c r="J652" s="70">
        <f>0.00997253938430398-(+I652/52)</f>
        <v>9.8270908644515296E-3</v>
      </c>
      <c r="K652" s="70">
        <f>0.0240856518894031-(+J652/52)</f>
        <v>2.3896669372779032E-2</v>
      </c>
      <c r="L652" s="70">
        <f>0.00341136161073669-(+K652/52)</f>
        <v>2.9518102766447852E-3</v>
      </c>
      <c r="M652" s="70">
        <f>-0.00131616740776826-(+L652/52)</f>
        <v>-1.3729329900114288E-3</v>
      </c>
      <c r="N652" s="70">
        <f>-0.0141594840173885-(+M652/52)</f>
        <v>-1.4133081459888281E-2</v>
      </c>
    </row>
    <row r="653" spans="1:14">
      <c r="A653" s="68">
        <v>0.02</v>
      </c>
      <c r="B653" s="69">
        <f t="shared" si="20"/>
        <v>2.0000000000000001E-4</v>
      </c>
      <c r="C653" s="70">
        <f t="shared" si="21"/>
        <v>3.8461538461538459E-6</v>
      </c>
      <c r="F653" s="71">
        <v>42174</v>
      </c>
      <c r="G653" s="69">
        <v>5.7431366182205011E-3</v>
      </c>
      <c r="H653" s="70">
        <f>0.0156730368834667-(+G653/52)</f>
        <v>1.5562591948500921E-2</v>
      </c>
      <c r="I653" s="70">
        <f>-0.0160032151110219-(+H653/52)</f>
        <v>-1.6302495725416151E-2</v>
      </c>
      <c r="J653" s="70">
        <f>-0.0116140656710203-(+I653/52)</f>
        <v>-1.1300556137839221E-2</v>
      </c>
      <c r="K653" s="70">
        <f>-0.0261289974902613-(+J653/52)</f>
        <v>-2.5911679102995161E-2</v>
      </c>
      <c r="L653" s="70">
        <f>0.015256376153134-(+K653/52)</f>
        <v>1.5754677674345446E-2</v>
      </c>
      <c r="M653" s="70">
        <f>0.0118756803395964-(+L653/52)</f>
        <v>1.1572705768935911E-2</v>
      </c>
      <c r="N653" s="70">
        <f>0.011002776085043-(+M653/52)</f>
        <v>1.0780224051025002E-2</v>
      </c>
    </row>
    <row r="654" spans="1:14">
      <c r="A654" s="68">
        <v>0.01</v>
      </c>
      <c r="B654" s="69">
        <f t="shared" si="20"/>
        <v>1E-4</v>
      </c>
      <c r="C654" s="70">
        <f t="shared" si="21"/>
        <v>1.923076923076923E-6</v>
      </c>
      <c r="F654" s="71">
        <v>42181</v>
      </c>
      <c r="G654" s="69">
        <v>-1.0453909402542627E-2</v>
      </c>
      <c r="H654" s="70">
        <f>-0.016901027582477-(+G654/52)</f>
        <v>-1.6699990863197334E-2</v>
      </c>
      <c r="I654" s="70">
        <f>-0.00614475398520669-(+H654/52)</f>
        <v>-5.8236003147605873E-3</v>
      </c>
      <c r="J654" s="70">
        <f>0.00550179170190286-(+I654/52)</f>
        <v>5.6137840156482563E-3</v>
      </c>
      <c r="K654" s="70">
        <f>-0.00298418972332023-(+J654/52)</f>
        <v>-3.0921471082365425E-3</v>
      </c>
      <c r="L654" s="70">
        <f>-0.0123734971730357-(+K654/52)</f>
        <v>-1.2314032805569612E-2</v>
      </c>
      <c r="M654" s="70">
        <f>-0.014416728730198-(+L654/52)</f>
        <v>-1.4179920407013968E-2</v>
      </c>
      <c r="N654" s="70">
        <f>0.0100933150275146-(+M654/52)</f>
        <v>1.0366005804572561E-2</v>
      </c>
    </row>
    <row r="655" spans="1:14">
      <c r="A655" s="68">
        <v>0.01</v>
      </c>
      <c r="B655" s="69">
        <f t="shared" si="20"/>
        <v>1E-4</v>
      </c>
      <c r="C655" s="70">
        <f t="shared" si="21"/>
        <v>1.923076923076923E-6</v>
      </c>
      <c r="F655" s="71">
        <v>42188</v>
      </c>
      <c r="G655" s="69">
        <v>2.0826404951621528E-3</v>
      </c>
      <c r="H655" s="70">
        <f>-0.0131321511439614-(+G655/52)</f>
        <v>-1.3172201922714519E-2</v>
      </c>
      <c r="I655" s="70">
        <f>-0.000484921210577155-(+H655/52)</f>
        <v>-2.3160963514033738E-4</v>
      </c>
      <c r="J655" s="70">
        <f>-0.0288899870080145-(+I655/52)</f>
        <v>-2.8885532976569494E-2</v>
      </c>
      <c r="K655" s="70">
        <f>-0.0178556562072588-(+J655/52)</f>
        <v>-1.7300165188478617E-2</v>
      </c>
      <c r="L655" s="70">
        <f>-0.0135727034833747-(+K655/52)</f>
        <v>-1.324000799898088E-2</v>
      </c>
      <c r="M655" s="70">
        <f>-0.0247577883723817-(+L655/52)</f>
        <v>-2.4503172833939761E-2</v>
      </c>
      <c r="N655" s="70">
        <f>-0.016954303221511-(+M655/52)</f>
        <v>-1.6483088359319852E-2</v>
      </c>
    </row>
    <row r="656" spans="1:14">
      <c r="A656" s="68">
        <v>0.01</v>
      </c>
      <c r="B656" s="69">
        <f t="shared" si="20"/>
        <v>1E-4</v>
      </c>
      <c r="C656" s="70">
        <f t="shared" si="21"/>
        <v>1.923076923076923E-6</v>
      </c>
      <c r="F656" s="71">
        <v>42195</v>
      </c>
      <c r="G656" s="69">
        <v>-3.3489380777928986E-4</v>
      </c>
      <c r="H656" s="70">
        <f>0.0205537648185363-(+G656/52)</f>
        <v>2.0560205084070516E-2</v>
      </c>
      <c r="I656" s="70">
        <f>-0.00226543404030489-(+H656/52)</f>
        <v>-2.6608225996139381E-3</v>
      </c>
      <c r="J656" s="70">
        <f>0.00562435761343917-(+I656/52)</f>
        <v>5.6755272788163611E-3</v>
      </c>
      <c r="K656" s="70">
        <f>-0.0555701317101328-(+J656/52)</f>
        <v>-5.5679276465494656E-2</v>
      </c>
      <c r="L656" s="70">
        <f>0.00525188161944703-(+K656/52)</f>
        <v>6.3226369360911581E-3</v>
      </c>
      <c r="M656" s="70">
        <f>0.000872162663951581-(+L656/52)</f>
        <v>7.5057349210367415E-4</v>
      </c>
      <c r="N656" s="70">
        <f>-0.0110444137186794-(+M656/52)</f>
        <v>-1.1058847824296779E-2</v>
      </c>
    </row>
    <row r="657" spans="1:14">
      <c r="A657" s="68">
        <v>0.02</v>
      </c>
      <c r="B657" s="69">
        <f t="shared" si="20"/>
        <v>2.0000000000000001E-4</v>
      </c>
      <c r="C657" s="70">
        <f t="shared" si="21"/>
        <v>3.8461538461538459E-6</v>
      </c>
      <c r="F657" s="71">
        <v>42202</v>
      </c>
      <c r="G657" s="69">
        <v>2.7185596536921579E-3</v>
      </c>
      <c r="H657" s="70">
        <f>0.0098804914256011-(+G657/52)</f>
        <v>9.8282114322608659E-3</v>
      </c>
      <c r="I657" s="70">
        <f>0.0210203589655889-(+H657/52)</f>
        <v>2.0831354899583883E-2</v>
      </c>
      <c r="J657" s="70">
        <f>0.011276280603457-(+I657/52)</f>
        <v>1.0875677624618848E-2</v>
      </c>
      <c r="K657" s="70">
        <f>0.0104498790463899-(+J657/52)</f>
        <v>1.0240731399762613E-2</v>
      </c>
      <c r="L657" s="70">
        <f>0.00652787896584699-(+K657/52)</f>
        <v>6.330941823543863E-3</v>
      </c>
      <c r="M657" s="70">
        <f>0.0110626998522729-(+L657/52)</f>
        <v>1.0940950971050903E-2</v>
      </c>
      <c r="N657" s="70">
        <f>0.00144925065216277-(+M657/52)</f>
        <v>1.2388477488733296E-3</v>
      </c>
    </row>
    <row r="658" spans="1:14">
      <c r="A658" s="68">
        <v>0.02</v>
      </c>
      <c r="B658" s="69">
        <f t="shared" si="20"/>
        <v>2.0000000000000001E-4</v>
      </c>
      <c r="C658" s="70">
        <f t="shared" si="21"/>
        <v>3.8461538461538459E-6</v>
      </c>
      <c r="F658" s="71">
        <v>42209</v>
      </c>
      <c r="G658" s="69">
        <v>2.0630542624162545E-3</v>
      </c>
      <c r="H658" s="70">
        <f>-0.0221673587605123-(+G658/52)</f>
        <v>-2.2207032880943382E-2</v>
      </c>
      <c r="I658" s="70">
        <f>0.00457681604549377-(+H658/52)</f>
        <v>5.003874370127297E-3</v>
      </c>
      <c r="J658" s="70">
        <f>-0.0167241590700479-(+I658/52)</f>
        <v>-1.682038742331958E-2</v>
      </c>
      <c r="K658" s="70">
        <f>-0.0336817260880048-(+J658/52)</f>
        <v>-3.3358257099094811E-2</v>
      </c>
      <c r="L658" s="70">
        <f>-0.00437997366657261-(+K658/52)</f>
        <v>-3.7384687223592484E-3</v>
      </c>
      <c r="M658" s="70">
        <f>-0.0024302460207957-(+L658/52)</f>
        <v>-2.3583523915195605E-3</v>
      </c>
      <c r="N658" s="70">
        <f>-0.0437806456006538-(+M658/52)</f>
        <v>-4.3735292670047651E-2</v>
      </c>
    </row>
    <row r="659" spans="1:14">
      <c r="A659" s="68">
        <v>0.04</v>
      </c>
      <c r="B659" s="69">
        <f t="shared" si="20"/>
        <v>4.0000000000000002E-4</v>
      </c>
      <c r="C659" s="70">
        <f t="shared" si="21"/>
        <v>7.6923076923076919E-6</v>
      </c>
      <c r="F659" s="71">
        <v>42216</v>
      </c>
      <c r="G659" s="69">
        <v>4.710118816575605E-3</v>
      </c>
      <c r="H659" s="70">
        <f>0.0320733002043056-(+G659/52)</f>
        <v>3.1982720996294532E-2</v>
      </c>
      <c r="I659" s="70">
        <f>0.00907376122167339-(+H659/52)</f>
        <v>8.4587088948215716E-3</v>
      </c>
      <c r="J659" s="70">
        <f>0.0141710364908401-(+I659/52)</f>
        <v>1.4008369012093531E-2</v>
      </c>
      <c r="K659" s="70">
        <f>-0.0120460832720524-(+J659/52)</f>
        <v>-1.2315474983823431E-2</v>
      </c>
      <c r="L659" s="70">
        <f>-0.00838799103834329-(+K659/52)</f>
        <v>-8.1511549809620693E-3</v>
      </c>
      <c r="M659" s="70">
        <f>0.00347441098166011-(+L659/52)</f>
        <v>3.6311639620632266E-3</v>
      </c>
      <c r="N659" s="70">
        <f>0.0185140673082345-(+M659/52)</f>
        <v>1.8444237232040975E-2</v>
      </c>
    </row>
    <row r="660" spans="1:14">
      <c r="A660" s="68">
        <v>0.06</v>
      </c>
      <c r="B660" s="69">
        <f t="shared" si="20"/>
        <v>5.9999999999999995E-4</v>
      </c>
      <c r="C660" s="70">
        <f t="shared" si="21"/>
        <v>1.1538461538461538E-5</v>
      </c>
      <c r="F660" s="71">
        <v>42223</v>
      </c>
      <c r="G660" s="69">
        <v>-2.3072662084021806E-3</v>
      </c>
      <c r="H660" s="70">
        <f>0.00419252779170496-(+G660/52)</f>
        <v>4.2368982957126941E-3</v>
      </c>
      <c r="I660" s="70">
        <f>0.00523365304602986-(+H660/52)</f>
        <v>5.15217423265077E-3</v>
      </c>
      <c r="J660" s="70">
        <f>-0.0113545359992291-(+I660/52)</f>
        <v>-1.1453616272933922E-2</v>
      </c>
      <c r="K660" s="70">
        <f>-0.0139519016056427-(+J660/52)</f>
        <v>-1.3731639754240126E-2</v>
      </c>
      <c r="L660" s="70">
        <f>0.020811579669241-(+K660/52)</f>
        <v>2.1075649664514848E-2</v>
      </c>
      <c r="M660" s="70">
        <f>-0.0065663302823485-(+L660/52)</f>
        <v>-6.9716312374353238E-3</v>
      </c>
      <c r="N660" s="70">
        <f>-0.0367571221294425-(+M660/52)</f>
        <v>-3.662305229795336E-2</v>
      </c>
    </row>
    <row r="661" spans="1:14">
      <c r="A661" s="68">
        <v>7.0000000000000007E-2</v>
      </c>
      <c r="B661" s="69">
        <f t="shared" si="20"/>
        <v>7.000000000000001E-4</v>
      </c>
      <c r="C661" s="70">
        <f t="shared" si="21"/>
        <v>1.3461538461538463E-5</v>
      </c>
      <c r="F661" s="71">
        <v>42230</v>
      </c>
      <c r="G661" s="69">
        <v>6.5837104825506654E-4</v>
      </c>
      <c r="H661" s="70">
        <f>0.0214045296857111-(+G661/52)</f>
        <v>2.1391868704013887E-2</v>
      </c>
      <c r="I661" s="70">
        <f>0.00229723440702626-(+H661/52)</f>
        <v>1.8858523165644543E-3</v>
      </c>
      <c r="J661" s="70">
        <f>0.011683248184996-(+I661/52)</f>
        <v>1.1646981794292837E-2</v>
      </c>
      <c r="K661" s="70">
        <f>-0.000368448248747574-(+J661/52)</f>
        <v>-5.9242866786859006E-4</v>
      </c>
      <c r="L661" s="70">
        <f>0.0262988546102329-(+K661/52)</f>
        <v>2.6310247469230372E-2</v>
      </c>
      <c r="M661" s="70">
        <f>0.00495450927296674-(+L661/52)</f>
        <v>4.4485429754815399E-3</v>
      </c>
      <c r="N661" s="70">
        <f>0.0225220047790448-(+M661/52)</f>
        <v>2.2436455875670155E-2</v>
      </c>
    </row>
    <row r="662" spans="1:14">
      <c r="A662" s="68">
        <v>0.1</v>
      </c>
      <c r="B662" s="69">
        <f t="shared" si="20"/>
        <v>1E-3</v>
      </c>
      <c r="C662" s="70">
        <f t="shared" si="21"/>
        <v>1.9230769230769231E-5</v>
      </c>
      <c r="F662" s="71">
        <v>42237</v>
      </c>
      <c r="G662" s="69">
        <v>2.9886814844084677E-3</v>
      </c>
      <c r="H662" s="70">
        <f>-0.0171297096166569-(+G662/52)</f>
        <v>-1.718718426058783E-2</v>
      </c>
      <c r="I662" s="70">
        <f>-0.0372010313861474-(+H662/52)</f>
        <v>-3.6870508611905328E-2</v>
      </c>
      <c r="J662" s="70">
        <f>-0.0207045940809845-(+I662/52)</f>
        <v>-1.999554583844786E-2</v>
      </c>
      <c r="K662" s="70">
        <f>-0.0764587163386118-(+J662/52)</f>
        <v>-7.6074186610949349E-2</v>
      </c>
      <c r="L662" s="70">
        <f>-0.0416741533903244-(+K662/52)</f>
        <v>-4.0211188263190763E-2</v>
      </c>
      <c r="M662" s="70">
        <f>-0.0256608606178151-(+L662/52)</f>
        <v>-2.488756853583066E-2</v>
      </c>
      <c r="N662" s="70">
        <f>-0.0615844712118702-(+M662/52)</f>
        <v>-6.1105864124642681E-2</v>
      </c>
    </row>
    <row r="663" spans="1:14">
      <c r="A663" s="68">
        <v>0.05</v>
      </c>
      <c r="B663" s="69">
        <f t="shared" si="20"/>
        <v>5.0000000000000001E-4</v>
      </c>
      <c r="C663" s="70">
        <f t="shared" si="21"/>
        <v>9.6153846153846157E-6</v>
      </c>
      <c r="F663" s="71">
        <v>42244</v>
      </c>
      <c r="G663" s="69">
        <v>-5.4747733228190775E-3</v>
      </c>
      <c r="H663" s="70">
        <f>-0.0287684036322789-(+G663/52)</f>
        <v>-2.8663119529916996E-2</v>
      </c>
      <c r="I663" s="70">
        <f>0.00217736159593826-(+H663/52)</f>
        <v>2.7285754330520487E-3</v>
      </c>
      <c r="J663" s="70">
        <f>-0.0173766131549307-(+I663/52)</f>
        <v>-1.7429085759412471E-2</v>
      </c>
      <c r="K663" s="70">
        <f>-0.0148931924482754-(+J663/52)</f>
        <v>-1.4558017722132853E-2</v>
      </c>
      <c r="L663" s="70">
        <f>-0.013545982199553-(+K663/52)</f>
        <v>-1.3266020320281215E-2</v>
      </c>
      <c r="M663" s="70">
        <f>-0.0112822655700962-(+L663/52)</f>
        <v>-1.1027149794706178E-2</v>
      </c>
      <c r="N663" s="70">
        <f>0.0121045149210212-(+M663/52)</f>
        <v>1.2316575493996319E-2</v>
      </c>
    </row>
    <row r="664" spans="1:14">
      <c r="A664" s="68">
        <v>0.06</v>
      </c>
      <c r="B664" s="69">
        <f t="shared" si="20"/>
        <v>5.9999999999999995E-4</v>
      </c>
      <c r="C664" s="70">
        <f t="shared" si="21"/>
        <v>1.1538461538461538E-5</v>
      </c>
      <c r="F664" s="71">
        <v>42251</v>
      </c>
      <c r="G664" s="69">
        <v>-2.6848451080929437E-4</v>
      </c>
      <c r="H664" s="70">
        <f>-0.0412877650839617-(+G664/52)</f>
        <v>-4.1282601920292296E-2</v>
      </c>
      <c r="I664" s="70">
        <f>-0.0405366664755459-(+H664/52)</f>
        <v>-3.9742770284771051E-2</v>
      </c>
      <c r="J664" s="70">
        <f>-0.0422245392588092-(+I664/52)</f>
        <v>-4.1460255214871296E-2</v>
      </c>
      <c r="K664" s="70">
        <f>-0.0066896241656497-(+J664/52)</f>
        <v>-5.8923115653637132E-3</v>
      </c>
      <c r="L664" s="70">
        <f>-0.0341642759342994-(+K664/52)</f>
        <v>-3.4050962250350099E-2</v>
      </c>
      <c r="M664" s="70">
        <f>-0.0176812986264528-(+L664/52)</f>
        <v>-1.7026472429330683E-2</v>
      </c>
      <c r="N664" s="70">
        <f>-0.0418622324239979-(+M664/52)</f>
        <v>-4.1534800261895384E-2</v>
      </c>
    </row>
    <row r="665" spans="1:14">
      <c r="A665" s="68">
        <v>0.04</v>
      </c>
      <c r="B665" s="69">
        <f t="shared" si="20"/>
        <v>4.0000000000000002E-4</v>
      </c>
      <c r="C665" s="70">
        <f t="shared" si="21"/>
        <v>7.6923076923076919E-6</v>
      </c>
      <c r="F665" s="71">
        <v>42258</v>
      </c>
      <c r="G665" s="69">
        <v>1.7320275666890398E-3</v>
      </c>
      <c r="H665" s="70">
        <f>0.0217700606412223-(+G665/52)</f>
        <v>2.1736752418785969E-2</v>
      </c>
      <c r="I665" s="70">
        <f>0.0190757909474294-(+H665/52)</f>
        <v>1.8657776477837364E-2</v>
      </c>
      <c r="J665" s="70">
        <f>0.0276844548901995-(+I665/52)</f>
        <v>2.7325651496394938E-2</v>
      </c>
      <c r="K665" s="70">
        <f>0.0010693910439744-(+J665/52)</f>
        <v>5.4389774596680493E-4</v>
      </c>
      <c r="L665" s="70">
        <f>-0.00779471558902589-(+K665/52)</f>
        <v>-7.8051751610637137E-3</v>
      </c>
      <c r="M665" s="70">
        <f>0.0195875199962452-(+L665/52)</f>
        <v>1.9737619518573345E-2</v>
      </c>
      <c r="N665" s="70">
        <f>-0.0190354834934793-(+M665/52)</f>
        <v>-1.9415053099605711E-2</v>
      </c>
    </row>
    <row r="666" spans="1:14">
      <c r="A666" s="68">
        <v>0.04</v>
      </c>
      <c r="B666" s="69">
        <f t="shared" si="20"/>
        <v>4.0000000000000002E-4</v>
      </c>
      <c r="C666" s="70">
        <f t="shared" si="21"/>
        <v>7.6923076923076919E-6</v>
      </c>
      <c r="F666" s="71">
        <v>42265</v>
      </c>
      <c r="G666" s="69">
        <v>4.8655319191984207E-3</v>
      </c>
      <c r="H666" s="70">
        <f>0.0280522921764523-(+G666/52)</f>
        <v>2.7958724254929252E-2</v>
      </c>
      <c r="I666" s="70">
        <f>0.0220172150202099-(+H666/52)</f>
        <v>2.1479547246076643E-2</v>
      </c>
      <c r="J666" s="70">
        <f>0.0316283866260716-(+I666/52)</f>
        <v>3.1215318409800893E-2</v>
      </c>
      <c r="K666" s="70">
        <f>-0.00278241513633841-(+J666/52)</f>
        <v>-3.3827097211422733E-3</v>
      </c>
      <c r="L666" s="70">
        <f>0.00372804768124872-(+K666/52)</f>
        <v>3.7930997912706869E-3</v>
      </c>
      <c r="M666" s="70">
        <f>0.0220882994924831-(+L666/52)</f>
        <v>2.2015355265727895E-2</v>
      </c>
      <c r="N666" s="70">
        <f>0.0196765855921531-(+M666/52)</f>
        <v>1.9253213375504487E-2</v>
      </c>
    </row>
    <row r="667" spans="1:14">
      <c r="A667" s="68">
        <v>0.04</v>
      </c>
      <c r="B667" s="69">
        <f t="shared" si="20"/>
        <v>4.0000000000000002E-4</v>
      </c>
      <c r="C667" s="70">
        <f t="shared" si="21"/>
        <v>7.6923076923076919E-6</v>
      </c>
      <c r="F667" s="71">
        <v>42272</v>
      </c>
      <c r="G667" s="69">
        <v>-6.8964440409985516E-3</v>
      </c>
      <c r="H667" s="70">
        <f>0.0178361650272649-(+G667/52)</f>
        <v>1.7968788951130257E-2</v>
      </c>
      <c r="I667" s="70">
        <f>-0.0228933018854391-(+H667/52)</f>
        <v>-2.3238855519114681E-2</v>
      </c>
      <c r="J667" s="70">
        <f>0.00469893814878147-(+I667/52)</f>
        <v>5.1458392164567528E-3</v>
      </c>
      <c r="K667" s="70">
        <f>-0.0393564652423469-(+J667/52)</f>
        <v>-3.9455423688817222E-2</v>
      </c>
      <c r="L667" s="70">
        <f>-0.00666602758655609-(+K667/52)</f>
        <v>-5.9072694386942204E-3</v>
      </c>
      <c r="M667" s="70">
        <f>-0.0140670097095395-(+L667/52)</f>
        <v>-1.3953408374179996E-2</v>
      </c>
      <c r="N667" s="70">
        <f>-0.0284123775664731-(+M667/52)</f>
        <v>-2.814404279004656E-2</v>
      </c>
    </row>
    <row r="668" spans="1:14">
      <c r="A668" s="68">
        <v>0</v>
      </c>
      <c r="B668" s="69">
        <f t="shared" si="20"/>
        <v>0</v>
      </c>
      <c r="C668" s="70">
        <f t="shared" si="21"/>
        <v>0</v>
      </c>
      <c r="F668" s="71">
        <v>42279</v>
      </c>
      <c r="G668" s="69">
        <v>8.7879980368350194E-3</v>
      </c>
      <c r="H668" s="70">
        <f>0.0260291730009774-(+G668/52)</f>
        <v>2.5860173038730574E-2</v>
      </c>
      <c r="I668" s="70">
        <f>0.0184425928683327-(+H668/52)</f>
        <v>1.7945281848357114E-2</v>
      </c>
      <c r="J668" s="70">
        <f>0.0285355560744659-(+I668/52)</f>
        <v>2.8190454500459032E-2</v>
      </c>
      <c r="K668" s="70">
        <f>0.0119135914525038-(+J668/52)</f>
        <v>1.1371467327494972E-2</v>
      </c>
      <c r="L668" s="70">
        <f>0.00493588313751555-(+K668/52)</f>
        <v>4.7172010735252613E-3</v>
      </c>
      <c r="M668" s="70">
        <f>0.0133655130933302-(+L668/52)</f>
        <v>1.3274797688070099E-2</v>
      </c>
      <c r="N668" s="70">
        <f>0.00518437996488001-(+M668/52)</f>
        <v>4.9290953939555857E-3</v>
      </c>
    </row>
    <row r="669" spans="1:14">
      <c r="A669" s="68">
        <v>0</v>
      </c>
      <c r="B669" s="69">
        <f t="shared" si="20"/>
        <v>0</v>
      </c>
      <c r="C669" s="70">
        <f t="shared" si="21"/>
        <v>0</v>
      </c>
      <c r="F669" s="71">
        <v>42286</v>
      </c>
      <c r="G669" s="69">
        <v>1.2328071753831594E-3</v>
      </c>
      <c r="H669" s="70">
        <f>0.00314801989548574-(+G669/52)</f>
        <v>3.1243120651899101E-3</v>
      </c>
      <c r="I669" s="70">
        <f>0.0344257400257401-(+H669/52)</f>
        <v>3.4365657101409527E-2</v>
      </c>
      <c r="J669" s="70">
        <f>0.0239633064953952-(+I669/52)</f>
        <v>2.3302428474214248E-2</v>
      </c>
      <c r="K669" s="70">
        <f>0.0466883988887863-(+J669/52)</f>
        <v>4.6240275264282184E-2</v>
      </c>
      <c r="L669" s="70">
        <f>0.045978167369009-(+K669/52)</f>
        <v>4.5088931306234342E-2</v>
      </c>
      <c r="M669" s="70">
        <f>0.0262357157346677-(+L669/52)</f>
        <v>2.5368620901855501E-2</v>
      </c>
      <c r="N669" s="70">
        <f>0.07028367024374-(+M669/52)</f>
        <v>6.9795812149473557E-2</v>
      </c>
    </row>
    <row r="670" spans="1:14">
      <c r="A670" s="68">
        <v>0</v>
      </c>
      <c r="B670" s="69">
        <f t="shared" si="20"/>
        <v>0</v>
      </c>
      <c r="C670" s="70">
        <f t="shared" si="21"/>
        <v>0</v>
      </c>
      <c r="F670" s="71">
        <v>42293</v>
      </c>
      <c r="G670" s="69">
        <v>4.9481364896516861E-3</v>
      </c>
      <c r="H670" s="70">
        <f>0.0210004393397352-(+G670/52)</f>
        <v>2.0905282868780361E-2</v>
      </c>
      <c r="I670" s="70">
        <f>0.0306842137742537-(+H670/52)</f>
        <v>3.0282189103700233E-2</v>
      </c>
      <c r="J670" s="70">
        <f>0.0315225284859546-(+I670/52)</f>
        <v>3.0940178695498824E-2</v>
      </c>
      <c r="K670" s="70">
        <f>0.0296556013143269-(+J670/52)</f>
        <v>2.9060597877875002E-2</v>
      </c>
      <c r="L670" s="70">
        <f>0.00824818166267159-(+K670/52)</f>
        <v>7.6893240111739931E-3</v>
      </c>
      <c r="M670" s="70">
        <f>0.00888039650640947-(+L670/52)</f>
        <v>8.7325248908099711E-3</v>
      </c>
      <c r="N670" s="70">
        <f>-0.00122183636097953-(+M670/52)</f>
        <v>-1.3897695319566449E-3</v>
      </c>
    </row>
    <row r="671" spans="1:14">
      <c r="A671" s="68">
        <v>0.01</v>
      </c>
      <c r="B671" s="69">
        <f t="shared" si="20"/>
        <v>1E-4</v>
      </c>
      <c r="C671" s="70">
        <f t="shared" si="21"/>
        <v>1.923076923076923E-6</v>
      </c>
      <c r="F671" s="71">
        <v>42300</v>
      </c>
      <c r="G671" s="69">
        <v>-3.39021919751084E-3</v>
      </c>
      <c r="H671" s="70">
        <f>-0.00256542657388501-(+G671/52)</f>
        <v>-2.5002300508559553E-3</v>
      </c>
      <c r="I671" s="70">
        <f>-0.000359241883740765-(+H671/52)</f>
        <v>-3.1116053660891968E-4</v>
      </c>
      <c r="J671" s="70">
        <f>0.00223976375009347-(+I671/52)</f>
        <v>2.2457476065667185E-3</v>
      </c>
      <c r="K671" s="70">
        <f>0.020017406440383-(+J671/52)</f>
        <v>1.9974218986410563E-2</v>
      </c>
      <c r="L671" s="70">
        <f>0.0263263580139002-(+K671/52)</f>
        <v>2.594223841800769E-2</v>
      </c>
      <c r="M671" s="70">
        <f>-0.000834506480124134-(+L671/52)</f>
        <v>-1.3333956804704357E-3</v>
      </c>
      <c r="N671" s="70">
        <f>-0.0288369950257428-(+M671/52)</f>
        <v>-2.8811352801118368E-2</v>
      </c>
    </row>
    <row r="672" spans="1:14">
      <c r="A672" s="68">
        <v>0.01</v>
      </c>
      <c r="B672" s="69">
        <f t="shared" si="20"/>
        <v>1E-4</v>
      </c>
      <c r="C672" s="70">
        <f t="shared" si="21"/>
        <v>1.923076923076923E-6</v>
      </c>
      <c r="F672" s="71">
        <v>42307</v>
      </c>
      <c r="G672" s="69">
        <v>-1.6752543399739402E-3</v>
      </c>
      <c r="H672" s="70">
        <f>-0.00657386559731786-(+G672/52)</f>
        <v>-6.5416491677029766E-3</v>
      </c>
      <c r="I672" s="70">
        <f>0.000486889721410111-(+H672/52)</f>
        <v>6.1269066694286058E-4</v>
      </c>
      <c r="J672" s="70">
        <f>-0.0102786454690971-(+I672/52)</f>
        <v>-1.0290427981922923E-2</v>
      </c>
      <c r="K672" s="70">
        <f>-0.0631212816352413-(+J672/52)</f>
        <v>-6.2923388789435097E-2</v>
      </c>
      <c r="L672" s="70">
        <f>0.00965032582771037-(+K672/52)</f>
        <v>1.0860390996737967E-2</v>
      </c>
      <c r="M672" s="70">
        <f>-0.000744420477736447-(+L672/52)</f>
        <v>-9.5327415075063858E-4</v>
      </c>
      <c r="N672" s="70">
        <f>-0.0119971793967756-(+M672/52)</f>
        <v>-1.1978847201568858E-2</v>
      </c>
    </row>
    <row r="673" spans="1:14">
      <c r="A673" s="68">
        <v>0.05</v>
      </c>
      <c r="B673" s="69">
        <f t="shared" si="20"/>
        <v>5.0000000000000001E-4</v>
      </c>
      <c r="C673" s="70">
        <f t="shared" si="21"/>
        <v>9.6153846153846157E-6</v>
      </c>
      <c r="F673" s="71">
        <v>42314</v>
      </c>
      <c r="G673" s="69">
        <v>-1.2486238136406175E-2</v>
      </c>
      <c r="H673" s="70">
        <f>-0.0403080384469039-(+G673/52)</f>
        <v>-4.0067918482742243E-2</v>
      </c>
      <c r="I673" s="70">
        <f>-0.0107160168629049-(+H673/52)</f>
        <v>-9.945479969006011E-3</v>
      </c>
      <c r="J673" s="70">
        <f>-0.030782468878365-(+I673/52)</f>
        <v>-3.0591209648191807E-2</v>
      </c>
      <c r="K673" s="70">
        <f>0.00257790960395736-(+J673/52)</f>
        <v>3.1662020971918179E-3</v>
      </c>
      <c r="L673" s="70">
        <f>-0.0365954656391346-(+K673/52)</f>
        <v>-3.6656354141003676E-2</v>
      </c>
      <c r="M673" s="70">
        <f>-0.0279420155027491-(+L673/52)</f>
        <v>-2.7237085615422107E-2</v>
      </c>
      <c r="N673" s="70">
        <f>-0.0374018238620327-(+M673/52)</f>
        <v>-3.6878033754043818E-2</v>
      </c>
    </row>
    <row r="674" spans="1:14">
      <c r="A674" s="68">
        <v>0.06</v>
      </c>
      <c r="B674" s="69">
        <f t="shared" si="20"/>
        <v>5.9999999999999995E-4</v>
      </c>
      <c r="C674" s="70">
        <f t="shared" si="21"/>
        <v>1.1538461538461538E-5</v>
      </c>
      <c r="F674" s="71">
        <v>42321</v>
      </c>
      <c r="G674" s="69">
        <v>-4.8994304566232869E-5</v>
      </c>
      <c r="H674" s="70">
        <f>0.00815800587824611-(+G674/52)</f>
        <v>8.1589480764108456E-3</v>
      </c>
      <c r="I674" s="70">
        <f>-0.0153218785259451-(+H674/52)</f>
        <v>-1.5478781373568387E-2</v>
      </c>
      <c r="J674" s="70">
        <f>-0.00569297466836889-(+I674/52)</f>
        <v>-5.3953057958002672E-3</v>
      </c>
      <c r="K674" s="70">
        <f>-0.0155914939242315-(+J674/52)</f>
        <v>-1.5487738043543033E-2</v>
      </c>
      <c r="L674" s="70">
        <f>-0.0172496208413556-(+K674/52)</f>
        <v>-1.695177972513362E-2</v>
      </c>
      <c r="M674" s="70">
        <f>-0.0259563045818879-(+L674/52)</f>
        <v>-2.563030881794302E-2</v>
      </c>
      <c r="N674" s="70">
        <f>-0.050293544712488-(+M674/52)</f>
        <v>-4.9800654158296792E-2</v>
      </c>
    </row>
    <row r="675" spans="1:14">
      <c r="A675" s="68">
        <v>0.14000000000000001</v>
      </c>
      <c r="B675" s="69">
        <f t="shared" si="20"/>
        <v>1.4000000000000002E-3</v>
      </c>
      <c r="C675" s="70">
        <f t="shared" si="21"/>
        <v>2.6923076923076927E-5</v>
      </c>
      <c r="F675" s="71">
        <v>42328</v>
      </c>
      <c r="G675" s="69">
        <v>4.1446299737299937E-3</v>
      </c>
      <c r="H675" s="70">
        <f>0.0311026567208841-(+G675/52)</f>
        <v>3.1022952298312367E-2</v>
      </c>
      <c r="I675" s="70">
        <f>0.0246082172770977-(+H675/52)</f>
        <v>2.4011622040591693E-2</v>
      </c>
      <c r="J675" s="70">
        <f>0.0415030517908294-(+I675/52)</f>
        <v>4.1041289828510331E-2</v>
      </c>
      <c r="K675" s="70">
        <f>0.00898570456092577-(+J675/52)</f>
        <v>8.1964489873005714E-3</v>
      </c>
      <c r="L675" s="70">
        <f>0.0265593115637311-(+K675/52)</f>
        <v>2.6401687544744548E-2</v>
      </c>
      <c r="M675" s="70">
        <f>0.0159281506073807-(+L675/52)</f>
        <v>1.5420425846904843E-2</v>
      </c>
      <c r="N675" s="70">
        <f>0.0238968044145567-(+M675/52)</f>
        <v>2.3600257763654684E-2</v>
      </c>
    </row>
    <row r="676" spans="1:14">
      <c r="A676" s="68">
        <v>0.13</v>
      </c>
      <c r="B676" s="69">
        <f t="shared" si="20"/>
        <v>1.2999999999999999E-3</v>
      </c>
      <c r="C676" s="70">
        <f t="shared" si="21"/>
        <v>2.4999999999999998E-5</v>
      </c>
      <c r="F676" s="71">
        <v>42335</v>
      </c>
      <c r="G676" s="69">
        <v>4.7859153664077153E-4</v>
      </c>
      <c r="H676" s="70">
        <f>-0.0203266020206376-(+G676/52)</f>
        <v>-2.0335805704034537E-2</v>
      </c>
      <c r="I676" s="70">
        <f>-0.0251432750687836-(+H676/52)</f>
        <v>-2.4752201882167552E-2</v>
      </c>
      <c r="J676" s="70">
        <f>0.000531906572174972-(+I676/52)</f>
        <v>1.0079104545243479E-3</v>
      </c>
      <c r="K676" s="70">
        <f>-0.0419746422984852-(+J676/52)</f>
        <v>-4.1994025191841436E-2</v>
      </c>
      <c r="L676" s="70">
        <f>-0.00687905738575345-(+K676/52)</f>
        <v>-6.0714799782180381E-3</v>
      </c>
      <c r="M676" s="70">
        <f>-0.00151872910330757-(+L676/52)</f>
        <v>-1.4019698729572233E-3</v>
      </c>
      <c r="N676" s="70">
        <f>-0.0115482325866725-(+M676/52)</f>
        <v>-1.152127162757717E-2</v>
      </c>
    </row>
    <row r="677" spans="1:14">
      <c r="A677" s="68">
        <v>0.17</v>
      </c>
      <c r="B677" s="69">
        <f t="shared" si="20"/>
        <v>1.7000000000000001E-3</v>
      </c>
      <c r="C677" s="70">
        <f t="shared" si="21"/>
        <v>3.2692307692307693E-5</v>
      </c>
      <c r="F677" s="71">
        <v>42342</v>
      </c>
      <c r="G677" s="69">
        <v>-2.2170605792826102E-4</v>
      </c>
      <c r="H677" s="70">
        <f>0.000545897726695653-(+G677/52)</f>
        <v>5.50161304732735E-4</v>
      </c>
      <c r="I677" s="70">
        <f>0.00240154175010856-(+H677/52)</f>
        <v>2.390961725017546E-3</v>
      </c>
      <c r="J677" s="70">
        <f>-0.0182534594636854-(+I677/52)</f>
        <v>-1.8299439496858812E-2</v>
      </c>
      <c r="K677" s="70">
        <f>0.0153835720769126-(+J677/52)</f>
        <v>1.5735484374929117E-2</v>
      </c>
      <c r="L677" s="70">
        <f>-0.00387002354994353-(+K677/52)</f>
        <v>-4.1726290186921674E-3</v>
      </c>
      <c r="M677" s="70">
        <f>-0.0148660766649135-(+L677/52)</f>
        <v>-1.478583379916942E-2</v>
      </c>
      <c r="N677" s="70">
        <f>-0.0735246163178433-(+M677/52)</f>
        <v>-7.324027336016696E-2</v>
      </c>
    </row>
    <row r="678" spans="1:14">
      <c r="A678" s="68">
        <v>0.21</v>
      </c>
      <c r="B678" s="69">
        <f t="shared" si="20"/>
        <v>2.0999999999999999E-3</v>
      </c>
      <c r="C678" s="70">
        <f t="shared" si="21"/>
        <v>4.0384615384615382E-5</v>
      </c>
      <c r="F678" s="71">
        <v>42349</v>
      </c>
      <c r="G678" s="69">
        <v>4.1279716549741403E-3</v>
      </c>
      <c r="H678" s="70">
        <f>-0.0139656652723558-(+G678/52)</f>
        <v>-1.4045049342643764E-2</v>
      </c>
      <c r="I678" s="70">
        <f>-0.0146123278151006-(+H678/52)</f>
        <v>-1.434223071235745E-2</v>
      </c>
      <c r="J678" s="70">
        <f>-0.0240588906089738-(+I678/52)</f>
        <v>-2.3783078479890005E-2</v>
      </c>
      <c r="K678" s="70">
        <f>-0.0780695309971384-(+J678/52)</f>
        <v>-7.7612164103294357E-2</v>
      </c>
      <c r="L678" s="70">
        <f>-0.0361424280151885-(+K678/52)</f>
        <v>-3.4649886397817457E-2</v>
      </c>
      <c r="M678" s="70">
        <f>-0.0107772195848888-(+L678/52)</f>
        <v>-1.0110875615700003E-2</v>
      </c>
      <c r="N678" s="70">
        <f>-0.0473833204656585-(+M678/52)</f>
        <v>-4.7188880549971959E-2</v>
      </c>
    </row>
    <row r="679" spans="1:14">
      <c r="A679" s="68">
        <v>0.26</v>
      </c>
      <c r="B679" s="69">
        <f t="shared" si="20"/>
        <v>2.5999999999999999E-3</v>
      </c>
      <c r="C679" s="70">
        <f t="shared" si="21"/>
        <v>4.9999999999999996E-5</v>
      </c>
      <c r="F679" s="71">
        <v>42356</v>
      </c>
      <c r="G679" s="69">
        <v>-5.0890856763811682E-3</v>
      </c>
      <c r="H679" s="70">
        <f>0.00884895017908084-(+G679/52)</f>
        <v>8.946817211318939E-3</v>
      </c>
      <c r="I679" s="70">
        <f>0.0164706544256972-(+H679/52)</f>
        <v>1.6298600248556453E-2</v>
      </c>
      <c r="J679" s="70">
        <f>0.00637759681446545-(+I679/52)</f>
        <v>6.0641621943009032E-3</v>
      </c>
      <c r="K679" s="70">
        <f>-0.00484254754779859-(+J679/52)</f>
        <v>-4.959166051535146E-3</v>
      </c>
      <c r="L679" s="70">
        <f>0.00477588068438481-(+K679/52)</f>
        <v>4.8712492622989476E-3</v>
      </c>
      <c r="M679" s="70">
        <f>0.00461643590958148-(+L679/52)</f>
        <v>4.5227580391526542E-3</v>
      </c>
      <c r="N679" s="70">
        <f>-0.016328444070113-(+M679/52)</f>
        <v>-1.641542018625055E-2</v>
      </c>
    </row>
    <row r="680" spans="1:14">
      <c r="A680" s="68">
        <v>0.24</v>
      </c>
      <c r="B680" s="69">
        <f t="shared" si="20"/>
        <v>2.3999999999999998E-3</v>
      </c>
      <c r="C680" s="70">
        <f t="shared" si="21"/>
        <v>4.6153846153846151E-5</v>
      </c>
      <c r="F680" s="71">
        <v>42363</v>
      </c>
      <c r="G680" s="69">
        <v>1.8142221805515361E-3</v>
      </c>
      <c r="H680" s="70">
        <f>0.0189584945450217-(+G680/52)</f>
        <v>1.892360565693417E-2</v>
      </c>
      <c r="I680" s="70">
        <f>-0.00113467887006539-(+H680/52)</f>
        <v>-1.4985943634679704E-3</v>
      </c>
      <c r="J680" s="70">
        <f>0.016352131906765-(+I680/52)</f>
        <v>1.6380951029139383E-2</v>
      </c>
      <c r="K680" s="70">
        <f>0.0329932467997895-(+J680/52)</f>
        <v>3.2678228510767592E-2</v>
      </c>
      <c r="L680" s="70">
        <f>0.0308934447245844-(+K680/52)</f>
        <v>3.0265017253223482E-2</v>
      </c>
      <c r="M680" s="70">
        <f>0.0214688479479956-(+L680/52)</f>
        <v>2.0886828385433612E-2</v>
      </c>
      <c r="N680" s="70">
        <f>0.0444955128878263-(+M680/52)</f>
        <v>4.4093843111183348E-2</v>
      </c>
    </row>
    <row r="681" spans="1:14">
      <c r="A681" s="68">
        <v>0.21</v>
      </c>
      <c r="B681" s="69">
        <f t="shared" si="20"/>
        <v>2.0999999999999999E-3</v>
      </c>
      <c r="C681" s="70">
        <f t="shared" si="21"/>
        <v>4.0384615384615382E-5</v>
      </c>
      <c r="F681" s="71">
        <v>42370</v>
      </c>
      <c r="G681" s="69">
        <v>-1.7943246445307765E-3</v>
      </c>
      <c r="H681" s="70">
        <f>-0.00905877983952066-(+G681/52)</f>
        <v>-9.0242735963566075E-3</v>
      </c>
      <c r="I681" s="70">
        <f>0.00125668914853875-(+H681/52)</f>
        <v>1.4302328715456078E-3</v>
      </c>
      <c r="J681" s="70">
        <f>-0.0102303585731107-(+I681/52)</f>
        <v>-1.0257863051409653E-2</v>
      </c>
      <c r="K681" s="70">
        <f>-0.00383251840367745-(+J681/52)</f>
        <v>-3.6352518065349568E-3</v>
      </c>
      <c r="L681" s="70">
        <f>-0.00661687172751123-(+K681/52)</f>
        <v>-6.5469630389240197E-3</v>
      </c>
      <c r="M681" s="70">
        <f>0.00172908264031304-(+L681/52)</f>
        <v>1.8549857756769636E-3</v>
      </c>
      <c r="N681" s="70">
        <f>-0.00986795042824275-(+M681/52)</f>
        <v>-9.9036232316211531E-3</v>
      </c>
    </row>
    <row r="682" spans="1:14">
      <c r="A682" s="68">
        <v>0.21</v>
      </c>
      <c r="B682" s="69">
        <f t="shared" si="20"/>
        <v>2.0999999999999999E-3</v>
      </c>
      <c r="C682" s="70">
        <f t="shared" si="21"/>
        <v>4.0384615384615382E-5</v>
      </c>
      <c r="F682" s="71">
        <v>42377</v>
      </c>
      <c r="G682" s="69">
        <v>1.9017666770445715E-3</v>
      </c>
      <c r="H682" s="70">
        <f>-0.00918791002416991-(+G682/52)</f>
        <v>-9.2244824602669209E-3</v>
      </c>
      <c r="I682" s="70">
        <f>-0.0543730271519239-(+H682/52)</f>
        <v>-5.4195633258457228E-2</v>
      </c>
      <c r="J682" s="70">
        <f>-0.0276037720641573-(+I682/52)</f>
        <v>-2.6561548347648508E-2</v>
      </c>
      <c r="K682" s="70">
        <f>-0.0803952831574766-(+J682/52)</f>
        <v>-7.9884484150791052E-2</v>
      </c>
      <c r="L682" s="70">
        <f>-0.0316068946271671-(+K682/52)</f>
        <v>-3.0070654547344193E-2</v>
      </c>
      <c r="M682" s="70">
        <f>-0.069210111837558-(+L682/52)</f>
        <v>-6.863183001933984E-2</v>
      </c>
      <c r="N682" s="70">
        <f>-0.0466174339908538-(+M682/52)</f>
        <v>-4.5297591105866494E-2</v>
      </c>
    </row>
    <row r="683" spans="1:14">
      <c r="A683" s="68">
        <v>0.21</v>
      </c>
      <c r="B683" s="69">
        <f t="shared" si="20"/>
        <v>2.0999999999999999E-3</v>
      </c>
      <c r="C683" s="70">
        <f t="shared" si="21"/>
        <v>4.0384615384615382E-5</v>
      </c>
      <c r="F683" s="71">
        <v>42384</v>
      </c>
      <c r="G683" s="69">
        <v>6.063247524341227E-4</v>
      </c>
      <c r="H683" s="70">
        <f>-0.00654047530003734-(+G683/52)</f>
        <v>-6.5521353914303037E-3</v>
      </c>
      <c r="I683" s="70">
        <f>-0.035727872046018-(+H683/52)</f>
        <v>-3.5601869442336648E-2</v>
      </c>
      <c r="J683" s="70">
        <f>-0.0183579620241833-(+I683/52)</f>
        <v>-1.767331068875375E-2</v>
      </c>
      <c r="K683" s="70">
        <f>-0.0331966412809999-(+J683/52)</f>
        <v>-3.285676992160079E-2</v>
      </c>
      <c r="L683" s="70">
        <f>-0.054419936620793-(+K683/52)</f>
        <v>-5.378807566076222E-2</v>
      </c>
      <c r="M683" s="70">
        <f>-0.03129425609187-(+L683/52)</f>
        <v>-3.0259870021470722E-2</v>
      </c>
      <c r="N683" s="70">
        <f>-0.0411836510654336-(+M683/52)</f>
        <v>-4.060173048809762E-2</v>
      </c>
    </row>
    <row r="684" spans="1:14">
      <c r="A684" s="68">
        <v>0.22</v>
      </c>
      <c r="B684" s="69">
        <f t="shared" si="20"/>
        <v>2.2000000000000001E-3</v>
      </c>
      <c r="C684" s="70">
        <f t="shared" si="21"/>
        <v>4.2307692307692307E-5</v>
      </c>
      <c r="F684" s="71">
        <v>42391</v>
      </c>
      <c r="G684" s="69">
        <v>-2.3637844719619958E-3</v>
      </c>
      <c r="H684" s="70">
        <f>0.01006566423545-(+G684/52)</f>
        <v>1.0111121629141576E-2</v>
      </c>
      <c r="I684" s="70">
        <f>0.0200074133644319-(+H684/52)</f>
        <v>1.9812968717717639E-2</v>
      </c>
      <c r="J684" s="70">
        <f>0.0227576703278887-(+I684/52)</f>
        <v>2.2376651698701823E-2</v>
      </c>
      <c r="K684" s="70">
        <f>-0.0161277489090052-(+J684/52)</f>
        <v>-1.6558069133980235E-2</v>
      </c>
      <c r="L684" s="70">
        <f>0.0330201934852987-(+K684/52)</f>
        <v>3.3338617891721399E-2</v>
      </c>
      <c r="M684" s="70">
        <f>0.0383289419117555-(+L684/52)</f>
        <v>3.7687814644607014E-2</v>
      </c>
      <c r="N684" s="70">
        <f>0.0599815441402646-(+M684/52)</f>
        <v>5.9256778474022158E-2</v>
      </c>
    </row>
    <row r="685" spans="1:14">
      <c r="A685" s="68">
        <v>0.28000000000000003</v>
      </c>
      <c r="B685" s="69">
        <f t="shared" si="20"/>
        <v>2.8000000000000004E-3</v>
      </c>
      <c r="C685" s="70">
        <f t="shared" si="21"/>
        <v>5.3846153846153853E-5</v>
      </c>
      <c r="F685" s="71">
        <v>42398</v>
      </c>
      <c r="G685" s="69">
        <v>4.6788723145705646E-3</v>
      </c>
      <c r="H685" s="70">
        <f>0.0349359218695738-(+G685/52)</f>
        <v>3.4845943555832058E-2</v>
      </c>
      <c r="I685" s="70">
        <f>0.0228175425398303-(+H685/52)</f>
        <v>2.2147428240679685E-2</v>
      </c>
      <c r="J685" s="70">
        <f>0.029126790703204-(+I685/52)</f>
        <v>2.8700878621652468E-2</v>
      </c>
      <c r="K685" s="70">
        <f>0.01107323263742-(+J685/52)</f>
        <v>1.0521292663926683E-2</v>
      </c>
      <c r="L685" s="70">
        <f>0.0330055266542626-(+K685/52)</f>
        <v>3.2803194103033242E-2</v>
      </c>
      <c r="M685" s="70">
        <f>0.0229472350760269-(+L685/52)</f>
        <v>2.2316404420199339E-2</v>
      </c>
      <c r="N685" s="70">
        <f>0.0295390791255562-(+M685/52)</f>
        <v>2.910991750209083E-2</v>
      </c>
    </row>
    <row r="686" spans="1:14">
      <c r="A686" s="68">
        <v>0.32</v>
      </c>
      <c r="B686" s="69">
        <f t="shared" si="20"/>
        <v>3.2000000000000002E-3</v>
      </c>
      <c r="C686" s="70">
        <f t="shared" si="21"/>
        <v>6.1538461538461535E-5</v>
      </c>
      <c r="F686" s="71">
        <v>42405</v>
      </c>
      <c r="G686" s="69">
        <v>6.5063154896607602E-3</v>
      </c>
      <c r="H686" s="70">
        <f>0.0104924150969648-(+G686/52)</f>
        <v>1.0367293645240555E-2</v>
      </c>
      <c r="I686" s="70">
        <f>-0.00704556032046804-(+H686/52)</f>
        <v>-7.2449313521072822E-3</v>
      </c>
      <c r="J686" s="70">
        <f>-0.00876990315562484-(+I686/52)</f>
        <v>-8.6305775526997006E-3</v>
      </c>
      <c r="K686" s="70">
        <f>-0.0284074128765505-(+J686/52)</f>
        <v>-2.8241440231306272E-2</v>
      </c>
      <c r="L686" s="70">
        <f>-0.0393223864516437-(+K686/52)</f>
        <v>-3.877928183181089E-2</v>
      </c>
      <c r="M686" s="70">
        <f>0.0123836078892259-(+L686/52)</f>
        <v>1.3129363309068418E-2</v>
      </c>
      <c r="N686" s="70">
        <f>-0.00649465042808308-(+M686/52)</f>
        <v>-6.7471381840267033E-3</v>
      </c>
    </row>
    <row r="687" spans="1:14">
      <c r="A687" s="68">
        <v>0.32</v>
      </c>
      <c r="B687" s="69">
        <f t="shared" si="20"/>
        <v>3.2000000000000002E-3</v>
      </c>
      <c r="C687" s="70">
        <f t="shared" si="21"/>
        <v>6.1538461538461535E-5</v>
      </c>
      <c r="F687" s="71">
        <v>42412</v>
      </c>
      <c r="G687" s="69">
        <v>3.0133188343128155E-3</v>
      </c>
      <c r="H687" s="70">
        <f>-0.0265539766169497-(+G687/52)</f>
        <v>-2.6611925056071101E-2</v>
      </c>
      <c r="I687" s="70">
        <f>-0.0295937477113653-(+H687/52)</f>
        <v>-2.9081979921825471E-2</v>
      </c>
      <c r="J687" s="70">
        <f>-0.013674283993901-(+I687/52)</f>
        <v>-1.311501514925051E-2</v>
      </c>
      <c r="K687" s="70">
        <f>-0.0420806656914337-(+J687/52)</f>
        <v>-4.182845386164042E-2</v>
      </c>
      <c r="L687" s="70">
        <f>-0.0318122253555039-(+K687/52)</f>
        <v>-3.1007832012010812E-2</v>
      </c>
      <c r="M687" s="70">
        <f>-0.0410711294463209-(+L687/52)</f>
        <v>-4.0474824984551461E-2</v>
      </c>
      <c r="N687" s="70">
        <f>-0.0439314056946514-(+M687/52)</f>
        <v>-4.315304367571772E-2</v>
      </c>
    </row>
    <row r="688" spans="1:14">
      <c r="A688" s="68">
        <v>0.3</v>
      </c>
      <c r="B688" s="69">
        <f t="shared" si="20"/>
        <v>3.0000000000000001E-3</v>
      </c>
      <c r="C688" s="70">
        <f t="shared" si="21"/>
        <v>5.7692307692307691E-5</v>
      </c>
      <c r="F688" s="71">
        <v>42419</v>
      </c>
      <c r="G688" s="69">
        <v>3.6147637212726731E-3</v>
      </c>
      <c r="H688" s="70">
        <f>0.015401000108165-(+G688/52)</f>
        <v>1.5331485421217449E-2</v>
      </c>
      <c r="I688" s="70">
        <f>0.0580707345578121-(+H688/52)</f>
        <v>5.7775898299711768E-2</v>
      </c>
      <c r="J688" s="70">
        <f>0.0192958444516652-(+I688/52)</f>
        <v>1.8184769484363053E-2</v>
      </c>
      <c r="K688" s="70">
        <f>0.100564568376238-(+J688/52)</f>
        <v>0.10021486127076949</v>
      </c>
      <c r="L688" s="70">
        <f>0.0188071402472035-(+K688/52)</f>
        <v>1.6879931376611781E-2</v>
      </c>
      <c r="M688" s="70">
        <f>0.0189431178348866-(+L688/52)</f>
        <v>1.8618503769951757E-2</v>
      </c>
      <c r="N688" s="70">
        <f>0.048406441003491-(+M688/52)</f>
        <v>4.8048392854068853E-2</v>
      </c>
    </row>
    <row r="689" spans="1:14">
      <c r="A689" s="68">
        <v>0.3</v>
      </c>
      <c r="B689" s="69">
        <f t="shared" si="20"/>
        <v>3.0000000000000001E-3</v>
      </c>
      <c r="C689" s="70">
        <f t="shared" si="21"/>
        <v>5.7692307692307691E-5</v>
      </c>
      <c r="F689" s="71">
        <v>42426</v>
      </c>
      <c r="G689" s="69">
        <v>-6.5152967475449943E-4</v>
      </c>
      <c r="H689" s="70">
        <f>-0.00467887051574103-(+G689/52)</f>
        <v>-4.6663410989188281E-3</v>
      </c>
      <c r="I689" s="70">
        <f>-0.00202366856670062-(+H689/52)</f>
        <v>-1.9339312378752582E-3</v>
      </c>
      <c r="J689" s="70">
        <f>-0.0273702649441647-(+I689/52)</f>
        <v>-2.7333073958820946E-2</v>
      </c>
      <c r="K689" s="70">
        <f>-0.00222852268768248-(+J689/52)</f>
        <v>-1.7028866500128465E-3</v>
      </c>
      <c r="L689" s="70">
        <f>0.0247944824789037-(+K689/52)</f>
        <v>2.4827230299096257E-2</v>
      </c>
      <c r="M689" s="70">
        <f>0.0105134737521977-(+L689/52)</f>
        <v>1.0036027015676619E-2</v>
      </c>
      <c r="N689" s="70">
        <f>0.0273647878354259-(+M689/52)</f>
        <v>2.7171787315893658E-2</v>
      </c>
    </row>
    <row r="690" spans="1:14">
      <c r="A690" s="68">
        <v>0.32</v>
      </c>
      <c r="B690" s="69">
        <f t="shared" si="20"/>
        <v>3.2000000000000002E-3</v>
      </c>
      <c r="C690" s="70">
        <f t="shared" si="21"/>
        <v>6.1538461538461535E-5</v>
      </c>
      <c r="F690" s="71">
        <v>42433</v>
      </c>
      <c r="G690" s="69">
        <v>3.3460036623428483E-3</v>
      </c>
      <c r="H690" s="70">
        <f>0.00573818403352353-(+G690/52)</f>
        <v>5.6738378092477055E-3</v>
      </c>
      <c r="I690" s="70">
        <f>0.027065550336941-(+H690/52)</f>
        <v>2.6956438071378545E-2</v>
      </c>
      <c r="J690" s="70">
        <f>0.0316927986863363-(+I690/52)</f>
        <v>3.1174405646502097E-2</v>
      </c>
      <c r="K690" s="70">
        <f>0.0397635259200395-(+J690/52)</f>
        <v>3.9164018119145223E-2</v>
      </c>
      <c r="L690" s="70">
        <f>0.0401676553445868-(+K690/52)</f>
        <v>3.9414501149987853E-2</v>
      </c>
      <c r="M690" s="70">
        <f>0.0357297856055046-(+L690/52)</f>
        <v>3.4971814429543294E-2</v>
      </c>
      <c r="N690" s="70">
        <f>0.0454046277057769-(+M690/52)</f>
        <v>4.4732092812901067E-2</v>
      </c>
    </row>
    <row r="691" spans="1:14">
      <c r="A691" s="68">
        <v>0.31</v>
      </c>
      <c r="B691" s="69">
        <f t="shared" si="20"/>
        <v>3.0999999999999999E-3</v>
      </c>
      <c r="C691" s="70">
        <f t="shared" si="21"/>
        <v>5.9615384615384616E-5</v>
      </c>
      <c r="F691" s="71">
        <v>42440</v>
      </c>
      <c r="G691" s="69">
        <v>2.3764472333304373E-3</v>
      </c>
      <c r="H691" s="70">
        <f>0.0221710160112634-(+G691/52)</f>
        <v>2.2125315102930122E-2</v>
      </c>
      <c r="I691" s="70">
        <f>0.0281496916218978-(+H691/52)</f>
        <v>2.77242047929953E-2</v>
      </c>
      <c r="J691" s="70">
        <f>0.00223342500216605-(+I691/52)</f>
        <v>1.7002672176853713E-3</v>
      </c>
      <c r="K691" s="70">
        <f>-0.0128016582518875-(+J691/52)</f>
        <v>-1.2834355698381449E-2</v>
      </c>
      <c r="L691" s="70">
        <f>0.00674362255795241-(+K691/52)</f>
        <v>6.9904370906135917E-3</v>
      </c>
      <c r="M691" s="70">
        <f>0.032181140815347-(+L691/52)</f>
        <v>3.2046709332835203E-2</v>
      </c>
      <c r="N691" s="70">
        <f>0.00456433813436789-(+M691/52)</f>
        <v>3.9480552625825978E-3</v>
      </c>
    </row>
    <row r="692" spans="1:14">
      <c r="A692" s="68">
        <v>0.31</v>
      </c>
      <c r="B692" s="69">
        <f t="shared" si="20"/>
        <v>3.0999999999999999E-3</v>
      </c>
      <c r="C692" s="70">
        <f t="shared" si="21"/>
        <v>5.9615384615384616E-5</v>
      </c>
      <c r="F692" s="71">
        <v>42447</v>
      </c>
      <c r="G692" s="69">
        <v>1.2255095518085672E-2</v>
      </c>
      <c r="H692" s="70">
        <f>0.0161644877775332-(+G692/52)</f>
        <v>1.592881286372386E-2</v>
      </c>
      <c r="I692" s="70">
        <f>0.0252266433577252-(+H692/52)</f>
        <v>2.4920320033422819E-2</v>
      </c>
      <c r="J692" s="70">
        <f>0.0147250460257744-(+I692/52)</f>
        <v>1.4245809102054731E-2</v>
      </c>
      <c r="K692" s="70">
        <f>0.00239881291018816-(+J692/52)</f>
        <v>2.1248550428409536E-3</v>
      </c>
      <c r="L692" s="70">
        <f>0.0223848899259029-(+K692/52)</f>
        <v>2.2344027328925192E-2</v>
      </c>
      <c r="M692" s="70">
        <f>0.0103630767413881-(+L692/52)</f>
        <v>9.9333839081395398E-3</v>
      </c>
      <c r="N692" s="70">
        <f>0.0227435034177197-(+M692/52)</f>
        <v>2.2552476804101634E-2</v>
      </c>
    </row>
    <row r="693" spans="1:14">
      <c r="A693" s="68">
        <v>0.31</v>
      </c>
      <c r="B693" s="69">
        <f t="shared" si="20"/>
        <v>3.0999999999999999E-3</v>
      </c>
      <c r="C693" s="70">
        <f t="shared" si="21"/>
        <v>5.9615384615384616E-5</v>
      </c>
      <c r="F693" s="71">
        <v>42454</v>
      </c>
      <c r="G693" s="69">
        <v>-4.4926435903071401E-3</v>
      </c>
      <c r="H693" s="70">
        <f>0.00357393353350502-(+G693/52)</f>
        <v>3.6603305256263114E-3</v>
      </c>
      <c r="I693" s="70">
        <f>-0.00922368279585097-(+H693/52)</f>
        <v>-9.2940737674976296E-3</v>
      </c>
      <c r="J693" s="70">
        <f>-0.0170072320177707-(+I693/52)</f>
        <v>-1.6828499829934205E-2</v>
      </c>
      <c r="K693" s="70">
        <f>-0.0143818383944766-(+J693/52)</f>
        <v>-1.4058213397747096E-2</v>
      </c>
      <c r="L693" s="70">
        <f>-0.0109189363107687-(+K693/52)</f>
        <v>-1.0648586053119717E-2</v>
      </c>
      <c r="M693" s="70">
        <f>-0.00938378931219622-(+L693/52)</f>
        <v>-9.1790088111746871E-3</v>
      </c>
      <c r="N693" s="70">
        <f>-0.0175921109820659-(+M693/52)</f>
        <v>-1.7415591581850999E-2</v>
      </c>
    </row>
    <row r="694" spans="1:14">
      <c r="A694" s="68">
        <v>0.3</v>
      </c>
      <c r="B694" s="69">
        <f t="shared" si="20"/>
        <v>3.0000000000000001E-3</v>
      </c>
      <c r="C694" s="70">
        <f t="shared" si="21"/>
        <v>5.7692307692307691E-5</v>
      </c>
      <c r="F694" s="71">
        <v>42461</v>
      </c>
      <c r="G694" s="69">
        <v>7.4622535366983466E-3</v>
      </c>
      <c r="H694" s="70">
        <f>0.0109741684956949-(+G694/52)</f>
        <v>1.0830663619989161E-2</v>
      </c>
      <c r="I694" s="70">
        <f>0.0100558382689184-(+H694/52)</f>
        <v>9.8475562762263009E-3</v>
      </c>
      <c r="J694" s="70">
        <f>0.0149421892955503-(+I694/52)</f>
        <v>1.4752813213315178E-2</v>
      </c>
      <c r="K694" s="70">
        <f>0.046743285921212-(+J694/52)</f>
        <v>4.6459577974802088E-2</v>
      </c>
      <c r="L694" s="70">
        <f>0.0307509092859639-(+K694/52)</f>
        <v>2.9857455863371549E-2</v>
      </c>
      <c r="M694" s="70">
        <f>0.0138753175688879-(+L694/52)</f>
        <v>1.3301135725361525E-2</v>
      </c>
      <c r="N694" s="70">
        <f>0.0036517791090675-(+M694/52)</f>
        <v>3.3959880374259321E-3</v>
      </c>
    </row>
    <row r="695" spans="1:14">
      <c r="A695" s="68">
        <v>0.23</v>
      </c>
      <c r="B695" s="69">
        <f t="shared" si="20"/>
        <v>2.3E-3</v>
      </c>
      <c r="C695" s="70">
        <f t="shared" si="21"/>
        <v>4.4230769230769233E-5</v>
      </c>
      <c r="F695" s="71">
        <v>42468</v>
      </c>
      <c r="G695" s="69">
        <v>6.5619330111837577E-3</v>
      </c>
      <c r="H695" s="70">
        <f>-0.00103695763620267-(+G695/52)</f>
        <v>-1.1631486556485115E-3</v>
      </c>
      <c r="I695" s="70">
        <f>0.0243841756369346-(+H695/52)</f>
        <v>2.4406543880312454E-2</v>
      </c>
      <c r="J695" s="70">
        <f>0.0216041671278887-(+I695/52)</f>
        <v>2.1134810514805768E-2</v>
      </c>
      <c r="K695" s="70">
        <f>0.00313056497623719-(+J695/52)</f>
        <v>2.724126312490925E-3</v>
      </c>
      <c r="L695" s="70">
        <f>0.00797426211530925-(+K695/52)</f>
        <v>7.9218750708382694E-3</v>
      </c>
      <c r="M695" s="70">
        <f>0.00127289390611135-(+L695/52)</f>
        <v>1.1205501547490756E-3</v>
      </c>
      <c r="N695" s="70">
        <f>0.0146984965475876-(+M695/52)</f>
        <v>1.4676947506150118E-2</v>
      </c>
    </row>
    <row r="696" spans="1:14">
      <c r="A696" s="68">
        <v>0.23</v>
      </c>
      <c r="B696" s="69">
        <f t="shared" si="20"/>
        <v>2.3E-3</v>
      </c>
      <c r="C696" s="70">
        <f t="shared" si="21"/>
        <v>4.4230769230769233E-5</v>
      </c>
      <c r="F696" s="71">
        <v>42475</v>
      </c>
      <c r="G696" s="69">
        <v>1.6167301122980671E-3</v>
      </c>
      <c r="H696" s="70">
        <f>0.00255037575276904-(+G696/52)</f>
        <v>2.5192847890710001E-3</v>
      </c>
      <c r="I696" s="70">
        <f>0.00853195850491087-(+H696/52)</f>
        <v>8.4835107205056583E-3</v>
      </c>
      <c r="J696" s="70">
        <f>0.0177357439167853-(+I696/52)</f>
        <v>1.7572599479852499E-2</v>
      </c>
      <c r="K696" s="70">
        <f>0.0362622824771877-(+J696/52)</f>
        <v>3.5924347871805921E-2</v>
      </c>
      <c r="L696" s="70">
        <f>-0.00198102083777438-(+K696/52)</f>
        <v>-2.6718736814629555E-3</v>
      </c>
      <c r="M696" s="70">
        <f>0.00861561707722828-(+L696/52)</f>
        <v>8.6669992634102605E-3</v>
      </c>
      <c r="N696" s="70">
        <f>0.0200547660336644-(+M696/52)</f>
        <v>1.9888092970906511E-2</v>
      </c>
    </row>
    <row r="697" spans="1:14">
      <c r="A697" s="68">
        <v>0.22</v>
      </c>
      <c r="B697" s="69">
        <f t="shared" si="20"/>
        <v>2.2000000000000001E-3</v>
      </c>
      <c r="C697" s="70">
        <f t="shared" si="21"/>
        <v>4.2307692307692307E-5</v>
      </c>
      <c r="F697" s="71">
        <v>42482</v>
      </c>
      <c r="G697" s="69">
        <v>-5.1997289947037957E-3</v>
      </c>
      <c r="H697" s="70">
        <f>-0.032279455390832-(+G697/52)</f>
        <v>-3.2179460602472308E-2</v>
      </c>
      <c r="I697" s="70">
        <f>-0.0156169326957634-(+H697/52)</f>
        <v>-1.4998096914946624E-2</v>
      </c>
      <c r="J697" s="70">
        <f>-0.0243103401074983-(+I697/52)</f>
        <v>-2.4021915166826252E-2</v>
      </c>
      <c r="K697" s="70">
        <f>-0.034065862121642-(+J697/52)</f>
        <v>-3.3603902214587644E-2</v>
      </c>
      <c r="L697" s="70">
        <f>-0.00799654906855724-(+K697/52)</f>
        <v>-7.3503201798151702E-3</v>
      </c>
      <c r="M697" s="70">
        <f>0.00661538572344299-(+L697/52)</f>
        <v>6.7567380345932822E-3</v>
      </c>
      <c r="N697" s="70">
        <f>0.016005557436737-(+M697/52)</f>
        <v>1.5875620166840975E-2</v>
      </c>
    </row>
    <row r="698" spans="1:14">
      <c r="A698" s="68">
        <v>0.22</v>
      </c>
      <c r="B698" s="69">
        <f t="shared" si="20"/>
        <v>2.2000000000000001E-3</v>
      </c>
      <c r="C698" s="70">
        <f t="shared" si="21"/>
        <v>4.2307692307692307E-5</v>
      </c>
      <c r="F698" s="71">
        <v>42489</v>
      </c>
      <c r="G698" s="69">
        <v>8.046403659059018E-3</v>
      </c>
      <c r="H698" s="70">
        <f>0.0308797069914127-(+G698/52)</f>
        <v>3.0724968459507718E-2</v>
      </c>
      <c r="I698" s="70">
        <f>0.0338273751165294-(+H698/52)</f>
        <v>3.3236510338461943E-2</v>
      </c>
      <c r="J698" s="70">
        <f>0.03445910767341-(+I698/52)</f>
        <v>3.3819944013054958E-2</v>
      </c>
      <c r="K698" s="70">
        <f>-0.0137928697302427-(+J698/52)</f>
        <v>-1.4443253268955295E-2</v>
      </c>
      <c r="L698" s="70">
        <f>-0.00167545185473026-(+K698/52)</f>
        <v>-1.3976969841734274E-3</v>
      </c>
      <c r="M698" s="70">
        <f>0.0254576546473814-(+L698/52)</f>
        <v>2.5484533435538585E-2</v>
      </c>
      <c r="N698" s="70">
        <f>0.00429826008081133-(+M698/52)</f>
        <v>3.8081728993586647E-3</v>
      </c>
    </row>
    <row r="699" spans="1:14">
      <c r="A699" s="68">
        <v>0.23</v>
      </c>
      <c r="B699" s="69">
        <f t="shared" si="20"/>
        <v>2.3E-3</v>
      </c>
      <c r="C699" s="70">
        <f t="shared" si="21"/>
        <v>4.4230769230769233E-5</v>
      </c>
      <c r="F699" s="71">
        <v>42496</v>
      </c>
      <c r="G699" s="69">
        <v>4.4784528208271774E-4</v>
      </c>
      <c r="H699" s="70">
        <f>0.00326135546442241-(+G699/52)</f>
        <v>3.2527430551515884E-3</v>
      </c>
      <c r="I699" s="70">
        <f>-0.0136443085969362-(+H699/52)</f>
        <v>-1.3706861347996807E-2</v>
      </c>
      <c r="J699" s="70">
        <f>0.00176305717127269-(+I699/52)</f>
        <v>2.0266506587341671E-3</v>
      </c>
      <c r="K699" s="70">
        <f>-0.0437613827703515-(+J699/52)</f>
        <v>-4.3800356821481E-2</v>
      </c>
      <c r="L699" s="70">
        <f>0.00884374202256046-(+K699/52)</f>
        <v>9.6860565768197102E-3</v>
      </c>
      <c r="M699" s="70">
        <f>0.0021943978314186-(+L699/52)</f>
        <v>2.0081275126336054E-3</v>
      </c>
      <c r="N699" s="70">
        <f>-0.0233459573929435-(+M699/52)</f>
        <v>-2.3384575229724917E-2</v>
      </c>
    </row>
    <row r="700" spans="1:14">
      <c r="A700" s="68">
        <v>0.2</v>
      </c>
      <c r="B700" s="69">
        <f t="shared" si="20"/>
        <v>2E-3</v>
      </c>
      <c r="C700" s="70">
        <f t="shared" si="21"/>
        <v>3.8461538461538463E-5</v>
      </c>
      <c r="F700" s="71">
        <v>42503</v>
      </c>
      <c r="G700" s="69">
        <v>-2.2163585869865005E-3</v>
      </c>
      <c r="H700" s="70">
        <f>0.00492843692608112-(+G700/52)</f>
        <v>4.9710592066000911E-3</v>
      </c>
      <c r="I700" s="70">
        <f>-0.0049345333730761-(+H700/52)</f>
        <v>-5.0301306655107176E-3</v>
      </c>
      <c r="J700" s="70">
        <f>0.00205177574873273-(+I700/52)</f>
        <v>2.1485090307617823E-3</v>
      </c>
      <c r="K700" s="70">
        <f>-0.0110801665019615-(+J700/52)</f>
        <v>-1.1121483983322304E-2</v>
      </c>
      <c r="L700" s="70">
        <f>-0.0226103564443419-(+K700/52)</f>
        <v>-2.2396481752354935E-2</v>
      </c>
      <c r="M700" s="70">
        <f>-0.0179240291295932-(+L700/52)</f>
        <v>-1.7493327557432527E-2</v>
      </c>
      <c r="N700" s="70">
        <f>0.00306156405990009-(+M700/52)</f>
        <v>3.3979742052353307E-3</v>
      </c>
    </row>
    <row r="701" spans="1:14">
      <c r="A701" s="68">
        <v>0.26</v>
      </c>
      <c r="B701" s="69">
        <f t="shared" si="20"/>
        <v>2.5999999999999999E-3</v>
      </c>
      <c r="C701" s="70">
        <f t="shared" si="21"/>
        <v>4.9999999999999996E-5</v>
      </c>
      <c r="F701" s="71">
        <v>42510</v>
      </c>
      <c r="G701" s="69">
        <v>-6.1681264995606128E-3</v>
      </c>
      <c r="H701" s="70">
        <f>-0.0216450884078869-(+G701/52)</f>
        <v>-2.1526470590587658E-2</v>
      </c>
      <c r="I701" s="70">
        <f>-0.00445853706649828-(+H701/52)</f>
        <v>-4.0445664782177487E-3</v>
      </c>
      <c r="J701" s="70">
        <f>-0.00860461695043484-(+I701/52)</f>
        <v>-8.5268368258537286E-3</v>
      </c>
      <c r="K701" s="70">
        <f>-0.026157526572389-(+J701/52)</f>
        <v>-2.5993548941122584E-2</v>
      </c>
      <c r="L701" s="70">
        <f>-0.013390711518259-(+K701/52)</f>
        <v>-1.2890835577083565E-2</v>
      </c>
      <c r="M701" s="70">
        <f>-0.00438821915574637-(+L701/52)</f>
        <v>-4.1403184715716867E-3</v>
      </c>
      <c r="N701" s="70">
        <f>0.0114894761287799-(+M701/52)</f>
        <v>1.1569097637848587E-2</v>
      </c>
    </row>
    <row r="702" spans="1:14">
      <c r="A702" s="68">
        <v>0.3</v>
      </c>
      <c r="B702" s="69">
        <f t="shared" si="20"/>
        <v>3.0000000000000001E-3</v>
      </c>
      <c r="C702" s="70">
        <f t="shared" si="21"/>
        <v>5.7692307692307691E-5</v>
      </c>
      <c r="F702" s="71">
        <v>42517</v>
      </c>
      <c r="G702" s="69">
        <v>3.8502276471549298E-3</v>
      </c>
      <c r="H702" s="70">
        <f>0.0220096787414483-(+G702/52)</f>
        <v>2.1935635902079937E-2</v>
      </c>
      <c r="I702" s="70">
        <f>0.00182919669460309-(+H702/52)</f>
        <v>1.4073575426400142E-3</v>
      </c>
      <c r="J702" s="70">
        <f>0.0286453207191764-(+I702/52)</f>
        <v>2.861825615104871E-2</v>
      </c>
      <c r="K702" s="70">
        <f>0.0436204880718425-(+J702/52)</f>
        <v>4.3070136992014646E-2</v>
      </c>
      <c r="L702" s="70">
        <f>0.00312724221144771-(+K702/52)</f>
        <v>2.2989703462166595E-3</v>
      </c>
      <c r="M702" s="70">
        <f>-0.00715961563793924-(+L702/52)</f>
        <v>-7.2038266061357145E-3</v>
      </c>
      <c r="N702" s="70">
        <f>0.0065288169065631-(+M702/52)</f>
        <v>6.667352033604172E-3</v>
      </c>
    </row>
    <row r="703" spans="1:14">
      <c r="A703" s="68">
        <v>0.33</v>
      </c>
      <c r="B703" s="69">
        <f t="shared" si="20"/>
        <v>3.3E-3</v>
      </c>
      <c r="C703" s="70">
        <f t="shared" si="21"/>
        <v>6.3461538461538467E-5</v>
      </c>
      <c r="F703" s="71">
        <v>42524</v>
      </c>
      <c r="G703" s="69">
        <v>9.9481012574533668E-3</v>
      </c>
      <c r="H703" s="70">
        <f>0.00232901591365673-(+G703/52)</f>
        <v>2.1377062740903191E-3</v>
      </c>
      <c r="I703" s="70">
        <f>-0.00153650340173418-(+H703/52)</f>
        <v>-1.5776131377743786E-3</v>
      </c>
      <c r="J703" s="70">
        <f>0.00164277092472117-(+I703/52)</f>
        <v>1.6731096389091388E-3</v>
      </c>
      <c r="K703" s="70">
        <f>-0.0104344198796258-(+J703/52)</f>
        <v>-1.0466595064989436E-2</v>
      </c>
      <c r="L703" s="70">
        <f>0.0122912624292878-(+K703/52)</f>
        <v>1.249254310361452E-2</v>
      </c>
      <c r="M703" s="70">
        <f>0.00513500914404567-(+L703/52)</f>
        <v>4.8947679305146215E-3</v>
      </c>
      <c r="N703" s="70">
        <f>0.0216032655301341-(+M703/52)</f>
        <v>2.1509135377624205E-2</v>
      </c>
    </row>
    <row r="704" spans="1:14">
      <c r="A704" s="68">
        <v>0.3</v>
      </c>
      <c r="B704" s="69">
        <f t="shared" si="20"/>
        <v>3.0000000000000001E-3</v>
      </c>
      <c r="C704" s="70">
        <f t="shared" si="21"/>
        <v>5.7692307692307691E-5</v>
      </c>
      <c r="F704" s="71">
        <v>42531</v>
      </c>
      <c r="G704" s="69">
        <v>2.3797275123427779E-3</v>
      </c>
      <c r="H704" s="70">
        <f>0.0065976510054205-(+G704/52)</f>
        <v>6.5518870147985237E-3</v>
      </c>
      <c r="I704" s="70">
        <f>-0.00180665656650887-(+H704/52)</f>
        <v>-1.932654393716534E-3</v>
      </c>
      <c r="J704" s="70">
        <f>-0.00127561517570575-(+I704/52)</f>
        <v>-1.2384487450573551E-3</v>
      </c>
      <c r="K704" s="70">
        <f>-0.018686129628626-(+J704/52)</f>
        <v>-1.8662313306605668E-2</v>
      </c>
      <c r="L704" s="70">
        <f>0.00569106627111492-(+K704/52)</f>
        <v>6.0499569116265681E-3</v>
      </c>
      <c r="M704" s="70">
        <f>-0.0173455772702299-(+L704/52)</f>
        <v>-1.7461922595453486E-2</v>
      </c>
      <c r="N704" s="70">
        <f>0.0049693111460305-(+M704/52)</f>
        <v>5.3051173497892208E-3</v>
      </c>
    </row>
    <row r="705" spans="1:14">
      <c r="A705" s="68">
        <v>0.26</v>
      </c>
      <c r="B705" s="69">
        <f t="shared" si="20"/>
        <v>2.5999999999999999E-3</v>
      </c>
      <c r="C705" s="70">
        <f t="shared" si="21"/>
        <v>4.9999999999999996E-5</v>
      </c>
      <c r="F705" s="71">
        <v>42538</v>
      </c>
      <c r="G705" s="69">
        <v>7.9034659401044666E-4</v>
      </c>
      <c r="H705" s="70">
        <f>-0.00682957776622737-(+G705/52)</f>
        <v>-6.8447767391891087E-3</v>
      </c>
      <c r="I705" s="70">
        <f>-0.0176288676842679-(+H705/52)</f>
        <v>-1.7497237362360415E-2</v>
      </c>
      <c r="J705" s="70">
        <f>-0.0158125217043267-(+I705/52)</f>
        <v>-1.5476036370435153E-2</v>
      </c>
      <c r="K705" s="70">
        <f>-0.0239819337735339-(+J705/52)</f>
        <v>-2.3684317689487071E-2</v>
      </c>
      <c r="L705" s="70">
        <f>-0.00638137740229178-(+K705/52)</f>
        <v>-5.9259097544170289E-3</v>
      </c>
      <c r="M705" s="70">
        <f>-0.0221282311937265-(+L705/52)</f>
        <v>-2.2014271390756939E-2</v>
      </c>
      <c r="N705" s="70">
        <f>-0.0021616528793082-(+M705/52)</f>
        <v>-1.7383015064090282E-3</v>
      </c>
    </row>
    <row r="706" spans="1:14">
      <c r="A706" s="68">
        <v>0.27</v>
      </c>
      <c r="B706" s="69">
        <f t="shared" si="20"/>
        <v>2.7000000000000001E-3</v>
      </c>
      <c r="C706" s="70">
        <f t="shared" si="21"/>
        <v>5.1923076923076928E-5</v>
      </c>
      <c r="F706" s="71">
        <v>42545</v>
      </c>
      <c r="G706" s="69">
        <v>1.1641382944430226E-3</v>
      </c>
      <c r="H706" s="70">
        <f>-0.0117944041036061-(+G706/52)</f>
        <v>-1.1816791378499236E-2</v>
      </c>
      <c r="I706" s="70">
        <f>-0.0218918984637889-(+H706/52)</f>
        <v>-2.1664652475740839E-2</v>
      </c>
      <c r="J706" s="70">
        <f>0.00513125670935732-(+I706/52)</f>
        <v>5.5478846415831055E-3</v>
      </c>
      <c r="K706" s="70">
        <f>0.00357124893114032-(+J706/52)</f>
        <v>3.4645588418791068E-3</v>
      </c>
      <c r="L706" s="70">
        <f>0.0132117138742198-(+K706/52)</f>
        <v>1.3145087742645202E-2</v>
      </c>
      <c r="M706" s="70">
        <f>-0.026204310456849-(+L706/52)</f>
        <v>-2.6457100605746024E-2</v>
      </c>
      <c r="N706" s="70">
        <f>-0.002226604745849-(+M706/52)</f>
        <v>-1.7178143495846531E-3</v>
      </c>
    </row>
    <row r="707" spans="1:14">
      <c r="A707" s="68">
        <v>0.28000000000000003</v>
      </c>
      <c r="B707" s="69">
        <f t="shared" si="20"/>
        <v>2.8000000000000004E-3</v>
      </c>
      <c r="C707" s="70">
        <f t="shared" si="21"/>
        <v>5.3846153846153853E-5</v>
      </c>
      <c r="F707" s="71">
        <v>42552</v>
      </c>
      <c r="G707" s="69">
        <v>9.2756073435534461E-3</v>
      </c>
      <c r="H707" s="70">
        <f>0.0560310587062506-(+G707/52)</f>
        <v>5.5852681641951493E-2</v>
      </c>
      <c r="I707" s="70">
        <f>0.0437043312304108-(+H707/52)</f>
        <v>4.2630241198834809E-2</v>
      </c>
      <c r="J707" s="70">
        <f>0.0591068522655942-(+I707/52)</f>
        <v>5.8287039934847379E-2</v>
      </c>
      <c r="K707" s="70">
        <f>0.0128307939053729-(+J707/52)</f>
        <v>1.170988929124122E-2</v>
      </c>
      <c r="L707" s="70">
        <f>0.0490528927046942-(+K707/52)</f>
        <v>4.8827702526016481E-2</v>
      </c>
      <c r="M707" s="70">
        <f>0.0289301414099822-(+L707/52)</f>
        <v>2.7991147130635729E-2</v>
      </c>
      <c r="N707" s="70">
        <f>0.0400038926697003-(+M707/52)</f>
        <v>3.9465601378726539E-2</v>
      </c>
    </row>
    <row r="708" spans="1:14">
      <c r="A708" s="68">
        <v>0.26</v>
      </c>
      <c r="B708" s="69">
        <f t="shared" si="20"/>
        <v>2.5999999999999999E-3</v>
      </c>
      <c r="C708" s="70">
        <f t="shared" si="21"/>
        <v>4.9999999999999996E-5</v>
      </c>
      <c r="F708" s="71">
        <v>42559</v>
      </c>
      <c r="G708" s="69">
        <v>5.9405935797600491E-3</v>
      </c>
      <c r="H708" s="70">
        <f>-0.00730107340528691-(+G708/52)</f>
        <v>-7.4153155895130647E-3</v>
      </c>
      <c r="I708" s="70">
        <f>0.0101433369306511-(+H708/52)</f>
        <v>1.0285939153526352E-2</v>
      </c>
      <c r="J708" s="70">
        <f>-0.0230333843625792-(+I708/52)</f>
        <v>-2.3231190884762398E-2</v>
      </c>
      <c r="K708" s="70">
        <f>0.0121053543151227-(+J708/52)</f>
        <v>1.2552107985983515E-2</v>
      </c>
      <c r="L708" s="70">
        <f>0.00632045167763168-(+K708/52)</f>
        <v>6.0790649855935359E-3</v>
      </c>
      <c r="M708" s="70">
        <f>-0.00984900416859655-(+L708/52)</f>
        <v>-9.965909264473348E-3</v>
      </c>
      <c r="N708" s="70">
        <f>-0.00809894262012084-(+M708/52)</f>
        <v>-7.9072905188809668E-3</v>
      </c>
    </row>
    <row r="709" spans="1:14">
      <c r="A709" s="68">
        <v>0.28000000000000003</v>
      </c>
      <c r="B709" s="69">
        <f t="shared" ref="B709:B734" si="22">+A709/100</f>
        <v>2.8000000000000004E-3</v>
      </c>
      <c r="C709" s="70">
        <f t="shared" ref="C709:C734" si="23">+B709/52</f>
        <v>5.3846153846153853E-5</v>
      </c>
      <c r="F709" s="71">
        <v>42566</v>
      </c>
      <c r="G709" s="69">
        <v>-9.6677040072106653E-3</v>
      </c>
      <c r="H709" s="70">
        <f>-0.00521148681527274-(+G709/52)</f>
        <v>-5.025569430518689E-3</v>
      </c>
      <c r="I709" s="70">
        <f>0.00712299546718462-(+H709/52)</f>
        <v>7.219641033156133E-3</v>
      </c>
      <c r="J709" s="70">
        <f>0.00112419315420993-(+I709/52)</f>
        <v>9.8535390357231203E-4</v>
      </c>
      <c r="K709" s="70">
        <f>-0.00051338153415524-(+J709/52)</f>
        <v>-5.3233064768547678E-4</v>
      </c>
      <c r="L709" s="70">
        <f>0.0095753279612663-(+K709/52)</f>
        <v>9.5855650891064053E-3</v>
      </c>
      <c r="M709" s="70">
        <f>0.0164922141929592-(+L709/52)</f>
        <v>1.6307876402784076E-2</v>
      </c>
      <c r="N709" s="70">
        <f>0.0274164218771855-(+M709/52)</f>
        <v>2.7102808869439655E-2</v>
      </c>
    </row>
    <row r="710" spans="1:14">
      <c r="A710" s="68">
        <v>0.31</v>
      </c>
      <c r="B710" s="69">
        <f t="shared" si="22"/>
        <v>3.0999999999999999E-3</v>
      </c>
      <c r="C710" s="70">
        <f t="shared" si="23"/>
        <v>5.9615384615384616E-5</v>
      </c>
      <c r="F710" s="71">
        <v>42573</v>
      </c>
      <c r="G710" s="69">
        <v>-4.3255430790936774E-4</v>
      </c>
      <c r="H710" s="70">
        <f>0.00733729136327997-(+G710/52)</f>
        <v>7.3456097153551496E-3</v>
      </c>
      <c r="I710" s="70">
        <f>0.0210611627404367-(+H710/52)</f>
        <v>2.0919901015141407E-2</v>
      </c>
      <c r="J710" s="70">
        <f>0.0100776574113431-(+I710/52)</f>
        <v>9.6753516225903807E-3</v>
      </c>
      <c r="K710" s="70">
        <f>0.0429321804851502-(+J710/52)</f>
        <v>4.2746116030869613E-2</v>
      </c>
      <c r="L710" s="70">
        <f>-0.000950387406359293-(+K710/52)</f>
        <v>-1.7724280992606318E-3</v>
      </c>
      <c r="M710" s="70">
        <f>-0.00189968485848079-(+L710/52)</f>
        <v>-1.8655997027257779E-3</v>
      </c>
      <c r="N710" s="70">
        <f>-0.00480314088052308-(+M710/52)</f>
        <v>-4.7672639631629685E-3</v>
      </c>
    </row>
    <row r="711" spans="1:14">
      <c r="A711" s="68">
        <v>0.32</v>
      </c>
      <c r="B711" s="69">
        <f t="shared" si="22"/>
        <v>3.2000000000000002E-3</v>
      </c>
      <c r="C711" s="70">
        <f t="shared" si="23"/>
        <v>6.1538461538461535E-5</v>
      </c>
      <c r="F711" s="71">
        <v>42580</v>
      </c>
      <c r="G711" s="69">
        <v>1.0680286603560733E-2</v>
      </c>
      <c r="H711" s="70">
        <f>-0.00402187007691591-(+G711/52)</f>
        <v>-4.2272602039074621E-3</v>
      </c>
      <c r="I711" s="70">
        <f>0.0243961378220392-(+H711/52)</f>
        <v>2.4477431287498956E-2</v>
      </c>
      <c r="J711" s="70">
        <f>0.00292859072233825-(+I711/52)</f>
        <v>2.4578708898863469E-3</v>
      </c>
      <c r="K711" s="70">
        <f>0.0329917095650746-(+J711/52)</f>
        <v>3.2944442817192172E-2</v>
      </c>
      <c r="L711" s="70">
        <f>-0.00734175532861671-(+K711/52)</f>
        <v>-7.9753023058704055E-3</v>
      </c>
      <c r="M711" s="70">
        <f>0.0314302787081163-(+L711/52)</f>
        <v>3.1583649906306119E-2</v>
      </c>
      <c r="N711" s="70">
        <f>-0.00668431333872058-(+M711/52)</f>
        <v>-7.2916912215341594E-3</v>
      </c>
    </row>
    <row r="712" spans="1:14">
      <c r="A712" s="68">
        <v>0.28999999999999998</v>
      </c>
      <c r="B712" s="69">
        <f t="shared" si="22"/>
        <v>2.8999999999999998E-3</v>
      </c>
      <c r="C712" s="70">
        <f t="shared" si="23"/>
        <v>5.5769230769230765E-5</v>
      </c>
      <c r="F712" s="71">
        <v>42587</v>
      </c>
      <c r="G712" s="69">
        <v>-5.5175337543958217E-3</v>
      </c>
      <c r="H712" s="70">
        <f>-0.020026796680189-(+G712/52)</f>
        <v>-1.9920690261835232E-2</v>
      </c>
      <c r="I712" s="70">
        <f>-0.0195397449915197-(+H712/52)</f>
        <v>-1.9156654794176716E-2</v>
      </c>
      <c r="J712" s="70">
        <f>-0.038039888301416-(+I712/52)</f>
        <v>-3.7671491093835677E-2</v>
      </c>
      <c r="K712" s="70">
        <f>-0.024508329312938-(+J712/52)</f>
        <v>-2.3783877561133468E-2</v>
      </c>
      <c r="L712" s="70">
        <f>-0.00346910500199042-(+K712/52)</f>
        <v>-3.0117227411993919E-3</v>
      </c>
      <c r="M712" s="70">
        <f>-0.0171191113940256-(+L712/52)</f>
        <v>-1.7061193649002535E-2</v>
      </c>
      <c r="N712" s="70">
        <f>-0.000586130800052504-(+M712/52)</f>
        <v>-2.5803092218707065E-4</v>
      </c>
    </row>
    <row r="713" spans="1:14">
      <c r="A713" s="68">
        <v>0.28000000000000003</v>
      </c>
      <c r="B713" s="69">
        <f t="shared" si="22"/>
        <v>2.8000000000000004E-3</v>
      </c>
      <c r="C713" s="70">
        <f t="shared" si="23"/>
        <v>5.3846153846153853E-5</v>
      </c>
      <c r="F713" s="71">
        <v>42594</v>
      </c>
      <c r="G713" s="69">
        <v>6.7298795996199442E-3</v>
      </c>
      <c r="H713" s="70">
        <f>0.00987812797891442-(+G713/52)</f>
        <v>9.7487072173832682E-3</v>
      </c>
      <c r="I713" s="70">
        <f>0.0190159408658329-(+H713/52)</f>
        <v>1.8828465727037069E-2</v>
      </c>
      <c r="J713" s="70">
        <f>0.00218674572744663-(+I713/52)</f>
        <v>1.8246598480805326E-3</v>
      </c>
      <c r="K713" s="70">
        <f>0.0032641519314353-(+J713/52)</f>
        <v>3.2290623189722128E-3</v>
      </c>
      <c r="L713" s="70">
        <f>0.00838386564702347-(+K713/52)</f>
        <v>8.3217682947355435E-3</v>
      </c>
      <c r="M713" s="70">
        <f>0.0190181995473763-(+L713/52)</f>
        <v>1.885816554170831E-2</v>
      </c>
      <c r="N713" s="70">
        <f>0.0187671856272073-(+M713/52)</f>
        <v>1.8404528597559061E-2</v>
      </c>
    </row>
    <row r="714" spans="1:14">
      <c r="A714" s="68">
        <v>0.28999999999999998</v>
      </c>
      <c r="B714" s="69">
        <f t="shared" si="22"/>
        <v>2.8999999999999998E-3</v>
      </c>
      <c r="C714" s="70">
        <f t="shared" si="23"/>
        <v>5.5769230769230765E-5</v>
      </c>
      <c r="F714" s="71">
        <v>42601</v>
      </c>
      <c r="G714" s="69">
        <v>1.8599243023664943E-5</v>
      </c>
      <c r="H714" s="70">
        <f>-0.00994321386935431-(+G714/52)</f>
        <v>-9.943571547104766E-3</v>
      </c>
      <c r="I714" s="70">
        <f>0.00468250480400522-(+H714/52)</f>
        <v>4.8737273337572341E-3</v>
      </c>
      <c r="J714" s="70">
        <f>-0.0126595678985118-(+I714/52)</f>
        <v>-1.2753293424160978E-2</v>
      </c>
      <c r="K714" s="70">
        <f>-0.00755677732154869-(+J714/52)</f>
        <v>-7.3115216787763638E-3</v>
      </c>
      <c r="L714" s="70">
        <f>-0.0219942407176976-(+K714/52)</f>
        <v>-2.1853634531567287E-2</v>
      </c>
      <c r="M714" s="70">
        <f>-0.013746612441934-(+L714/52)</f>
        <v>-1.332635023940386E-2</v>
      </c>
      <c r="N714" s="70">
        <f>0.0088772845953002-(+M714/52)</f>
        <v>9.1335605614425823E-3</v>
      </c>
    </row>
    <row r="715" spans="1:14">
      <c r="A715" s="68">
        <v>0.28999999999999998</v>
      </c>
      <c r="B715" s="69">
        <f t="shared" si="22"/>
        <v>2.8999999999999998E-3</v>
      </c>
      <c r="C715" s="70">
        <f t="shared" si="23"/>
        <v>5.5769230769230765E-5</v>
      </c>
      <c r="F715" s="71">
        <v>42608</v>
      </c>
      <c r="G715" s="69">
        <v>-1.2887661042060151E-3</v>
      </c>
      <c r="H715" s="70">
        <f>-0.0113763266050306-(+G715/52)</f>
        <v>-1.1351542641488176E-2</v>
      </c>
      <c r="I715" s="70">
        <f>-0.0123695884122807-(+H715/52)</f>
        <v>-1.2151289515329004E-2</v>
      </c>
      <c r="J715" s="70">
        <f>-0.0086253626166777-(+I715/52)</f>
        <v>-8.3916839721521422E-3</v>
      </c>
      <c r="K715" s="70">
        <f>0.00916873630387147-(+J715/52)</f>
        <v>9.3301148417974725E-3</v>
      </c>
      <c r="L715" s="70">
        <f>-0.00233216670937427-(+K715/52)</f>
        <v>-2.5115919947934521E-3</v>
      </c>
      <c r="M715" s="70">
        <f>0.0102491139277168-(+L715/52)</f>
        <v>1.029741377377052E-2</v>
      </c>
      <c r="N715" s="70">
        <f>-0.0130553268976527-(+M715/52)</f>
        <v>-1.3253354085609825E-2</v>
      </c>
    </row>
    <row r="716" spans="1:14">
      <c r="A716" s="68">
        <v>0.31</v>
      </c>
      <c r="B716" s="69">
        <f t="shared" si="22"/>
        <v>3.0999999999999999E-3</v>
      </c>
      <c r="C716" s="70">
        <f t="shared" si="23"/>
        <v>5.9615384615384616E-5</v>
      </c>
      <c r="F716" s="71">
        <v>42615</v>
      </c>
      <c r="G716" s="69">
        <v>-4.7659051643944451E-3</v>
      </c>
      <c r="H716" s="70">
        <f>0.000484110792212641-(+G716/52)</f>
        <v>5.7576281460484187E-4</v>
      </c>
      <c r="I716" s="70">
        <f>-0.00128006725129438-(+H716/52)</f>
        <v>-1.2911396131137039E-3</v>
      </c>
      <c r="J716" s="70">
        <f>0.01473601355533-(+I716/52)</f>
        <v>1.4760843163274494E-2</v>
      </c>
      <c r="K716" s="70">
        <f>-0.0034164475893778-(+J716/52)</f>
        <v>-3.7003099579023093E-3</v>
      </c>
      <c r="L716" s="70">
        <f>0.0239561184480033-(+K716/52)</f>
        <v>2.4027278254886035E-2</v>
      </c>
      <c r="M716" s="70">
        <f>-0.0180541121662785-(+L716/52)</f>
        <v>-1.8516175209641692E-2</v>
      </c>
      <c r="N716" s="70">
        <f>0.00149751204486211-(+M716/52)</f>
        <v>1.8535923373552195E-3</v>
      </c>
    </row>
    <row r="717" spans="1:14">
      <c r="A717" s="68">
        <v>0.33</v>
      </c>
      <c r="B717" s="69">
        <f t="shared" si="22"/>
        <v>3.3E-3</v>
      </c>
      <c r="C717" s="70">
        <f t="shared" si="23"/>
        <v>6.3461538461538467E-5</v>
      </c>
      <c r="F717" s="71">
        <v>42622</v>
      </c>
      <c r="G717" s="69">
        <v>-3.1526375918663114E-3</v>
      </c>
      <c r="H717" s="70">
        <f>-0.0205186695699259-(+G717/52)</f>
        <v>-2.0458041923928472E-2</v>
      </c>
      <c r="I717" s="70">
        <f>-0.00739460256619846-(+H717/52)</f>
        <v>-7.001178683045989E-3</v>
      </c>
      <c r="J717" s="70">
        <f>-0.0187764793657091-(+I717/52)</f>
        <v>-1.8641841314112062E-2</v>
      </c>
      <c r="K717" s="70">
        <f>0.0458501836099103-(+J717/52)</f>
        <v>4.6208680558258608E-2</v>
      </c>
      <c r="L717" s="70">
        <f>-0.0290172414272112-(+K717/52)</f>
        <v>-2.9905869899485404E-2</v>
      </c>
      <c r="M717" s="70">
        <f>-0.0169007196765105-(+L717/52)</f>
        <v>-1.6325606793828086E-2</v>
      </c>
      <c r="N717" s="70">
        <f>0.0279369966466772-(+M717/52)</f>
        <v>2.8250950623481586E-2</v>
      </c>
    </row>
    <row r="718" spans="1:14">
      <c r="A718" s="68">
        <v>0.34</v>
      </c>
      <c r="B718" s="69">
        <f t="shared" si="22"/>
        <v>3.4000000000000002E-3</v>
      </c>
      <c r="C718" s="70">
        <f t="shared" si="23"/>
        <v>6.5384615384615386E-5</v>
      </c>
      <c r="F718" s="71">
        <v>42629</v>
      </c>
      <c r="G718" s="69">
        <v>-1.9636503385205397E-3</v>
      </c>
      <c r="H718" s="70">
        <f>0.00137225842370635-(+G718/52)</f>
        <v>1.4100209302163604E-3</v>
      </c>
      <c r="I718" s="70">
        <f>-0.0411677722062787-(+H718/52)</f>
        <v>-4.1194887993398245E-2</v>
      </c>
      <c r="J718" s="70">
        <f>-0.00298713720615172-(+I718/52)</f>
        <v>-2.1949278216632923E-3</v>
      </c>
      <c r="K718" s="70">
        <f>-0.0578349398594406-(+J718/52)</f>
        <v>-5.7792729709023993E-2</v>
      </c>
      <c r="L718" s="70">
        <f>-0.021471023437947-(+K718/52)</f>
        <v>-2.0359624789696541E-2</v>
      </c>
      <c r="M718" s="70">
        <f>-0.0315798070391008-(+L718/52)</f>
        <v>-3.1188275793145096E-2</v>
      </c>
      <c r="N718" s="70">
        <f>-0.0109834128676865-(+M718/52)</f>
        <v>-1.0383638333202942E-2</v>
      </c>
    </row>
    <row r="719" spans="1:14">
      <c r="A719" s="68">
        <v>0.33</v>
      </c>
      <c r="B719" s="69">
        <f t="shared" si="22"/>
        <v>3.3E-3</v>
      </c>
      <c r="C719" s="70">
        <f t="shared" si="23"/>
        <v>6.3461538461538467E-5</v>
      </c>
      <c r="F719" s="71">
        <v>42636</v>
      </c>
      <c r="G719" s="69">
        <v>8.4965403886189759E-3</v>
      </c>
      <c r="H719" s="70">
        <f>0.0244475419335641-(+G719/52)</f>
        <v>2.4284146926090659E-2</v>
      </c>
      <c r="I719" s="70">
        <f>0.0276008880524061-(+H719/52)</f>
        <v>2.7133885226904356E-2</v>
      </c>
      <c r="J719" s="70">
        <f>0.028959147295502-(+I719/52)</f>
        <v>2.8437341810369225E-2</v>
      </c>
      <c r="K719" s="70">
        <f>0.0301618657310494-(+J719/52)</f>
        <v>2.9614993773157686E-2</v>
      </c>
      <c r="L719" s="70">
        <f>0.0385478785529414-(+K719/52)</f>
        <v>3.7978359441919136E-2</v>
      </c>
      <c r="M719" s="70">
        <f>0.0298304928816211-(+L719/52)</f>
        <v>2.9100139815430345E-2</v>
      </c>
      <c r="N719" s="70">
        <f>0.0206437960009432-(+M719/52)</f>
        <v>2.008417792756954E-2</v>
      </c>
    </row>
    <row r="720" spans="1:14">
      <c r="A720" s="68">
        <v>0.24</v>
      </c>
      <c r="B720" s="69">
        <f t="shared" si="22"/>
        <v>2.3999999999999998E-3</v>
      </c>
      <c r="C720" s="70">
        <f t="shared" si="23"/>
        <v>4.6153846153846151E-5</v>
      </c>
      <c r="F720" s="71">
        <v>42643</v>
      </c>
      <c r="G720" s="69">
        <v>5.2749480277079395E-4</v>
      </c>
      <c r="H720" s="70">
        <f>-0.0132850241545895-(+G720/52)</f>
        <v>-1.3295168285412015E-2</v>
      </c>
      <c r="I720" s="70">
        <f>0.00671977523694364-(+H720/52)</f>
        <v>6.97545155012464E-3</v>
      </c>
      <c r="J720" s="70">
        <f>-0.0123941176470588-(+I720/52)</f>
        <v>-1.2528260946099658E-2</v>
      </c>
      <c r="K720" s="70">
        <f>-0.0218374356038924-(+J720/52)</f>
        <v>-2.1596507508775099E-2</v>
      </c>
      <c r="L720" s="70">
        <f>-0.00138121713626307-(+K720/52)</f>
        <v>-9.6589968417124113E-4</v>
      </c>
      <c r="M720" s="70">
        <f>0.00808841045798345-(+L720/52)</f>
        <v>8.1069854519098209E-3</v>
      </c>
      <c r="N720" s="70">
        <f>0.00222236409681115-(+M720/52)</f>
        <v>2.0664605304282686E-3</v>
      </c>
    </row>
    <row r="721" spans="1:14">
      <c r="A721" s="68">
        <v>0.26</v>
      </c>
      <c r="B721" s="69">
        <f t="shared" si="22"/>
        <v>2.5999999999999999E-3</v>
      </c>
      <c r="C721" s="70">
        <f t="shared" si="23"/>
        <v>4.9999999999999996E-5</v>
      </c>
      <c r="F721" s="71">
        <v>42650</v>
      </c>
      <c r="G721" s="69">
        <v>-9.2473207418945144E-3</v>
      </c>
      <c r="H721" s="70">
        <f>-0.0559084641246919-(+G721/52)</f>
        <v>-5.5730631033501621E-2</v>
      </c>
      <c r="I721" s="70">
        <f>-0.0340687698821335-(+H721/52)</f>
        <v>-3.2997026977643083E-2</v>
      </c>
      <c r="J721" s="70">
        <f>-0.0677782873615934-(+I721/52)</f>
        <v>-6.7143729150484874E-2</v>
      </c>
      <c r="K721" s="70">
        <f>0.0194458261403868-(+J721/52)</f>
        <v>2.0737051700973046E-2</v>
      </c>
      <c r="L721" s="70">
        <f>-0.0465442151717894-(+K721/52)</f>
        <v>-4.6943004627577348E-2</v>
      </c>
      <c r="M721" s="70">
        <f>-0.0571689147026352-(+L721/52)</f>
        <v>-5.6266164613643331E-2</v>
      </c>
      <c r="N721" s="70">
        <f>-0.0315658557301462-(+M721/52)</f>
        <v>-3.0483814102960749E-2</v>
      </c>
    </row>
    <row r="722" spans="1:14">
      <c r="A722" s="68">
        <v>0.32</v>
      </c>
      <c r="B722" s="69">
        <f t="shared" si="22"/>
        <v>3.2000000000000002E-3</v>
      </c>
      <c r="C722" s="70">
        <f t="shared" si="23"/>
        <v>6.1538461538461535E-5</v>
      </c>
      <c r="F722" s="71">
        <v>42657</v>
      </c>
      <c r="G722" s="69">
        <v>-5.4636223631148303E-3</v>
      </c>
      <c r="H722" s="70">
        <f>0.0112538873708654-(+G722/52)</f>
        <v>1.1358957031694532E-2</v>
      </c>
      <c r="I722" s="70">
        <f>0.00107339890758344-(+H722/52)</f>
        <v>8.5495742620469897E-4</v>
      </c>
      <c r="J722" s="70">
        <f>0.00519763470882703-(+I722/52)</f>
        <v>5.1811932198615549E-3</v>
      </c>
      <c r="K722" s="70">
        <f>-0.0144310249816311-(+J722/52)</f>
        <v>-1.4530663312782284E-2</v>
      </c>
      <c r="L722" s="70">
        <f>0.0313908297496642-(+K722/52)</f>
        <v>3.1670265582602324E-2</v>
      </c>
      <c r="M722" s="70">
        <f>-0.000657930807610002-(+L722/52)</f>
        <v>-1.2669743765062005E-3</v>
      </c>
      <c r="N722" s="70">
        <f>-0.00280027814843355-(+M722/52)</f>
        <v>-2.7759132565776615E-3</v>
      </c>
    </row>
    <row r="723" spans="1:14">
      <c r="A723" s="68">
        <v>0.33</v>
      </c>
      <c r="B723" s="69">
        <f t="shared" si="22"/>
        <v>3.3E-3</v>
      </c>
      <c r="C723" s="70">
        <f t="shared" si="23"/>
        <v>6.3461538461538467E-5</v>
      </c>
      <c r="F723" s="71">
        <v>42664</v>
      </c>
      <c r="G723" s="69">
        <v>2.4043072700754655E-3</v>
      </c>
      <c r="H723" s="70">
        <f>0.00346882721183385-(+G723/52)</f>
        <v>3.4225905335631677E-3</v>
      </c>
      <c r="I723" s="70">
        <f>0.022281568295071-(+H723/52)</f>
        <v>2.2215749246348632E-2</v>
      </c>
      <c r="J723" s="70">
        <f>0.016236882416877-(+I723/52)</f>
        <v>1.5809656469831835E-2</v>
      </c>
      <c r="K723" s="70">
        <f>0.0170302980884597-(+J723/52)</f>
        <v>1.6726266233270629E-2</v>
      </c>
      <c r="L723" s="70">
        <f>0.0125118317251198-(+K723/52)</f>
        <v>1.2190172759095366E-2</v>
      </c>
      <c r="M723" s="70">
        <f>0.0016028027494532-(+L723/52)</f>
        <v>1.3683763502398275E-3</v>
      </c>
      <c r="N723" s="70">
        <f>0.0148825229300164-(+M723/52)</f>
        <v>1.4856208000204095E-2</v>
      </c>
    </row>
    <row r="724" spans="1:14">
      <c r="A724" s="68">
        <v>0.34</v>
      </c>
      <c r="B724" s="69">
        <f t="shared" si="22"/>
        <v>3.4000000000000002E-3</v>
      </c>
      <c r="C724" s="70">
        <f t="shared" si="23"/>
        <v>6.5384615384615386E-5</v>
      </c>
      <c r="F724" s="71">
        <v>42671</v>
      </c>
      <c r="G724" s="69">
        <v>-6.9405876660629572E-3</v>
      </c>
      <c r="H724" s="70">
        <f>0.00260778859527114-(+G724/52)</f>
        <v>2.7412614350031199E-3</v>
      </c>
      <c r="I724" s="70">
        <f>-0.0159100574291606-(+H724/52)</f>
        <v>-1.5962773995218355E-2</v>
      </c>
      <c r="J724" s="70">
        <f>-0.00536960186137861-(+I724/52)</f>
        <v>-5.0626254383936411E-3</v>
      </c>
      <c r="K724" s="70">
        <f>-0.0186750506820603-(+J724/52)</f>
        <v>-1.8577692500552728E-2</v>
      </c>
      <c r="L724" s="70">
        <f>-0.00252621580962085-(+K724/52)</f>
        <v>-2.1689524923025282E-3</v>
      </c>
      <c r="M724" s="70">
        <f>-0.0154467950247861-(+L724/52)</f>
        <v>-1.5405084399934129E-2</v>
      </c>
      <c r="N724" s="70">
        <f>-0.0189075760295638-(+M724/52)</f>
        <v>-1.8611324406488144E-2</v>
      </c>
    </row>
    <row r="725" spans="1:14">
      <c r="A725" s="68">
        <v>0.32</v>
      </c>
      <c r="B725" s="69">
        <f t="shared" si="22"/>
        <v>3.2000000000000002E-3</v>
      </c>
      <c r="C725" s="70">
        <f t="shared" si="23"/>
        <v>6.1538461538461535E-5</v>
      </c>
      <c r="F725" s="71">
        <v>42678</v>
      </c>
      <c r="G725" s="69">
        <v>5.2787602728320551E-3</v>
      </c>
      <c r="H725" s="70">
        <f>-0.0131179404873759-(+G725/52)</f>
        <v>-1.3219455108007285E-2</v>
      </c>
      <c r="I725" s="70">
        <f>-0.0170188581949444-(+H725/52)</f>
        <v>-1.6764637904405796E-2</v>
      </c>
      <c r="J725" s="70">
        <f>-0.0118379102393994-(+I725/52)</f>
        <v>-1.1515513356622365E-2</v>
      </c>
      <c r="K725" s="70">
        <f>-0.0254731350338766-(+J725/52)</f>
        <v>-2.5251682853941554E-2</v>
      </c>
      <c r="L725" s="70">
        <f>-0.0317247890367226-(+K725/52)</f>
        <v>-3.1239179751069879E-2</v>
      </c>
      <c r="M725" s="70">
        <f>-0.00939838419322923-(+L725/52)</f>
        <v>-8.7976307364778863E-3</v>
      </c>
      <c r="N725" s="70">
        <f>-0.0344175980869998-(+M725/52)</f>
        <v>-3.4248412880529065E-2</v>
      </c>
    </row>
    <row r="726" spans="1:14">
      <c r="A726" s="68">
        <v>0.36</v>
      </c>
      <c r="B726" s="69">
        <f t="shared" si="22"/>
        <v>3.5999999999999999E-3</v>
      </c>
      <c r="C726" s="70">
        <f t="shared" si="23"/>
        <v>6.9230769230769224E-5</v>
      </c>
      <c r="F726" s="71">
        <v>42685</v>
      </c>
      <c r="G726" s="69">
        <v>-1.6327643131722757E-2</v>
      </c>
      <c r="H726" s="70">
        <f>-0.0476937661403682-(+G726/52)</f>
        <v>-4.7379773003219688E-2</v>
      </c>
      <c r="I726" s="70">
        <f>-0.0615347387826047-(+H726/52)</f>
        <v>-6.0623589301773556E-2</v>
      </c>
      <c r="J726" s="70">
        <f>-0.0186234611700993-(+I726/52)</f>
        <v>-1.7457622914295961E-2</v>
      </c>
      <c r="K726" s="70">
        <f>-0.00677277953434905-(+J726/52)</f>
        <v>-6.4370560167664355E-3</v>
      </c>
      <c r="L726" s="70">
        <f>-0.0616810827926239-(+K726/52)</f>
        <v>-6.1557293253839934E-2</v>
      </c>
      <c r="M726" s="70">
        <f>-0.063143368341664-(+L726/52)</f>
        <v>-6.1959574240628611E-2</v>
      </c>
      <c r="N726" s="70">
        <f>-0.0116015799842524-(+M726/52)</f>
        <v>-1.0410049710394158E-2</v>
      </c>
    </row>
    <row r="727" spans="1:14">
      <c r="A727" s="68">
        <v>0.44</v>
      </c>
      <c r="B727" s="69">
        <f t="shared" si="22"/>
        <v>4.4000000000000003E-3</v>
      </c>
      <c r="C727" s="70">
        <f t="shared" si="23"/>
        <v>8.4615384615384614E-5</v>
      </c>
      <c r="F727" s="71">
        <v>42692</v>
      </c>
      <c r="G727" s="69">
        <v>-1.5013671833441012E-2</v>
      </c>
      <c r="H727" s="70">
        <f>-0.0231875600713991-(+G727/52)</f>
        <v>-2.2898835613063696E-2</v>
      </c>
      <c r="I727" s="70">
        <f>0.00465893523548569-(+H727/52)</f>
        <v>5.0992974588138385E-3</v>
      </c>
      <c r="J727" s="70">
        <f>0.0089842686137444-(+I727/52)</f>
        <v>8.8862052010749027E-3</v>
      </c>
      <c r="K727" s="70">
        <f>-0.00212828814489239-(+J727/52)</f>
        <v>-2.2991767064515227E-3</v>
      </c>
      <c r="L727" s="70">
        <f>0.00285671690024791-(+K727/52)</f>
        <v>2.9009318369104392E-3</v>
      </c>
      <c r="M727" s="70">
        <f>-0.0241977613538072-(+L727/52)</f>
        <v>-2.4253548504517018E-2</v>
      </c>
      <c r="N727" s="70">
        <f>0.0232606568648191-(+M727/52)</f>
        <v>2.3727071259136735E-2</v>
      </c>
    </row>
    <row r="728" spans="1:14">
      <c r="A728" s="68">
        <v>0.47</v>
      </c>
      <c r="B728" s="69">
        <f t="shared" si="22"/>
        <v>4.6999999999999993E-3</v>
      </c>
      <c r="C728" s="70">
        <f t="shared" si="23"/>
        <v>9.038461538461537E-5</v>
      </c>
      <c r="F728" s="71">
        <v>42699</v>
      </c>
      <c r="G728" s="69">
        <v>-1.9522628442126587E-3</v>
      </c>
      <c r="H728" s="70">
        <f>0.012857343664892-(+G728/52)</f>
        <v>1.2894887181126859E-2</v>
      </c>
      <c r="I728" s="70">
        <f>0.0122427868650121-(+H728/52)</f>
        <v>1.1994808265375046E-2</v>
      </c>
      <c r="J728" s="70">
        <f>0.0227121552447149-(+I728/52)</f>
        <v>2.2481485854996149E-2</v>
      </c>
      <c r="K728" s="70">
        <f>-0.0135280469826231-(+J728/52)</f>
        <v>-1.3960383249065332E-2</v>
      </c>
      <c r="L728" s="70">
        <f>0.0113039638871358-(+K728/52)</f>
        <v>1.1572432795771673E-2</v>
      </c>
      <c r="M728" s="70">
        <f>0.0248724125976928-(+L728/52)</f>
        <v>2.4649865813158731E-2</v>
      </c>
      <c r="N728" s="70">
        <f>0.0122979018945939-(+M728/52)</f>
        <v>1.1823866013571617E-2</v>
      </c>
    </row>
    <row r="729" spans="1:14">
      <c r="A729" s="68">
        <v>0.48</v>
      </c>
      <c r="B729" s="69">
        <f t="shared" si="22"/>
        <v>4.7999999999999996E-3</v>
      </c>
      <c r="C729" s="70">
        <f t="shared" si="23"/>
        <v>9.2307692307692303E-5</v>
      </c>
      <c r="F729" s="71">
        <v>42706</v>
      </c>
      <c r="G729" s="69">
        <v>6.0870014187517014E-4</v>
      </c>
      <c r="H729" s="70">
        <f>-0.00960191517874562-(+G729/52)</f>
        <v>-9.6136209507047578E-3</v>
      </c>
      <c r="I729" s="70">
        <f>-0.0169624055493621-(+H729/52)</f>
        <v>-1.677752822338701E-2</v>
      </c>
      <c r="J729" s="70">
        <f>-0.0197727065639857-(+I729/52)</f>
        <v>-1.9450061790459026E-2</v>
      </c>
      <c r="K729" s="70">
        <f>0.0252221793481921-(+J729/52)</f>
        <v>2.5596218998008621E-2</v>
      </c>
      <c r="L729" s="70">
        <f>-0.038268480118444-(+K729/52)</f>
        <v>-3.8760715099174933E-2</v>
      </c>
      <c r="M729" s="70">
        <f>0.00407191577000302-(+L729/52)</f>
        <v>4.8173141372948461E-3</v>
      </c>
      <c r="N729" s="70">
        <f>-0.00473558582132408-(+M729/52)</f>
        <v>-4.82822647781052E-3</v>
      </c>
    </row>
    <row r="730" spans="1:14">
      <c r="A730" s="68">
        <v>0.48</v>
      </c>
      <c r="B730" s="69">
        <f t="shared" si="22"/>
        <v>4.7999999999999996E-3</v>
      </c>
      <c r="C730" s="70">
        <f t="shared" si="23"/>
        <v>9.2307692307692303E-5</v>
      </c>
      <c r="F730" s="71">
        <v>42713</v>
      </c>
      <c r="G730" s="69">
        <v>-2.707716456008839E-3</v>
      </c>
      <c r="H730" s="70">
        <f>0.0210540144067611-(+G730/52)</f>
        <v>2.1106085877068963E-2</v>
      </c>
      <c r="I730" s="70">
        <f>0.0235436338864519-(+H730/52)</f>
        <v>2.3137747619585189E-2</v>
      </c>
      <c r="J730" s="70">
        <f>0.00545878823235276-(+I730/52)</f>
        <v>5.0138315473607373E-3</v>
      </c>
      <c r="K730" s="70">
        <f>0.0240281503342554-(+J730/52)</f>
        <v>2.3931730496806154E-2</v>
      </c>
      <c r="L730" s="70">
        <f>0.0192377744625157-(+K730/52)</f>
        <v>1.8777548876038656E-2</v>
      </c>
      <c r="M730" s="70">
        <f>0.0135990311383271-(+L730/52)</f>
        <v>1.3237924429172512E-2</v>
      </c>
      <c r="N730" s="70">
        <f>0.00940081054737589-(+M730/52)</f>
        <v>9.1462350775841118E-3</v>
      </c>
    </row>
    <row r="731" spans="1:14">
      <c r="A731" s="68">
        <v>0.5</v>
      </c>
      <c r="B731" s="69">
        <f t="shared" si="22"/>
        <v>5.0000000000000001E-3</v>
      </c>
      <c r="C731" s="70">
        <f t="shared" si="23"/>
        <v>9.6153846153846154E-5</v>
      </c>
      <c r="F731" s="71">
        <v>42720</v>
      </c>
      <c r="G731" s="69">
        <v>-8.8328288430703245E-3</v>
      </c>
      <c r="H731" s="70">
        <f>0.00897616790966357-(+G731/52)</f>
        <v>9.1460300027995378E-3</v>
      </c>
      <c r="I731" s="70">
        <f>0.00526674181423677-(+H731/52)</f>
        <v>5.0908566218752409E-3</v>
      </c>
      <c r="J731" s="70">
        <f>-0.010144192911817-(+I731/52)</f>
        <v>-1.0242094000699217E-2</v>
      </c>
      <c r="K731" s="70">
        <f>-0.0172978081664323-(+J731/52)</f>
        <v>-1.7100844820265006E-2</v>
      </c>
      <c r="L731" s="70">
        <f>0.0185141283879709-(+K731/52)</f>
        <v>1.884299078836061E-2</v>
      </c>
      <c r="M731" s="70">
        <f>0.000908742863634008-(+L731/52)</f>
        <v>5.4637765616553468E-4</v>
      </c>
      <c r="N731" s="70">
        <f>0.0161965567625946-(+M731/52)</f>
        <v>1.618604949997603E-2</v>
      </c>
    </row>
    <row r="732" spans="1:14">
      <c r="A732" s="68">
        <v>0.52</v>
      </c>
      <c r="B732" s="69">
        <f t="shared" si="22"/>
        <v>5.1999999999999998E-3</v>
      </c>
      <c r="C732" s="70">
        <f t="shared" si="23"/>
        <v>9.9999999999999991E-5</v>
      </c>
      <c r="F732" s="71">
        <v>42727</v>
      </c>
      <c r="G732" s="69">
        <v>5.5590732747023731E-3</v>
      </c>
      <c r="H732" s="70">
        <f>0.00908333545858745-(+G732/52)</f>
        <v>8.9764302033047121E-3</v>
      </c>
      <c r="I732" s="70">
        <f>-0.00899342523210691-(+H732/52)</f>
        <v>-9.1660488898627698E-3</v>
      </c>
      <c r="J732" s="70">
        <f>0.00364257073382837-(+I732/52)</f>
        <v>3.8188409047872694E-3</v>
      </c>
      <c r="K732" s="70">
        <f>-0.0120811664410725-(+J732/52)</f>
        <v>-1.2154605689241486E-2</v>
      </c>
      <c r="L732" s="70">
        <f>0.0147109065076509-(+K732/52)</f>
        <v>1.4944648924751697E-2</v>
      </c>
      <c r="M732" s="70">
        <f>0.0133749742546456-(+L732/52)</f>
        <v>1.3087577159938836E-2</v>
      </c>
      <c r="N732" s="70">
        <f>0.00135659338770131-(+M732/52)</f>
        <v>1.10490921154864E-3</v>
      </c>
    </row>
    <row r="733" spans="1:14">
      <c r="A733" s="68">
        <v>0.51</v>
      </c>
      <c r="B733" s="69">
        <f t="shared" si="22"/>
        <v>5.1000000000000004E-3</v>
      </c>
      <c r="C733" s="70">
        <f t="shared" si="23"/>
        <v>9.8076923076923086E-5</v>
      </c>
      <c r="F733" s="71">
        <v>42734</v>
      </c>
      <c r="G733" s="69">
        <v>3.9273717066489354E-3</v>
      </c>
      <c r="H733" s="70">
        <f>0.00360568316322875-(+G733/52)</f>
        <v>3.5301567842547319E-3</v>
      </c>
      <c r="I733" s="70">
        <f>-0.00365897927028944-(+H733/52)</f>
        <v>-3.7268669007558771E-3</v>
      </c>
      <c r="J733" s="70">
        <f>0.00569272140322046-(+I733/52)</f>
        <v>5.7643919205426887E-3</v>
      </c>
      <c r="K733" s="70">
        <f>0-(+J733/52)</f>
        <v>-1.1085369077966709E-4</v>
      </c>
      <c r="L733" s="70">
        <f>-0.00429007604404159-(+K733/52)</f>
        <v>-4.2879442422958276E-3</v>
      </c>
      <c r="M733" s="70">
        <f>-0.0011572489827408-(+L733/52)</f>
        <v>-1.0747885165428032E-3</v>
      </c>
      <c r="N733" s="70">
        <f>-0.00847814754349118-(+M733/52)</f>
        <v>-8.4574785335576642E-3</v>
      </c>
    </row>
    <row r="734" spans="1:14">
      <c r="A734" s="68">
        <v>0.5</v>
      </c>
      <c r="B734" s="69">
        <f t="shared" si="22"/>
        <v>5.0000000000000001E-3</v>
      </c>
      <c r="C734" s="70">
        <f t="shared" si="23"/>
        <v>9.6153846153846154E-5</v>
      </c>
    </row>
  </sheetData>
  <mergeCells count="1">
    <mergeCell ref="AA4:AD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735"/>
  <sheetViews>
    <sheetView workbookViewId="0">
      <selection activeCell="H13" sqref="H13"/>
    </sheetView>
  </sheetViews>
  <sheetFormatPr defaultColWidth="10.85546875" defaultRowHeight="15.75"/>
  <cols>
    <col min="1" max="21" width="10.85546875" style="63"/>
    <col min="22" max="22" width="12.42578125" style="63" bestFit="1" customWidth="1"/>
    <col min="23" max="16384" width="10.85546875" style="63"/>
  </cols>
  <sheetData>
    <row r="3" spans="1:26" ht="47.25">
      <c r="H3" s="82" t="s">
        <v>407</v>
      </c>
      <c r="I3" s="82" t="s">
        <v>408</v>
      </c>
      <c r="J3" s="82" t="s">
        <v>409</v>
      </c>
    </row>
    <row r="4" spans="1:26">
      <c r="A4" s="63" t="s">
        <v>370</v>
      </c>
      <c r="F4" s="63" t="s">
        <v>371</v>
      </c>
      <c r="G4" s="63" t="s">
        <v>372</v>
      </c>
      <c r="H4" s="83"/>
      <c r="I4" s="83"/>
      <c r="J4" s="83"/>
      <c r="L4" s="63" t="s">
        <v>369</v>
      </c>
      <c r="U4" s="67"/>
      <c r="V4" s="67"/>
      <c r="W4" s="67"/>
      <c r="X4" s="67"/>
      <c r="Y4" s="67"/>
      <c r="Z4" s="67"/>
    </row>
    <row r="5" spans="1:26" ht="16.5" thickBot="1">
      <c r="A5" s="68">
        <v>1.2</v>
      </c>
      <c r="B5" s="69">
        <f>+A5/100</f>
        <v>1.2E-2</v>
      </c>
      <c r="C5" s="70">
        <f>+B5/52</f>
        <v>2.3076923076923076E-4</v>
      </c>
      <c r="F5" s="71">
        <v>37631</v>
      </c>
      <c r="G5" s="69">
        <v>2.1349527511377408E-3</v>
      </c>
      <c r="H5" s="137">
        <v>-2.5818599626188446E-3</v>
      </c>
      <c r="I5" s="137">
        <v>5.4671668504282563E-3</v>
      </c>
      <c r="J5" s="137">
        <v>3.4049048467553397E-2</v>
      </c>
      <c r="U5" s="67"/>
      <c r="V5" s="181" t="s">
        <v>410</v>
      </c>
      <c r="W5" s="181"/>
      <c r="X5" s="181"/>
      <c r="Y5" s="181"/>
      <c r="Z5" s="67"/>
    </row>
    <row r="6" spans="1:26" ht="16.5" thickBot="1">
      <c r="A6" s="68">
        <v>1.18</v>
      </c>
      <c r="B6" s="69">
        <f t="shared" ref="B6:B69" si="0">+A6/100</f>
        <v>1.18E-2</v>
      </c>
      <c r="C6" s="70">
        <f t="shared" ref="C6:C69" si="1">+B6/52</f>
        <v>2.2692307692307693E-4</v>
      </c>
      <c r="F6" s="71">
        <v>37638</v>
      </c>
      <c r="G6" s="69">
        <v>6.7690023594516252E-3</v>
      </c>
      <c r="H6" s="137">
        <v>3.8558569799658341E-3</v>
      </c>
      <c r="I6" s="137">
        <v>-2.7724023818820841E-2</v>
      </c>
      <c r="J6" s="137">
        <v>2.2571888737305955E-3</v>
      </c>
      <c r="L6" s="65" t="s">
        <v>379</v>
      </c>
      <c r="M6" s="65"/>
      <c r="U6" s="67"/>
      <c r="V6" s="73"/>
      <c r="W6" s="74" t="s">
        <v>383</v>
      </c>
      <c r="X6" s="74" t="s">
        <v>384</v>
      </c>
      <c r="Y6" s="74" t="s">
        <v>385</v>
      </c>
      <c r="Z6" s="67"/>
    </row>
    <row r="7" spans="1:26" ht="16.5" thickTop="1">
      <c r="A7" s="68">
        <v>1.17</v>
      </c>
      <c r="B7" s="69">
        <f t="shared" si="0"/>
        <v>1.1699999999999999E-2</v>
      </c>
      <c r="C7" s="70">
        <f t="shared" si="1"/>
        <v>2.2499999999999997E-4</v>
      </c>
      <c r="F7" s="71">
        <v>37645</v>
      </c>
      <c r="G7" s="69">
        <v>2.2864114008594202E-3</v>
      </c>
      <c r="H7" s="137">
        <v>-8.4991181243971037E-3</v>
      </c>
      <c r="I7" s="137">
        <v>-2.1712174995888314E-2</v>
      </c>
      <c r="J7" s="137">
        <v>-2.7785711793279109E-4</v>
      </c>
      <c r="L7" s="72" t="s">
        <v>380</v>
      </c>
      <c r="M7" s="72">
        <v>0.40041721899281346</v>
      </c>
      <c r="U7" s="67"/>
      <c r="V7" s="67" t="s">
        <v>35</v>
      </c>
      <c r="W7" s="75">
        <v>3.2277188020884777E-4</v>
      </c>
      <c r="X7" s="75">
        <v>0.38696802243634881</v>
      </c>
      <c r="Y7" s="75">
        <v>0.69889297163456554</v>
      </c>
      <c r="Z7" s="67"/>
    </row>
    <row r="8" spans="1:26">
      <c r="A8" s="68">
        <v>1.1499999999999999</v>
      </c>
      <c r="B8" s="69">
        <f t="shared" si="0"/>
        <v>1.15E-2</v>
      </c>
      <c r="C8" s="70">
        <f t="shared" si="1"/>
        <v>2.2115384615384616E-4</v>
      </c>
      <c r="F8" s="71">
        <v>37652</v>
      </c>
      <c r="G8" s="69">
        <v>-4.2050450824625829E-3</v>
      </c>
      <c r="H8" s="137">
        <v>-2.6228541184397172E-2</v>
      </c>
      <c r="I8" s="137">
        <v>-1.315879838960409E-2</v>
      </c>
      <c r="J8" s="137">
        <v>-1.6460034431015676E-2</v>
      </c>
      <c r="L8" s="72" t="s">
        <v>382</v>
      </c>
      <c r="M8" s="72">
        <v>0.16033394926593872</v>
      </c>
      <c r="P8" s="63" t="s">
        <v>411</v>
      </c>
      <c r="U8" s="67"/>
      <c r="V8" s="67" t="s">
        <v>34</v>
      </c>
      <c r="W8" s="75">
        <v>1.1777183811842616E-3</v>
      </c>
      <c r="X8" s="75">
        <v>1.4409586268760506</v>
      </c>
      <c r="Y8" s="75">
        <v>0.15002632981456535</v>
      </c>
      <c r="Z8" s="67"/>
    </row>
    <row r="9" spans="1:26">
      <c r="A9" s="68">
        <v>1.1599999999999999</v>
      </c>
      <c r="B9" s="69">
        <f t="shared" si="0"/>
        <v>1.1599999999999999E-2</v>
      </c>
      <c r="C9" s="70">
        <f t="shared" si="1"/>
        <v>2.2307692307692306E-4</v>
      </c>
      <c r="F9" s="71">
        <v>37659</v>
      </c>
      <c r="G9" s="69">
        <v>1.671375261782324E-3</v>
      </c>
      <c r="H9" s="137">
        <v>-7.6566731465343082E-3</v>
      </c>
      <c r="I9" s="137">
        <v>-2.6868143588517763E-2</v>
      </c>
      <c r="J9" s="137">
        <v>-1.2202892097816595E-3</v>
      </c>
      <c r="L9" s="72" t="s">
        <v>386</v>
      </c>
      <c r="M9" s="72">
        <v>0.15918056183361171</v>
      </c>
      <c r="U9" s="67"/>
      <c r="V9" s="78" t="s">
        <v>412</v>
      </c>
      <c r="W9" s="79">
        <v>4.3425016541117885E-4</v>
      </c>
      <c r="X9" s="79">
        <v>0.4483410382103748</v>
      </c>
      <c r="Y9" s="79">
        <v>0.65404049086940819</v>
      </c>
      <c r="Z9" s="67"/>
    </row>
    <row r="10" spans="1:26">
      <c r="A10" s="68">
        <v>1.1499999999999999</v>
      </c>
      <c r="B10" s="69">
        <f t="shared" si="0"/>
        <v>1.15E-2</v>
      </c>
      <c r="C10" s="70">
        <f t="shared" si="1"/>
        <v>2.2115384615384616E-4</v>
      </c>
      <c r="F10" s="71">
        <v>37666</v>
      </c>
      <c r="G10" s="69">
        <v>-7.5523469332537771E-4</v>
      </c>
      <c r="H10" s="137">
        <v>1.121635952103503E-2</v>
      </c>
      <c r="I10" s="137">
        <v>-1.0291731695277681E-2</v>
      </c>
      <c r="J10" s="137">
        <v>2.4022764898825317E-3</v>
      </c>
      <c r="L10" s="72" t="s">
        <v>387</v>
      </c>
      <c r="M10" s="72">
        <v>2.2408572319627115E-2</v>
      </c>
      <c r="U10" s="67"/>
      <c r="V10" s="67"/>
      <c r="W10" s="67"/>
      <c r="X10" s="67"/>
      <c r="Y10" s="67"/>
      <c r="Z10" s="67"/>
    </row>
    <row r="11" spans="1:26" ht="16.5" thickBot="1">
      <c r="A11" s="68">
        <v>1.1599999999999999</v>
      </c>
      <c r="B11" s="69">
        <f t="shared" si="0"/>
        <v>1.1599999999999999E-2</v>
      </c>
      <c r="C11" s="70">
        <f t="shared" si="1"/>
        <v>2.2307692307692306E-4</v>
      </c>
      <c r="F11" s="71">
        <v>37673</v>
      </c>
      <c r="G11" s="69">
        <v>4.8405091520710587E-3</v>
      </c>
      <c r="H11" s="137">
        <v>5.8460653641098006E-3</v>
      </c>
      <c r="I11" s="137">
        <v>1.1952233211812633E-2</v>
      </c>
      <c r="J11" s="137">
        <v>1.6857458109132233E-2</v>
      </c>
      <c r="L11" s="76" t="s">
        <v>388</v>
      </c>
      <c r="M11" s="76">
        <v>730</v>
      </c>
      <c r="U11" s="67"/>
      <c r="V11" s="67"/>
      <c r="W11" s="67"/>
      <c r="X11" s="67"/>
      <c r="Y11" s="67"/>
      <c r="Z11" s="67"/>
    </row>
    <row r="12" spans="1:26">
      <c r="A12" s="68">
        <v>1.17</v>
      </c>
      <c r="B12" s="69">
        <f t="shared" si="0"/>
        <v>1.1699999999999999E-2</v>
      </c>
      <c r="C12" s="70">
        <f t="shared" si="1"/>
        <v>2.2499999999999997E-4</v>
      </c>
      <c r="F12" s="71">
        <v>37680</v>
      </c>
      <c r="G12" s="69">
        <v>4.9243956428151638E-3</v>
      </c>
      <c r="H12" s="137">
        <v>-6.2705726699935924E-4</v>
      </c>
      <c r="I12" s="137">
        <v>-8.4127277433093534E-3</v>
      </c>
      <c r="J12" s="137">
        <v>2.0904688361430963E-2</v>
      </c>
    </row>
    <row r="13" spans="1:26" ht="16.5" thickBot="1">
      <c r="A13" s="68">
        <v>1.19</v>
      </c>
      <c r="B13" s="69">
        <f t="shared" si="0"/>
        <v>1.1899999999999999E-2</v>
      </c>
      <c r="C13" s="70">
        <f t="shared" si="1"/>
        <v>2.2884615384615383E-4</v>
      </c>
      <c r="F13" s="71">
        <v>37687</v>
      </c>
      <c r="G13" s="69">
        <v>5.7647765596384711E-3</v>
      </c>
      <c r="H13" s="137">
        <v>-1.1200394323191752E-3</v>
      </c>
      <c r="I13" s="137">
        <v>2.5908311638670273E-2</v>
      </c>
      <c r="J13" s="137">
        <v>-1.7657269138772018E-2</v>
      </c>
      <c r="L13" s="63" t="s">
        <v>389</v>
      </c>
    </row>
    <row r="14" spans="1:26">
      <c r="A14" s="68">
        <v>1.1499999999999999</v>
      </c>
      <c r="B14" s="69">
        <f t="shared" si="0"/>
        <v>1.15E-2</v>
      </c>
      <c r="C14" s="70">
        <f t="shared" si="1"/>
        <v>2.2115384615384616E-4</v>
      </c>
      <c r="F14" s="71">
        <v>37694</v>
      </c>
      <c r="G14" s="69">
        <v>-8.8156946070451041E-3</v>
      </c>
      <c r="H14" s="137">
        <v>-1.9133867258126533E-2</v>
      </c>
      <c r="I14" s="137">
        <v>-1.3538481331614052E-2</v>
      </c>
      <c r="J14" s="137">
        <v>-4.1612715212611652E-2</v>
      </c>
      <c r="L14" s="77"/>
      <c r="M14" s="77" t="s">
        <v>390</v>
      </c>
      <c r="N14" s="77" t="s">
        <v>391</v>
      </c>
      <c r="O14" s="77" t="s">
        <v>392</v>
      </c>
      <c r="P14" s="77" t="s">
        <v>393</v>
      </c>
      <c r="Q14" s="77" t="s">
        <v>394</v>
      </c>
    </row>
    <row r="15" spans="1:26">
      <c r="A15" s="68">
        <v>1.0900000000000001</v>
      </c>
      <c r="B15" s="69">
        <f t="shared" si="0"/>
        <v>1.09E-2</v>
      </c>
      <c r="C15" s="70">
        <f t="shared" si="1"/>
        <v>2.0961538461538462E-4</v>
      </c>
      <c r="F15" s="71">
        <v>37701</v>
      </c>
      <c r="G15" s="69">
        <v>-1.1132178519511001E-2</v>
      </c>
      <c r="H15" s="137">
        <v>1.6496067271619546E-2</v>
      </c>
      <c r="I15" s="137">
        <v>4.2610321197150802E-2</v>
      </c>
      <c r="J15" s="137">
        <v>-7.2592746959671993E-3</v>
      </c>
      <c r="L15" s="72" t="s">
        <v>395</v>
      </c>
      <c r="M15" s="72">
        <v>1</v>
      </c>
      <c r="N15" s="72">
        <v>6.9803733373673293E-2</v>
      </c>
      <c r="O15" s="72">
        <v>6.9803733373673293E-2</v>
      </c>
      <c r="P15" s="72">
        <v>139.01135453024511</v>
      </c>
      <c r="Q15" s="72">
        <v>1.7376047718049363E-29</v>
      </c>
    </row>
    <row r="16" spans="1:26">
      <c r="A16" s="68">
        <v>1.1399999999999999</v>
      </c>
      <c r="B16" s="69">
        <f t="shared" si="0"/>
        <v>1.1399999999999999E-2</v>
      </c>
      <c r="C16" s="70">
        <f t="shared" si="1"/>
        <v>2.192307692307692E-4</v>
      </c>
      <c r="F16" s="71">
        <v>37708</v>
      </c>
      <c r="G16" s="69">
        <v>8.7801979137074136E-3</v>
      </c>
      <c r="H16" s="137">
        <v>-4.4542726194718683E-3</v>
      </c>
      <c r="I16" s="137">
        <v>-9.4101230127357997E-3</v>
      </c>
      <c r="J16" s="137">
        <v>3.8645242914979658E-2</v>
      </c>
      <c r="L16" s="72" t="s">
        <v>397</v>
      </c>
      <c r="M16" s="72">
        <v>728</v>
      </c>
      <c r="N16" s="72">
        <v>0.36556091455808182</v>
      </c>
      <c r="O16" s="72">
        <v>5.0214411340395858E-4</v>
      </c>
      <c r="P16" s="72"/>
      <c r="Q16" s="72"/>
    </row>
    <row r="17" spans="1:20" ht="16.5" thickBot="1">
      <c r="A17" s="68">
        <v>1.1499999999999999</v>
      </c>
      <c r="B17" s="69">
        <f t="shared" si="0"/>
        <v>1.15E-2</v>
      </c>
      <c r="C17" s="70">
        <f t="shared" si="1"/>
        <v>2.2115384615384616E-4</v>
      </c>
      <c r="F17" s="71">
        <v>37715</v>
      </c>
      <c r="G17" s="69">
        <v>5.1124406265264403E-4</v>
      </c>
      <c r="H17" s="137">
        <v>1.2510924508477302E-2</v>
      </c>
      <c r="I17" s="137">
        <v>2.3646647576852389E-2</v>
      </c>
      <c r="J17" s="137">
        <v>-1.0790782991318019E-2</v>
      </c>
      <c r="L17" s="76" t="s">
        <v>398</v>
      </c>
      <c r="M17" s="76">
        <v>729</v>
      </c>
      <c r="N17" s="76">
        <v>0.43536464793175511</v>
      </c>
      <c r="O17" s="76"/>
      <c r="P17" s="76"/>
      <c r="Q17" s="76"/>
    </row>
    <row r="18" spans="1:20" ht="16.5" thickBot="1">
      <c r="A18" s="68">
        <v>1.1000000000000001</v>
      </c>
      <c r="B18" s="69">
        <f t="shared" si="0"/>
        <v>1.1000000000000001E-2</v>
      </c>
      <c r="C18" s="70">
        <f t="shared" si="1"/>
        <v>2.1153846153846155E-4</v>
      </c>
      <c r="F18" s="71">
        <v>37722</v>
      </c>
      <c r="G18" s="69">
        <v>6.2963397139091469E-5</v>
      </c>
      <c r="H18" s="137">
        <v>5.8708950173999002E-3</v>
      </c>
      <c r="I18" s="137">
        <v>2.7418657453490893E-3</v>
      </c>
      <c r="J18" s="137">
        <v>4.8671666590304849E-2</v>
      </c>
    </row>
    <row r="19" spans="1:20">
      <c r="A19" s="68">
        <v>1.1299999999999999</v>
      </c>
      <c r="B19" s="69">
        <f t="shared" si="0"/>
        <v>1.1299999999999999E-2</v>
      </c>
      <c r="C19" s="70">
        <f t="shared" si="1"/>
        <v>2.1730769230769229E-4</v>
      </c>
      <c r="F19" s="71">
        <v>37729</v>
      </c>
      <c r="G19" s="69">
        <v>7.1347906694800966E-3</v>
      </c>
      <c r="H19" s="137">
        <v>1.070776178138627E-2</v>
      </c>
      <c r="I19" s="137">
        <v>8.8382822808036037E-3</v>
      </c>
      <c r="J19" s="137">
        <v>-3.4378925520267417E-3</v>
      </c>
      <c r="L19" s="77"/>
      <c r="M19" s="77" t="s">
        <v>399</v>
      </c>
      <c r="N19" s="77" t="s">
        <v>387</v>
      </c>
      <c r="O19" s="77" t="s">
        <v>384</v>
      </c>
      <c r="P19" s="77" t="s">
        <v>400</v>
      </c>
      <c r="Q19" s="77" t="s">
        <v>401</v>
      </c>
      <c r="R19" s="77" t="s">
        <v>402</v>
      </c>
      <c r="S19" s="77" t="s">
        <v>403</v>
      </c>
      <c r="T19" s="77" t="s">
        <v>404</v>
      </c>
    </row>
    <row r="20" spans="1:20">
      <c r="A20" s="68">
        <v>1.1599999999999999</v>
      </c>
      <c r="B20" s="69">
        <f t="shared" si="0"/>
        <v>1.1599999999999999E-2</v>
      </c>
      <c r="C20" s="70">
        <f t="shared" si="1"/>
        <v>2.2307692307692306E-4</v>
      </c>
      <c r="F20" s="71">
        <v>37736</v>
      </c>
      <c r="G20" s="69">
        <v>5.13948077408132E-3</v>
      </c>
      <c r="H20" s="137">
        <v>3.8036150802072256E-4</v>
      </c>
      <c r="I20" s="137">
        <v>1.3171458192123555E-2</v>
      </c>
      <c r="J20" s="137">
        <v>2.0776625190927767E-2</v>
      </c>
      <c r="L20" s="72" t="s">
        <v>405</v>
      </c>
      <c r="M20" s="72">
        <v>3.2277188020884777E-4</v>
      </c>
      <c r="N20" s="72">
        <v>8.341047877203847E-4</v>
      </c>
      <c r="O20" s="72">
        <v>0.38696802243634881</v>
      </c>
      <c r="P20" s="72">
        <v>0.69889297163456554</v>
      </c>
      <c r="Q20" s="72">
        <v>-1.3147659365307573E-3</v>
      </c>
      <c r="R20" s="72">
        <v>1.9603096969484529E-3</v>
      </c>
      <c r="S20" s="72">
        <v>-1.3147659365307573E-3</v>
      </c>
      <c r="T20" s="72">
        <v>1.9603096969484529E-3</v>
      </c>
    </row>
    <row r="21" spans="1:20" ht="16.5" thickBot="1">
      <c r="A21" s="68">
        <v>1.1399999999999999</v>
      </c>
      <c r="B21" s="69">
        <f t="shared" si="0"/>
        <v>1.1399999999999999E-2</v>
      </c>
      <c r="C21" s="70">
        <f t="shared" si="1"/>
        <v>2.192307692307692E-4</v>
      </c>
      <c r="F21" s="71">
        <v>37743</v>
      </c>
      <c r="G21" s="69">
        <v>7.8771806137414267E-3</v>
      </c>
      <c r="H21" s="137">
        <v>2.0460076333062956E-2</v>
      </c>
      <c r="I21" s="137">
        <v>1.0154097781583084E-2</v>
      </c>
      <c r="J21" s="137">
        <v>3.0322194892655342E-2</v>
      </c>
      <c r="L21" s="76" t="s">
        <v>406</v>
      </c>
      <c r="M21" s="76">
        <v>1.7023120643407996</v>
      </c>
      <c r="N21" s="76">
        <v>0.14438232780492741</v>
      </c>
      <c r="O21" s="76">
        <v>11.790307652060891</v>
      </c>
      <c r="P21" s="76">
        <v>1.7376047718045131E-29</v>
      </c>
      <c r="Q21" s="76">
        <v>1.418856645632999</v>
      </c>
      <c r="R21" s="76">
        <v>1.9857674830486003</v>
      </c>
      <c r="S21" s="76">
        <v>1.418856645632999</v>
      </c>
      <c r="T21" s="76">
        <v>1.9857674830486003</v>
      </c>
    </row>
    <row r="22" spans="1:20">
      <c r="A22" s="68">
        <v>1.1100000000000001</v>
      </c>
      <c r="B22" s="69">
        <f t="shared" si="0"/>
        <v>1.11E-2</v>
      </c>
      <c r="C22" s="70">
        <f t="shared" si="1"/>
        <v>2.1346153846153848E-4</v>
      </c>
      <c r="F22" s="71">
        <v>37750</v>
      </c>
      <c r="G22" s="69">
        <v>1.2466254792532758E-2</v>
      </c>
      <c r="H22" s="137">
        <v>1.2422725757090013E-2</v>
      </c>
      <c r="I22" s="137">
        <v>1.6421233969705018E-2</v>
      </c>
      <c r="J22" s="137">
        <v>2.9971418420587852E-2</v>
      </c>
    </row>
    <row r="23" spans="1:20">
      <c r="A23" s="68">
        <v>1.0900000000000001</v>
      </c>
      <c r="B23" s="69">
        <f t="shared" si="0"/>
        <v>1.09E-2</v>
      </c>
      <c r="C23" s="70">
        <f t="shared" si="1"/>
        <v>2.0961538461538462E-4</v>
      </c>
      <c r="F23" s="71">
        <v>37757</v>
      </c>
      <c r="G23" s="69">
        <v>9.1726403065292405E-3</v>
      </c>
      <c r="H23" s="137">
        <v>2.315321611661425E-2</v>
      </c>
      <c r="I23" s="137">
        <v>1.8499276694548903E-2</v>
      </c>
      <c r="J23" s="137">
        <v>2.1499429019037512E-2</v>
      </c>
      <c r="L23" s="63" t="s">
        <v>369</v>
      </c>
    </row>
    <row r="24" spans="1:20" ht="16.5" thickBot="1">
      <c r="A24" s="68">
        <v>1.05</v>
      </c>
      <c r="B24" s="69">
        <f t="shared" si="0"/>
        <v>1.0500000000000001E-2</v>
      </c>
      <c r="C24" s="70">
        <f t="shared" si="1"/>
        <v>2.0192307692307694E-4</v>
      </c>
      <c r="F24" s="71">
        <v>37764</v>
      </c>
      <c r="G24" s="69">
        <v>5.0356831090645924E-3</v>
      </c>
      <c r="H24" s="137">
        <v>1.0092145865201302E-2</v>
      </c>
      <c r="I24" s="137">
        <v>4.2114738652508775E-2</v>
      </c>
      <c r="J24" s="137">
        <v>3.9957643642397921E-2</v>
      </c>
    </row>
    <row r="25" spans="1:20">
      <c r="A25" s="68">
        <v>1.04</v>
      </c>
      <c r="B25" s="69">
        <f t="shared" si="0"/>
        <v>1.04E-2</v>
      </c>
      <c r="C25" s="70">
        <f t="shared" si="1"/>
        <v>1.9999999999999998E-4</v>
      </c>
      <c r="F25" s="71">
        <v>37771</v>
      </c>
      <c r="G25" s="69">
        <v>-5.6825448358791594E-4</v>
      </c>
      <c r="H25" s="137">
        <v>-1.221941014329808E-2</v>
      </c>
      <c r="I25" s="137">
        <v>1.2264490308993393E-2</v>
      </c>
      <c r="J25" s="137">
        <v>-4.5888280835345479E-3</v>
      </c>
      <c r="L25" s="65" t="s">
        <v>379</v>
      </c>
      <c r="M25" s="65"/>
    </row>
    <row r="26" spans="1:20">
      <c r="A26" s="68">
        <v>1.0900000000000001</v>
      </c>
      <c r="B26" s="69">
        <f t="shared" si="0"/>
        <v>1.09E-2</v>
      </c>
      <c r="C26" s="70">
        <f t="shared" si="1"/>
        <v>2.0961538461538462E-4</v>
      </c>
      <c r="F26" s="71">
        <v>37778</v>
      </c>
      <c r="G26" s="69">
        <v>3.4376111800082472E-3</v>
      </c>
      <c r="H26" s="137">
        <v>2.1158200278262436E-2</v>
      </c>
      <c r="I26" s="137">
        <v>9.3993240223310716E-3</v>
      </c>
      <c r="J26" s="137">
        <v>1.1799743376095781E-2</v>
      </c>
      <c r="L26" s="72" t="s">
        <v>380</v>
      </c>
      <c r="M26" s="72">
        <v>0.25204820161387342</v>
      </c>
    </row>
    <row r="27" spans="1:20">
      <c r="A27" s="68">
        <v>1.05</v>
      </c>
      <c r="B27" s="69">
        <f t="shared" si="0"/>
        <v>1.0500000000000001E-2</v>
      </c>
      <c r="C27" s="70">
        <f t="shared" si="1"/>
        <v>2.0192307692307694E-4</v>
      </c>
      <c r="F27" s="71">
        <v>37785</v>
      </c>
      <c r="G27" s="69">
        <v>1.1407009605757893E-2</v>
      </c>
      <c r="H27" s="137">
        <v>8.2977316850918192E-3</v>
      </c>
      <c r="I27" s="137">
        <v>-8.7569241296839191E-3</v>
      </c>
      <c r="J27" s="137">
        <v>4.2565765777835704E-2</v>
      </c>
      <c r="L27" s="72" t="s">
        <v>382</v>
      </c>
      <c r="M27" s="72">
        <v>6.3528295936787799E-2</v>
      </c>
      <c r="P27" s="63" t="s">
        <v>413</v>
      </c>
    </row>
    <row r="28" spans="1:20">
      <c r="A28" s="68">
        <v>0.92</v>
      </c>
      <c r="B28" s="69">
        <f t="shared" si="0"/>
        <v>9.1999999999999998E-3</v>
      </c>
      <c r="C28" s="70">
        <f t="shared" si="1"/>
        <v>1.7692307692307693E-4</v>
      </c>
      <c r="F28" s="71">
        <v>37792</v>
      </c>
      <c r="G28" s="69">
        <v>-1.0708244015174105E-2</v>
      </c>
      <c r="H28" s="137">
        <v>6.650292619104299E-4</v>
      </c>
      <c r="I28" s="137">
        <v>8.5015650355590583E-3</v>
      </c>
      <c r="J28" s="137">
        <v>-1.9817912547619637E-2</v>
      </c>
      <c r="L28" s="72" t="s">
        <v>386</v>
      </c>
      <c r="M28" s="72">
        <v>6.2241933705931736E-2</v>
      </c>
    </row>
    <row r="29" spans="1:20">
      <c r="A29" s="68">
        <v>0.84</v>
      </c>
      <c r="B29" s="69">
        <f t="shared" si="0"/>
        <v>8.3999999999999995E-3</v>
      </c>
      <c r="C29" s="70">
        <f t="shared" si="1"/>
        <v>1.6153846153846153E-4</v>
      </c>
      <c r="F29" s="71">
        <v>37799</v>
      </c>
      <c r="G29" s="69">
        <v>-1.0295389510532731E-2</v>
      </c>
      <c r="H29" s="137">
        <v>-2.2757929626121231E-2</v>
      </c>
      <c r="I29" s="137">
        <v>-1.2973862775174689E-2</v>
      </c>
      <c r="J29" s="137">
        <v>8.3922808844449706E-3</v>
      </c>
      <c r="L29" s="72" t="s">
        <v>387</v>
      </c>
      <c r="M29" s="72">
        <v>2.1957531567970034E-2</v>
      </c>
    </row>
    <row r="30" spans="1:20" ht="16.5" thickBot="1">
      <c r="A30" s="68">
        <v>0.86</v>
      </c>
      <c r="B30" s="69">
        <f t="shared" si="0"/>
        <v>8.6E-3</v>
      </c>
      <c r="C30" s="70">
        <f t="shared" si="1"/>
        <v>1.6538461538461539E-4</v>
      </c>
      <c r="F30" s="71">
        <v>37806</v>
      </c>
      <c r="G30" s="69">
        <v>3.8221708220208608E-4</v>
      </c>
      <c r="H30" s="137">
        <v>-2.9874828116141082E-4</v>
      </c>
      <c r="I30" s="137">
        <v>1.5109025987609177E-2</v>
      </c>
      <c r="J30" s="137">
        <v>-5.2660184249401117E-3</v>
      </c>
      <c r="L30" s="76" t="s">
        <v>388</v>
      </c>
      <c r="M30" s="76">
        <v>730</v>
      </c>
    </row>
    <row r="31" spans="1:20">
      <c r="A31" s="68">
        <v>0.87</v>
      </c>
      <c r="B31" s="69">
        <f t="shared" si="0"/>
        <v>8.6999999999999994E-3</v>
      </c>
      <c r="C31" s="70">
        <f t="shared" si="1"/>
        <v>1.673076923076923E-4</v>
      </c>
      <c r="F31" s="71">
        <v>37813</v>
      </c>
      <c r="G31" s="69">
        <v>-2.7660105848768276E-4</v>
      </c>
      <c r="H31" s="137">
        <v>-1.2404202317992222E-2</v>
      </c>
      <c r="I31" s="137">
        <v>-1.1198063288531344E-2</v>
      </c>
      <c r="J31" s="137">
        <v>-1.836087203037395E-2</v>
      </c>
    </row>
    <row r="32" spans="1:20" ht="16.5" thickBot="1">
      <c r="A32" s="68">
        <v>0.88</v>
      </c>
      <c r="B32" s="69">
        <f t="shared" si="0"/>
        <v>8.8000000000000005E-3</v>
      </c>
      <c r="C32" s="70">
        <f t="shared" si="1"/>
        <v>1.6923076923076923E-4</v>
      </c>
      <c r="F32" s="71">
        <v>37820</v>
      </c>
      <c r="G32" s="69">
        <v>-1.142801660988369E-2</v>
      </c>
      <c r="H32" s="137">
        <v>-4.1228238308343164E-2</v>
      </c>
      <c r="I32" s="137">
        <v>-1.5217265753823825E-2</v>
      </c>
      <c r="J32" s="137">
        <v>-2.555477751762102E-2</v>
      </c>
      <c r="L32" s="63" t="s">
        <v>389</v>
      </c>
    </row>
    <row r="33" spans="1:20">
      <c r="A33" s="68">
        <v>0.89</v>
      </c>
      <c r="B33" s="69">
        <f t="shared" si="0"/>
        <v>8.8999999999999999E-3</v>
      </c>
      <c r="C33" s="70">
        <f t="shared" si="1"/>
        <v>1.7115384615384616E-4</v>
      </c>
      <c r="F33" s="71">
        <v>37827</v>
      </c>
      <c r="G33" s="69">
        <v>8.8348474975856987E-5</v>
      </c>
      <c r="H33" s="137">
        <v>3.2865564653634091E-2</v>
      </c>
      <c r="I33" s="137">
        <v>7.7595110795609119E-3</v>
      </c>
      <c r="J33" s="137">
        <v>1.7198910097677801E-2</v>
      </c>
      <c r="L33" s="77"/>
      <c r="M33" s="77" t="s">
        <v>390</v>
      </c>
      <c r="N33" s="77" t="s">
        <v>391</v>
      </c>
      <c r="O33" s="77" t="s">
        <v>392</v>
      </c>
      <c r="P33" s="77" t="s">
        <v>393</v>
      </c>
      <c r="Q33" s="77" t="s">
        <v>394</v>
      </c>
    </row>
    <row r="34" spans="1:20">
      <c r="A34" s="68">
        <v>0.91</v>
      </c>
      <c r="B34" s="69">
        <f t="shared" si="0"/>
        <v>9.1000000000000004E-3</v>
      </c>
      <c r="C34" s="70">
        <f t="shared" si="1"/>
        <v>1.75E-4</v>
      </c>
      <c r="F34" s="71">
        <v>37834</v>
      </c>
      <c r="G34" s="69">
        <v>-1.7240022598453197E-2</v>
      </c>
      <c r="H34" s="137">
        <v>-3.7636271173241323E-2</v>
      </c>
      <c r="I34" s="137">
        <v>-1.417051425493268E-2</v>
      </c>
      <c r="J34" s="137">
        <v>-3.3143073489581292E-3</v>
      </c>
      <c r="L34" s="72" t="s">
        <v>395</v>
      </c>
      <c r="M34" s="72">
        <v>1</v>
      </c>
      <c r="N34" s="72">
        <v>2.3810633896966193E-2</v>
      </c>
      <c r="O34" s="72">
        <v>2.3810633896966193E-2</v>
      </c>
      <c r="P34" s="72">
        <v>49.386008398668842</v>
      </c>
      <c r="Q34" s="72">
        <v>4.8409521417876692E-12</v>
      </c>
    </row>
    <row r="35" spans="1:20">
      <c r="A35" s="68">
        <v>0.95</v>
      </c>
      <c r="B35" s="69">
        <f t="shared" si="0"/>
        <v>9.4999999999999998E-3</v>
      </c>
      <c r="C35" s="70">
        <f t="shared" si="1"/>
        <v>1.826923076923077E-4</v>
      </c>
      <c r="F35" s="71">
        <v>37841</v>
      </c>
      <c r="G35" s="69">
        <v>1.0302383616326936E-2</v>
      </c>
      <c r="H35" s="137">
        <v>6.9075405413281648E-3</v>
      </c>
      <c r="I35" s="137">
        <v>7.1881276950898024E-3</v>
      </c>
      <c r="J35" s="137">
        <v>1.3919979946090422E-2</v>
      </c>
      <c r="L35" s="72" t="s">
        <v>397</v>
      </c>
      <c r="M35" s="72">
        <v>728</v>
      </c>
      <c r="N35" s="72">
        <v>0.35099296418251563</v>
      </c>
      <c r="O35" s="72">
        <v>4.8213319255840058E-4</v>
      </c>
      <c r="P35" s="72"/>
      <c r="Q35" s="72"/>
    </row>
    <row r="36" spans="1:20" ht="16.5" thickBot="1">
      <c r="A36" s="68">
        <v>0.94</v>
      </c>
      <c r="B36" s="69">
        <f t="shared" si="0"/>
        <v>9.3999999999999986E-3</v>
      </c>
      <c r="C36" s="70">
        <f t="shared" si="1"/>
        <v>1.8076923076923074E-4</v>
      </c>
      <c r="F36" s="71">
        <v>37848</v>
      </c>
      <c r="G36" s="69">
        <v>-9.5280136490847045E-3</v>
      </c>
      <c r="H36" s="137">
        <v>-2.6259022281854218E-3</v>
      </c>
      <c r="I36" s="137">
        <v>9.225504610275527E-3</v>
      </c>
      <c r="J36" s="137">
        <v>2.2503935708715192E-3</v>
      </c>
      <c r="L36" s="76" t="s">
        <v>398</v>
      </c>
      <c r="M36" s="76">
        <v>729</v>
      </c>
      <c r="N36" s="76">
        <v>0.37480359807948183</v>
      </c>
      <c r="O36" s="76"/>
      <c r="P36" s="76"/>
      <c r="Q36" s="76"/>
    </row>
    <row r="37" spans="1:20" ht="16.5" thickBot="1">
      <c r="A37" s="68">
        <v>0.94</v>
      </c>
      <c r="B37" s="69">
        <f t="shared" si="0"/>
        <v>9.3999999999999986E-3</v>
      </c>
      <c r="C37" s="70">
        <f t="shared" si="1"/>
        <v>1.8076923076923074E-4</v>
      </c>
      <c r="F37" s="71">
        <v>37855</v>
      </c>
      <c r="G37" s="69">
        <v>-1.5605404015653566E-4</v>
      </c>
      <c r="H37" s="137">
        <v>-2.5616849298860309E-2</v>
      </c>
      <c r="I37" s="137">
        <v>3.4184920818402086E-3</v>
      </c>
      <c r="J37" s="137">
        <v>-1.0548751093024921E-2</v>
      </c>
    </row>
    <row r="38" spans="1:20">
      <c r="A38" s="68">
        <v>0.95</v>
      </c>
      <c r="B38" s="69">
        <f t="shared" si="0"/>
        <v>9.4999999999999998E-3</v>
      </c>
      <c r="C38" s="70">
        <f t="shared" si="1"/>
        <v>1.826923076923077E-4</v>
      </c>
      <c r="F38" s="71">
        <v>37862</v>
      </c>
      <c r="G38" s="69">
        <v>3.0683921448764286E-3</v>
      </c>
      <c r="H38" s="137">
        <v>-8.1614166231296793E-3</v>
      </c>
      <c r="I38" s="137">
        <v>1.1258538496977952E-2</v>
      </c>
      <c r="J38" s="137">
        <v>-1.6125724376812225E-2</v>
      </c>
      <c r="L38" s="77"/>
      <c r="M38" s="77" t="s">
        <v>399</v>
      </c>
      <c r="N38" s="77" t="s">
        <v>387</v>
      </c>
      <c r="O38" s="77" t="s">
        <v>384</v>
      </c>
      <c r="P38" s="77" t="s">
        <v>400</v>
      </c>
      <c r="Q38" s="77" t="s">
        <v>401</v>
      </c>
      <c r="R38" s="77" t="s">
        <v>402</v>
      </c>
      <c r="S38" s="77" t="s">
        <v>403</v>
      </c>
      <c r="T38" s="77" t="s">
        <v>404</v>
      </c>
    </row>
    <row r="39" spans="1:20">
      <c r="A39" s="68">
        <v>0.98</v>
      </c>
      <c r="B39" s="69">
        <f t="shared" si="0"/>
        <v>9.7999999999999997E-3</v>
      </c>
      <c r="C39" s="70">
        <f t="shared" si="1"/>
        <v>1.8846153846153844E-4</v>
      </c>
      <c r="F39" s="71">
        <v>37869</v>
      </c>
      <c r="G39" s="69">
        <v>-8.5024532629839858E-4</v>
      </c>
      <c r="H39" s="137">
        <v>1.2093543527420227E-2</v>
      </c>
      <c r="I39" s="137">
        <v>1.1555219395180933E-2</v>
      </c>
      <c r="J39" s="137">
        <v>9.7707138619735831E-3</v>
      </c>
      <c r="L39" s="72" t="s">
        <v>405</v>
      </c>
      <c r="M39" s="72">
        <v>1.1777183811842616E-3</v>
      </c>
      <c r="N39" s="72">
        <v>8.1731588903250819E-4</v>
      </c>
      <c r="O39" s="72">
        <v>1.4409586268760506</v>
      </c>
      <c r="P39" s="72">
        <v>0.15002632981456535</v>
      </c>
      <c r="Q39" s="72">
        <v>-4.2685900071843912E-4</v>
      </c>
      <c r="R39" s="72">
        <v>2.7822957630869623E-3</v>
      </c>
      <c r="S39" s="72">
        <v>-4.2685900071843912E-4</v>
      </c>
      <c r="T39" s="72">
        <v>2.7822957630869623E-3</v>
      </c>
    </row>
    <row r="40" spans="1:20" ht="16.5" thickBot="1">
      <c r="A40" s="68">
        <v>0.95</v>
      </c>
      <c r="B40" s="69">
        <f t="shared" si="0"/>
        <v>9.4999999999999998E-3</v>
      </c>
      <c r="C40" s="70">
        <f t="shared" si="1"/>
        <v>1.826923076923077E-4</v>
      </c>
      <c r="F40" s="71">
        <v>37876</v>
      </c>
      <c r="G40" s="69">
        <v>1.0501214543984215E-2</v>
      </c>
      <c r="H40" s="137">
        <v>1.640815796452574E-2</v>
      </c>
      <c r="I40" s="137">
        <v>1.0226939726940595E-3</v>
      </c>
      <c r="J40" s="137">
        <v>1.9251456606216296E-2</v>
      </c>
      <c r="L40" s="76" t="s">
        <v>406</v>
      </c>
      <c r="M40" s="76">
        <v>0.99422649014214592</v>
      </c>
      <c r="N40" s="76">
        <v>0.14147619381610144</v>
      </c>
      <c r="O40" s="76">
        <v>7.027517940117165</v>
      </c>
      <c r="P40" s="76">
        <v>4.8409521417880545E-12</v>
      </c>
      <c r="Q40" s="76">
        <v>0.71647647485280663</v>
      </c>
      <c r="R40" s="76">
        <v>1.2719765054314851</v>
      </c>
      <c r="S40" s="76">
        <v>0.71647647485280663</v>
      </c>
      <c r="T40" s="76">
        <v>1.2719765054314851</v>
      </c>
    </row>
    <row r="41" spans="1:20">
      <c r="A41" s="68">
        <v>0.94</v>
      </c>
      <c r="B41" s="69">
        <f t="shared" si="0"/>
        <v>9.3999999999999986E-3</v>
      </c>
      <c r="C41" s="70">
        <f t="shared" si="1"/>
        <v>1.8076923076923074E-4</v>
      </c>
      <c r="F41" s="71">
        <v>37883</v>
      </c>
      <c r="G41" s="69">
        <v>1.0474470713667913E-2</v>
      </c>
      <c r="H41" s="137">
        <v>2.8427920523460007E-2</v>
      </c>
      <c r="I41" s="137">
        <v>6.9900155623568256E-3</v>
      </c>
      <c r="J41" s="137">
        <v>1.5824337317073636E-2</v>
      </c>
    </row>
    <row r="42" spans="1:20">
      <c r="A42" s="68">
        <v>0.93</v>
      </c>
      <c r="B42" s="69">
        <f t="shared" si="0"/>
        <v>9.300000000000001E-3</v>
      </c>
      <c r="C42" s="70">
        <f t="shared" si="1"/>
        <v>1.7884615384615386E-4</v>
      </c>
      <c r="F42" s="71">
        <v>37890</v>
      </c>
      <c r="G42" s="69">
        <v>6.6954062866144285E-3</v>
      </c>
      <c r="H42" s="137">
        <v>7.3169841087503502E-3</v>
      </c>
      <c r="I42" s="137">
        <v>-1.4217036901519452E-2</v>
      </c>
      <c r="J42" s="137">
        <v>1.1379139607944106E-2</v>
      </c>
      <c r="L42" s="63" t="s">
        <v>369</v>
      </c>
    </row>
    <row r="43" spans="1:20" ht="16.5" thickBot="1">
      <c r="A43" s="68">
        <v>0.93</v>
      </c>
      <c r="B43" s="69">
        <f t="shared" si="0"/>
        <v>9.300000000000001E-3</v>
      </c>
      <c r="C43" s="70">
        <f t="shared" si="1"/>
        <v>1.7884615384615386E-4</v>
      </c>
      <c r="F43" s="71">
        <v>37897</v>
      </c>
      <c r="G43" s="69">
        <v>8.2934996966285372E-3</v>
      </c>
      <c r="H43" s="137">
        <v>-4.9646841435408698E-4</v>
      </c>
      <c r="I43" s="137">
        <v>2.443080438214959E-2</v>
      </c>
      <c r="J43" s="137">
        <v>3.6179130736176374E-2</v>
      </c>
    </row>
    <row r="44" spans="1:20">
      <c r="A44" s="68">
        <v>0.93</v>
      </c>
      <c r="B44" s="69">
        <f t="shared" si="0"/>
        <v>9.300000000000001E-3</v>
      </c>
      <c r="C44" s="70">
        <f t="shared" si="1"/>
        <v>1.7884615384615386E-4</v>
      </c>
      <c r="F44" s="71">
        <v>37904</v>
      </c>
      <c r="G44" s="69">
        <v>-4.8415181367395957E-3</v>
      </c>
      <c r="H44" s="137">
        <v>8.8387077183771888E-3</v>
      </c>
      <c r="I44" s="137">
        <v>1.2167670491060528E-2</v>
      </c>
      <c r="J44" s="137">
        <v>2.1393582662145857E-2</v>
      </c>
      <c r="L44" s="65" t="s">
        <v>379</v>
      </c>
      <c r="M44" s="65"/>
    </row>
    <row r="45" spans="1:20">
      <c r="A45" s="68">
        <v>0.9</v>
      </c>
      <c r="B45" s="69">
        <f t="shared" si="0"/>
        <v>9.0000000000000011E-3</v>
      </c>
      <c r="C45" s="70">
        <f t="shared" si="1"/>
        <v>1.7307692307692309E-4</v>
      </c>
      <c r="F45" s="71">
        <v>37911</v>
      </c>
      <c r="G45" s="69">
        <v>-4.2296518791015824E-3</v>
      </c>
      <c r="H45" s="137">
        <v>5.0253816793893562E-3</v>
      </c>
      <c r="I45" s="137">
        <v>-3.2729506510732237E-3</v>
      </c>
      <c r="J45" s="137">
        <v>-1.9744597923284857E-2</v>
      </c>
      <c r="L45" s="72" t="s">
        <v>380</v>
      </c>
      <c r="M45" s="72">
        <v>0.34914299569478557</v>
      </c>
      <c r="P45" s="63" t="s">
        <v>414</v>
      </c>
    </row>
    <row r="46" spans="1:20">
      <c r="A46" s="68">
        <v>0.91</v>
      </c>
      <c r="B46" s="69">
        <f t="shared" si="0"/>
        <v>9.1000000000000004E-3</v>
      </c>
      <c r="C46" s="70">
        <f t="shared" si="1"/>
        <v>1.75E-4</v>
      </c>
      <c r="F46" s="71">
        <v>37918</v>
      </c>
      <c r="G46" s="69">
        <v>3.726524038404296E-3</v>
      </c>
      <c r="H46" s="137">
        <v>9.0100095108745851E-3</v>
      </c>
      <c r="I46" s="137">
        <v>-4.0864778258746688E-3</v>
      </c>
      <c r="J46" s="137">
        <v>2.0132442446379108E-2</v>
      </c>
      <c r="L46" s="72" t="s">
        <v>382</v>
      </c>
      <c r="M46" s="72">
        <v>0.12190083144272908</v>
      </c>
    </row>
    <row r="47" spans="1:20">
      <c r="A47" s="68">
        <v>0.93</v>
      </c>
      <c r="B47" s="69">
        <f t="shared" si="0"/>
        <v>9.300000000000001E-3</v>
      </c>
      <c r="C47" s="70">
        <f t="shared" si="1"/>
        <v>1.7884615384615386E-4</v>
      </c>
      <c r="F47" s="71">
        <v>37925</v>
      </c>
      <c r="G47" s="69">
        <v>1.2171199413528188E-3</v>
      </c>
      <c r="H47" s="137">
        <v>-4.1031493724264807E-3</v>
      </c>
      <c r="I47" s="137">
        <v>1.5823897740265165E-2</v>
      </c>
      <c r="J47" s="137">
        <v>-2.6682422592497414E-3</v>
      </c>
      <c r="L47" s="72" t="s">
        <v>386</v>
      </c>
      <c r="M47" s="72">
        <v>0.12069465126613942</v>
      </c>
    </row>
    <row r="48" spans="1:20">
      <c r="A48" s="68">
        <v>0.94</v>
      </c>
      <c r="B48" s="69">
        <f t="shared" si="0"/>
        <v>9.3999999999999986E-3</v>
      </c>
      <c r="C48" s="70">
        <f t="shared" si="1"/>
        <v>1.8076923076923074E-4</v>
      </c>
      <c r="F48" s="71">
        <v>37932</v>
      </c>
      <c r="G48" s="69">
        <v>-6.8285988265614867E-3</v>
      </c>
      <c r="H48" s="137">
        <v>1.045230472858711E-2</v>
      </c>
      <c r="I48" s="137">
        <v>6.9673779927704902E-3</v>
      </c>
      <c r="J48" s="137">
        <v>-1.6098614464758028E-2</v>
      </c>
      <c r="L48" s="72" t="s">
        <v>387</v>
      </c>
      <c r="M48" s="72">
        <v>2.6021065342802574E-2</v>
      </c>
    </row>
    <row r="49" spans="1:20" ht="16.5" thickBot="1">
      <c r="A49" s="68">
        <v>0.94</v>
      </c>
      <c r="B49" s="69">
        <f t="shared" si="0"/>
        <v>9.3999999999999986E-3</v>
      </c>
      <c r="C49" s="70">
        <f t="shared" si="1"/>
        <v>1.8076923076923074E-4</v>
      </c>
      <c r="F49" s="71">
        <v>37939</v>
      </c>
      <c r="G49" s="69">
        <v>1.0420813412415511E-2</v>
      </c>
      <c r="H49" s="137">
        <v>1.0613327417942782E-2</v>
      </c>
      <c r="I49" s="137">
        <v>-7.9703028174833209E-3</v>
      </c>
      <c r="J49" s="137">
        <v>2.1254367659805481E-2</v>
      </c>
      <c r="L49" s="76" t="s">
        <v>388</v>
      </c>
      <c r="M49" s="76">
        <v>730</v>
      </c>
    </row>
    <row r="50" spans="1:20">
      <c r="A50" s="68">
        <v>0.93</v>
      </c>
      <c r="B50" s="69">
        <f t="shared" si="0"/>
        <v>9.300000000000001E-3</v>
      </c>
      <c r="C50" s="70">
        <f t="shared" si="1"/>
        <v>1.7884615384615386E-4</v>
      </c>
      <c r="F50" s="71">
        <v>37946</v>
      </c>
      <c r="G50" s="69">
        <v>5.6260841057338643E-3</v>
      </c>
      <c r="H50" s="137">
        <v>1.4981492920079071E-2</v>
      </c>
      <c r="I50" s="137">
        <v>-7.4902120802161796E-3</v>
      </c>
      <c r="J50" s="137">
        <v>2.5516074916847091E-2</v>
      </c>
    </row>
    <row r="51" spans="1:20" ht="16.5" thickBot="1">
      <c r="A51" s="68">
        <v>0.93</v>
      </c>
      <c r="B51" s="69">
        <f t="shared" si="0"/>
        <v>9.300000000000001E-3</v>
      </c>
      <c r="C51" s="70">
        <f t="shared" si="1"/>
        <v>1.7884615384615386E-4</v>
      </c>
      <c r="F51" s="71">
        <v>37953</v>
      </c>
      <c r="G51" s="69">
        <v>-5.1405965074492169E-4</v>
      </c>
      <c r="H51" s="137">
        <v>1.2524105119635927E-2</v>
      </c>
      <c r="I51" s="137">
        <v>2.0834667926466727E-2</v>
      </c>
      <c r="J51" s="137">
        <v>-3.247000897572532E-5</v>
      </c>
      <c r="L51" s="63" t="s">
        <v>389</v>
      </c>
    </row>
    <row r="52" spans="1:20">
      <c r="A52" s="68">
        <v>0.93</v>
      </c>
      <c r="B52" s="69">
        <f t="shared" si="0"/>
        <v>9.300000000000001E-3</v>
      </c>
      <c r="C52" s="70">
        <f t="shared" si="1"/>
        <v>1.7884615384615386E-4</v>
      </c>
      <c r="F52" s="71">
        <v>37960</v>
      </c>
      <c r="G52" s="69">
        <v>2.1447985102257633E-4</v>
      </c>
      <c r="H52" s="137">
        <v>8.4912062616376016E-3</v>
      </c>
      <c r="I52" s="137">
        <v>7.1861893139142923E-4</v>
      </c>
      <c r="J52" s="137">
        <v>3.9917301486974845E-2</v>
      </c>
      <c r="L52" s="77"/>
      <c r="M52" s="77" t="s">
        <v>390</v>
      </c>
      <c r="N52" s="77" t="s">
        <v>391</v>
      </c>
      <c r="O52" s="77" t="s">
        <v>392</v>
      </c>
      <c r="P52" s="77" t="s">
        <v>393</v>
      </c>
      <c r="Q52" s="77" t="s">
        <v>394</v>
      </c>
    </row>
    <row r="53" spans="1:20">
      <c r="A53" s="68">
        <v>0.92</v>
      </c>
      <c r="B53" s="69">
        <f t="shared" si="0"/>
        <v>9.1999999999999998E-3</v>
      </c>
      <c r="C53" s="70">
        <f t="shared" si="1"/>
        <v>1.7692307692307693E-4</v>
      </c>
      <c r="F53" s="71">
        <v>37967</v>
      </c>
      <c r="G53" s="69">
        <v>7.4581148985202591E-3</v>
      </c>
      <c r="H53" s="137">
        <v>1.7522330294153066E-2</v>
      </c>
      <c r="I53" s="137">
        <v>2.6096488347847886E-3</v>
      </c>
      <c r="J53" s="137">
        <v>-1.4193915840258157E-3</v>
      </c>
      <c r="L53" s="72" t="s">
        <v>395</v>
      </c>
      <c r="M53" s="72">
        <v>1</v>
      </c>
      <c r="N53" s="72">
        <v>6.8429698693691476E-2</v>
      </c>
      <c r="O53" s="72">
        <v>6.8429698693691476E-2</v>
      </c>
      <c r="P53" s="72">
        <v>101.06353412919644</v>
      </c>
      <c r="Q53" s="72">
        <v>2.3626262834549625E-22</v>
      </c>
    </row>
    <row r="54" spans="1:20">
      <c r="A54" s="68">
        <v>0.9</v>
      </c>
      <c r="B54" s="69">
        <f t="shared" si="0"/>
        <v>9.0000000000000011E-3</v>
      </c>
      <c r="C54" s="70">
        <f t="shared" si="1"/>
        <v>1.7307692307692309E-4</v>
      </c>
      <c r="F54" s="71">
        <v>37974</v>
      </c>
      <c r="G54" s="69">
        <v>8.4076502405684653E-3</v>
      </c>
      <c r="H54" s="137">
        <v>1.6762996523802892E-2</v>
      </c>
      <c r="I54" s="137">
        <v>-1.2333914738688356E-3</v>
      </c>
      <c r="J54" s="137">
        <v>5.2449144398880303E-3</v>
      </c>
      <c r="L54" s="72" t="s">
        <v>397</v>
      </c>
      <c r="M54" s="72">
        <v>728</v>
      </c>
      <c r="N54" s="72">
        <v>0.49292577266616405</v>
      </c>
      <c r="O54" s="72">
        <v>6.7709584157440116E-4</v>
      </c>
      <c r="P54" s="72"/>
      <c r="Q54" s="72"/>
    </row>
    <row r="55" spans="1:20" ht="16.5" thickBot="1">
      <c r="A55" s="68">
        <v>0.88</v>
      </c>
      <c r="B55" s="69">
        <f t="shared" si="0"/>
        <v>8.8000000000000005E-3</v>
      </c>
      <c r="C55" s="70">
        <f t="shared" si="1"/>
        <v>1.6923076923076923E-4</v>
      </c>
      <c r="F55" s="71">
        <v>37981</v>
      </c>
      <c r="G55" s="69">
        <v>1.6808824451290877E-3</v>
      </c>
      <c r="H55" s="137">
        <v>1.3328452142892033E-2</v>
      </c>
      <c r="I55" s="137">
        <v>2.0636787324384103E-2</v>
      </c>
      <c r="J55" s="137">
        <v>2.0194640880037348E-3</v>
      </c>
      <c r="L55" s="76" t="s">
        <v>398</v>
      </c>
      <c r="M55" s="76">
        <v>729</v>
      </c>
      <c r="N55" s="76">
        <v>0.56135547135985553</v>
      </c>
      <c r="O55" s="76"/>
      <c r="P55" s="76"/>
      <c r="Q55" s="76"/>
    </row>
    <row r="56" spans="1:20" ht="16.5" thickBot="1">
      <c r="A56" s="68">
        <v>0.88</v>
      </c>
      <c r="B56" s="69">
        <f t="shared" si="0"/>
        <v>8.8000000000000005E-3</v>
      </c>
      <c r="C56" s="70">
        <f t="shared" si="1"/>
        <v>1.6923076923076923E-4</v>
      </c>
      <c r="F56" s="71">
        <v>37988</v>
      </c>
      <c r="G56" s="69">
        <v>2.5176274475766573E-3</v>
      </c>
      <c r="H56" s="137">
        <v>2.6673318474260924E-2</v>
      </c>
      <c r="I56" s="137">
        <v>6.5520873638325785E-3</v>
      </c>
      <c r="J56" s="137">
        <v>3.8416374867666608E-2</v>
      </c>
    </row>
    <row r="57" spans="1:20">
      <c r="A57" s="68">
        <v>0.91</v>
      </c>
      <c r="B57" s="69">
        <f t="shared" si="0"/>
        <v>9.1000000000000004E-3</v>
      </c>
      <c r="C57" s="70">
        <f t="shared" si="1"/>
        <v>1.75E-4</v>
      </c>
      <c r="F57" s="71">
        <v>37995</v>
      </c>
      <c r="G57" s="69">
        <v>5.4643200158383002E-3</v>
      </c>
      <c r="H57" s="137">
        <v>8.5875975704480315E-3</v>
      </c>
      <c r="I57" s="137">
        <v>1.1823528921062745E-2</v>
      </c>
      <c r="J57" s="137">
        <v>-1.0651007863182052E-2</v>
      </c>
      <c r="L57" s="77"/>
      <c r="M57" s="77" t="s">
        <v>399</v>
      </c>
      <c r="N57" s="77" t="s">
        <v>387</v>
      </c>
      <c r="O57" s="77" t="s">
        <v>384</v>
      </c>
      <c r="P57" s="77" t="s">
        <v>400</v>
      </c>
      <c r="Q57" s="77" t="s">
        <v>401</v>
      </c>
      <c r="R57" s="77" t="s">
        <v>402</v>
      </c>
      <c r="S57" s="77" t="s">
        <v>403</v>
      </c>
      <c r="T57" s="77" t="s">
        <v>404</v>
      </c>
    </row>
    <row r="58" spans="1:20">
      <c r="A58" s="68">
        <v>0.88</v>
      </c>
      <c r="B58" s="69">
        <f t="shared" si="0"/>
        <v>8.8000000000000005E-3</v>
      </c>
      <c r="C58" s="70">
        <f t="shared" si="1"/>
        <v>1.6923076923076923E-4</v>
      </c>
      <c r="F58" s="71">
        <v>38002</v>
      </c>
      <c r="G58" s="69">
        <v>8.0660796160900456E-3</v>
      </c>
      <c r="H58" s="137">
        <v>-1.4238756189985586E-2</v>
      </c>
      <c r="I58" s="137">
        <v>-4.7137292566866041E-3</v>
      </c>
      <c r="J58" s="137">
        <v>-4.4303462410604797E-3</v>
      </c>
      <c r="L58" s="72" t="s">
        <v>405</v>
      </c>
      <c r="M58" s="72">
        <v>4.3425016541117885E-4</v>
      </c>
      <c r="N58" s="72">
        <v>9.6857108406707111E-4</v>
      </c>
      <c r="O58" s="72">
        <v>0.4483410382103748</v>
      </c>
      <c r="P58" s="72">
        <v>0.65404049086940819</v>
      </c>
      <c r="Q58" s="72">
        <v>-1.4672756401114719E-3</v>
      </c>
      <c r="R58" s="72">
        <v>2.3357759709338299E-3</v>
      </c>
      <c r="S58" s="72">
        <v>-1.4672756401114719E-3</v>
      </c>
      <c r="T58" s="72">
        <v>2.3357759709338299E-3</v>
      </c>
    </row>
    <row r="59" spans="1:20" ht="16.5" thickBot="1">
      <c r="A59" s="68">
        <v>0.87</v>
      </c>
      <c r="B59" s="69">
        <f t="shared" si="0"/>
        <v>8.6999999999999994E-3</v>
      </c>
      <c r="C59" s="70">
        <f t="shared" si="1"/>
        <v>1.673076923076923E-4</v>
      </c>
      <c r="F59" s="71">
        <v>38009</v>
      </c>
      <c r="G59" s="69">
        <v>-8.0427337051567976E-4</v>
      </c>
      <c r="H59" s="137">
        <v>1.7799953444647874E-2</v>
      </c>
      <c r="I59" s="137">
        <v>1.3207875457876322E-3</v>
      </c>
      <c r="J59" s="137">
        <v>1.7543438475352321E-2</v>
      </c>
      <c r="L59" s="76" t="s">
        <v>406</v>
      </c>
      <c r="M59" s="76">
        <v>1.6854744186561037</v>
      </c>
      <c r="N59" s="76">
        <v>0.16765824848499203</v>
      </c>
      <c r="O59" s="76">
        <v>10.053036065249001</v>
      </c>
      <c r="P59" s="76">
        <v>2.3626262834543183E-22</v>
      </c>
      <c r="Q59" s="76">
        <v>1.3563230623464984</v>
      </c>
      <c r="R59" s="76">
        <v>2.014625774965709</v>
      </c>
      <c r="S59" s="76">
        <v>1.3563230623464984</v>
      </c>
      <c r="T59" s="76">
        <v>2.014625774965709</v>
      </c>
    </row>
    <row r="60" spans="1:20">
      <c r="A60" s="68">
        <v>0.87</v>
      </c>
      <c r="B60" s="69">
        <f t="shared" si="0"/>
        <v>8.6999999999999994E-3</v>
      </c>
      <c r="C60" s="70">
        <f t="shared" si="1"/>
        <v>1.673076923076923E-4</v>
      </c>
      <c r="F60" s="71">
        <v>38016</v>
      </c>
      <c r="G60" s="69">
        <v>-8.6765955237589724E-3</v>
      </c>
      <c r="H60" s="137">
        <v>-9.7134703110202791E-3</v>
      </c>
      <c r="I60" s="137">
        <v>-1.2621308088705579E-2</v>
      </c>
      <c r="J60" s="137">
        <v>-3.5214697238394072E-2</v>
      </c>
    </row>
    <row r="61" spans="1:20">
      <c r="A61" s="68">
        <v>0.9</v>
      </c>
      <c r="B61" s="69">
        <f t="shared" si="0"/>
        <v>9.0000000000000011E-3</v>
      </c>
      <c r="C61" s="70">
        <f t="shared" si="1"/>
        <v>1.7307692307692309E-4</v>
      </c>
      <c r="F61" s="71">
        <v>38023</v>
      </c>
      <c r="G61" s="69">
        <v>5.5668042657810767E-3</v>
      </c>
      <c r="H61" s="137">
        <v>3.0874209769430866E-2</v>
      </c>
      <c r="I61" s="137">
        <v>-3.0981149231964294E-3</v>
      </c>
      <c r="J61" s="137">
        <v>-1.5285161678971937E-3</v>
      </c>
    </row>
    <row r="62" spans="1:20">
      <c r="A62" s="68">
        <v>0.92</v>
      </c>
      <c r="B62" s="69">
        <f t="shared" si="0"/>
        <v>9.1999999999999998E-3</v>
      </c>
      <c r="C62" s="70">
        <f t="shared" si="1"/>
        <v>1.7692307692307693E-4</v>
      </c>
      <c r="F62" s="71">
        <v>38030</v>
      </c>
      <c r="G62" s="69">
        <v>8.4622247312524101E-3</v>
      </c>
      <c r="H62" s="137">
        <v>2.4295326496793817E-2</v>
      </c>
      <c r="I62" s="137">
        <v>7.7374158430025377E-3</v>
      </c>
      <c r="J62" s="137">
        <v>1.4332560831283122E-2</v>
      </c>
    </row>
    <row r="63" spans="1:20">
      <c r="A63" s="68">
        <v>0.92</v>
      </c>
      <c r="B63" s="69">
        <f t="shared" si="0"/>
        <v>9.1999999999999998E-3</v>
      </c>
      <c r="C63" s="70">
        <f t="shared" si="1"/>
        <v>1.7692307692307693E-4</v>
      </c>
      <c r="F63" s="71">
        <v>38037</v>
      </c>
      <c r="G63" s="69">
        <v>7.3443389725239331E-4</v>
      </c>
      <c r="H63" s="137">
        <v>4.1520812520812233E-3</v>
      </c>
      <c r="I63" s="137">
        <v>-7.1053295434358151E-3</v>
      </c>
      <c r="J63" s="137">
        <v>-6.8799495751312436E-3</v>
      </c>
    </row>
    <row r="64" spans="1:20">
      <c r="A64" s="68">
        <v>0.92</v>
      </c>
      <c r="B64" s="69">
        <f t="shared" si="0"/>
        <v>9.1999999999999998E-3</v>
      </c>
      <c r="C64" s="70">
        <f t="shared" si="1"/>
        <v>1.7692307692307693E-4</v>
      </c>
      <c r="F64" s="71">
        <v>38044</v>
      </c>
      <c r="G64" s="69">
        <v>-6.8936657209816704E-3</v>
      </c>
      <c r="H64" s="137">
        <v>4.5263762939413031E-3</v>
      </c>
      <c r="I64" s="137">
        <v>1.0540962926407906E-2</v>
      </c>
      <c r="J64" s="137">
        <v>5.0203289251451177E-3</v>
      </c>
    </row>
    <row r="65" spans="1:10">
      <c r="A65" s="68">
        <v>0.94</v>
      </c>
      <c r="B65" s="69">
        <f t="shared" si="0"/>
        <v>9.3999999999999986E-3</v>
      </c>
      <c r="C65" s="70">
        <f t="shared" si="1"/>
        <v>1.8076923076923074E-4</v>
      </c>
      <c r="F65" s="71">
        <v>38051</v>
      </c>
      <c r="G65" s="69">
        <v>-1.9604662350920115E-3</v>
      </c>
      <c r="H65" s="137">
        <v>8.6163624087033496E-3</v>
      </c>
      <c r="I65" s="137">
        <v>3.0508631500762041E-2</v>
      </c>
      <c r="J65" s="137">
        <v>-2.8268090130603896E-3</v>
      </c>
    </row>
    <row r="66" spans="1:10">
      <c r="A66" s="68">
        <v>0.94</v>
      </c>
      <c r="B66" s="69">
        <f t="shared" si="0"/>
        <v>9.3999999999999986E-3</v>
      </c>
      <c r="C66" s="70">
        <f t="shared" si="1"/>
        <v>1.8076923076923074E-4</v>
      </c>
      <c r="F66" s="71">
        <v>38058</v>
      </c>
      <c r="G66" s="69">
        <v>6.3114008416992225E-3</v>
      </c>
      <c r="H66" s="137">
        <v>-3.8056242290361413E-2</v>
      </c>
      <c r="I66" s="137">
        <v>-2.5260635286733151E-2</v>
      </c>
      <c r="J66" s="137">
        <v>-4.2853004696400951E-2</v>
      </c>
    </row>
    <row r="67" spans="1:10">
      <c r="A67" s="68">
        <v>0.94</v>
      </c>
      <c r="B67" s="69">
        <f t="shared" si="0"/>
        <v>9.3999999999999986E-3</v>
      </c>
      <c r="C67" s="70">
        <f t="shared" si="1"/>
        <v>1.8076923076923074E-4</v>
      </c>
      <c r="F67" s="71">
        <v>38065</v>
      </c>
      <c r="G67" s="69">
        <v>5.1271494183091062E-3</v>
      </c>
      <c r="H67" s="137">
        <v>1.8140059179859544E-2</v>
      </c>
      <c r="I67" s="137">
        <v>5.4509753184349757E-3</v>
      </c>
      <c r="J67" s="137">
        <v>2.7239369089776061E-2</v>
      </c>
    </row>
    <row r="68" spans="1:10">
      <c r="A68" s="68">
        <v>0.93</v>
      </c>
      <c r="B68" s="69">
        <f t="shared" si="0"/>
        <v>9.300000000000001E-3</v>
      </c>
      <c r="C68" s="70">
        <f t="shared" si="1"/>
        <v>1.7884615384615386E-4</v>
      </c>
      <c r="F68" s="71">
        <v>38072</v>
      </c>
      <c r="G68" s="69">
        <v>-9.4231714921833238E-4</v>
      </c>
      <c r="H68" s="137">
        <v>-2.5008237132526926E-2</v>
      </c>
      <c r="I68" s="137">
        <v>-1.5050077309624914E-2</v>
      </c>
      <c r="J68" s="137">
        <v>-4.385127534040547E-3</v>
      </c>
    </row>
    <row r="69" spans="1:10">
      <c r="A69" s="68">
        <v>0.93</v>
      </c>
      <c r="B69" s="69">
        <f t="shared" si="0"/>
        <v>9.300000000000001E-3</v>
      </c>
      <c r="C69" s="70">
        <f t="shared" si="1"/>
        <v>1.7884615384615386E-4</v>
      </c>
      <c r="F69" s="71">
        <v>38079</v>
      </c>
      <c r="G69" s="69">
        <v>2.0252802677551097E-3</v>
      </c>
      <c r="H69" s="137">
        <v>3.4104710273015121E-2</v>
      </c>
      <c r="I69" s="137">
        <v>2.3795776453075183E-2</v>
      </c>
      <c r="J69" s="137">
        <v>1.7253736684446526E-2</v>
      </c>
    </row>
    <row r="70" spans="1:10">
      <c r="A70" s="68">
        <v>0.93</v>
      </c>
      <c r="B70" s="69">
        <f t="shared" ref="B70:B133" si="2">+A70/100</f>
        <v>9.300000000000001E-3</v>
      </c>
      <c r="C70" s="70">
        <f t="shared" ref="C70:C133" si="3">+B70/52</f>
        <v>1.7884615384615386E-4</v>
      </c>
      <c r="F70" s="71">
        <v>38086</v>
      </c>
      <c r="G70" s="69">
        <v>-1.290662815169091E-2</v>
      </c>
      <c r="H70" s="137">
        <v>6.6183790246295594E-3</v>
      </c>
      <c r="I70" s="137">
        <v>-2.5840020608778633E-3</v>
      </c>
      <c r="J70" s="137">
        <v>-4.5677592059200677E-3</v>
      </c>
    </row>
    <row r="71" spans="1:10">
      <c r="A71" s="68">
        <v>0.93</v>
      </c>
      <c r="B71" s="69">
        <f t="shared" si="2"/>
        <v>9.300000000000001E-3</v>
      </c>
      <c r="C71" s="70">
        <f t="shared" si="3"/>
        <v>1.7884615384615386E-4</v>
      </c>
      <c r="F71" s="71">
        <v>38093</v>
      </c>
      <c r="G71" s="69">
        <v>-1.1796736346858809E-2</v>
      </c>
      <c r="H71" s="137">
        <v>-8.3730376911443014E-3</v>
      </c>
      <c r="I71" s="137">
        <v>-2.5778658895234341E-2</v>
      </c>
      <c r="J71" s="137">
        <v>-2.6125364554693418E-2</v>
      </c>
    </row>
    <row r="72" spans="1:10">
      <c r="A72" s="68">
        <v>0.93</v>
      </c>
      <c r="B72" s="69">
        <f t="shared" si="2"/>
        <v>9.300000000000001E-3</v>
      </c>
      <c r="C72" s="70">
        <f t="shared" si="3"/>
        <v>1.7884615384615386E-4</v>
      </c>
      <c r="F72" s="71">
        <v>38100</v>
      </c>
      <c r="G72" s="69">
        <v>-7.8850143795849916E-4</v>
      </c>
      <c r="H72" s="137">
        <v>-1.7743078766233971E-2</v>
      </c>
      <c r="I72" s="137">
        <v>3.9872561121336277E-3</v>
      </c>
      <c r="J72" s="137">
        <v>-9.4262571350909961E-3</v>
      </c>
    </row>
    <row r="73" spans="1:10">
      <c r="A73" s="68">
        <v>0.96</v>
      </c>
      <c r="B73" s="69">
        <f t="shared" si="2"/>
        <v>9.5999999999999992E-3</v>
      </c>
      <c r="C73" s="70">
        <f t="shared" si="3"/>
        <v>1.8461538461538461E-4</v>
      </c>
      <c r="F73" s="71">
        <v>38107</v>
      </c>
      <c r="G73" s="69">
        <v>-7.7383050885573125E-3</v>
      </c>
      <c r="H73" s="137">
        <v>-3.1620077906810229E-3</v>
      </c>
      <c r="I73" s="137">
        <v>-2.6603019754457002E-2</v>
      </c>
      <c r="J73" s="137">
        <v>-4.220793500052758E-2</v>
      </c>
    </row>
    <row r="74" spans="1:10">
      <c r="A74" s="68">
        <v>0.96</v>
      </c>
      <c r="B74" s="69">
        <f t="shared" si="2"/>
        <v>9.5999999999999992E-3</v>
      </c>
      <c r="C74" s="70">
        <f t="shared" si="3"/>
        <v>1.8461538461538461E-4</v>
      </c>
      <c r="F74" s="71">
        <v>38114</v>
      </c>
      <c r="G74" s="69">
        <v>6.3475750514031945E-4</v>
      </c>
      <c r="H74" s="137">
        <v>1.2221419682224795E-2</v>
      </c>
      <c r="I74" s="137">
        <v>-7.6293224025263421E-3</v>
      </c>
      <c r="J74" s="137">
        <v>2.5532062801631769E-2</v>
      </c>
    </row>
    <row r="75" spans="1:10">
      <c r="A75" s="68">
        <v>1</v>
      </c>
      <c r="B75" s="69">
        <f t="shared" si="2"/>
        <v>0.01</v>
      </c>
      <c r="C75" s="70">
        <f t="shared" si="3"/>
        <v>1.9230769230769231E-4</v>
      </c>
      <c r="F75" s="71">
        <v>38121</v>
      </c>
      <c r="G75" s="69">
        <v>-1.909084399421828E-2</v>
      </c>
      <c r="H75" s="137">
        <v>-1.7290103890085035E-2</v>
      </c>
      <c r="I75" s="137">
        <v>-1.9406610672137455E-2</v>
      </c>
      <c r="J75" s="137">
        <v>-4.5419723988406852E-2</v>
      </c>
    </row>
    <row r="76" spans="1:10">
      <c r="A76" s="68">
        <v>1.02</v>
      </c>
      <c r="B76" s="69">
        <f t="shared" si="2"/>
        <v>1.0200000000000001E-2</v>
      </c>
      <c r="C76" s="70">
        <f t="shared" si="3"/>
        <v>1.9615384615384617E-4</v>
      </c>
      <c r="F76" s="71">
        <v>38128</v>
      </c>
      <c r="G76" s="69">
        <v>7.1766793491308527E-3</v>
      </c>
      <c r="H76" s="137">
        <v>1.5413329939237767E-2</v>
      </c>
      <c r="I76" s="137">
        <v>-3.5298397284885446E-3</v>
      </c>
      <c r="J76" s="137">
        <v>3.8738371716048298E-2</v>
      </c>
    </row>
    <row r="77" spans="1:10">
      <c r="A77" s="68">
        <v>1.03</v>
      </c>
      <c r="B77" s="69">
        <f t="shared" si="2"/>
        <v>1.03E-2</v>
      </c>
      <c r="C77" s="70">
        <f t="shared" si="3"/>
        <v>1.9807692307692308E-4</v>
      </c>
      <c r="F77" s="71">
        <v>38135</v>
      </c>
      <c r="G77" s="69">
        <v>1.4254840859517526E-2</v>
      </c>
      <c r="H77" s="137">
        <v>2.7937828829847189E-2</v>
      </c>
      <c r="I77" s="137">
        <v>3.0380317276847767E-2</v>
      </c>
      <c r="J77" s="137">
        <v>3.5781602045825846E-2</v>
      </c>
    </row>
    <row r="78" spans="1:10">
      <c r="A78" s="68">
        <v>1.06</v>
      </c>
      <c r="B78" s="69">
        <f t="shared" si="2"/>
        <v>1.06E-2</v>
      </c>
      <c r="C78" s="70">
        <f t="shared" si="3"/>
        <v>2.0384615384615385E-4</v>
      </c>
      <c r="F78" s="71">
        <v>38142</v>
      </c>
      <c r="G78" s="69">
        <v>-4.9760533530946224E-3</v>
      </c>
      <c r="H78" s="137">
        <v>8.5134513961159716E-3</v>
      </c>
      <c r="I78" s="137">
        <v>-1.9350269898347175E-3</v>
      </c>
      <c r="J78" s="137">
        <v>-1.9112275235886357E-2</v>
      </c>
    </row>
    <row r="79" spans="1:10">
      <c r="A79" s="68">
        <v>1.1599999999999999</v>
      </c>
      <c r="B79" s="69">
        <f t="shared" si="2"/>
        <v>1.1599999999999999E-2</v>
      </c>
      <c r="C79" s="70">
        <f t="shared" si="3"/>
        <v>2.2307692307692306E-4</v>
      </c>
      <c r="F79" s="71">
        <v>38149</v>
      </c>
      <c r="G79" s="69">
        <v>-2.1718337406928957E-3</v>
      </c>
      <c r="H79" s="137">
        <v>-1.7728810278209529E-2</v>
      </c>
      <c r="I79" s="137">
        <v>5.2899171717069784E-3</v>
      </c>
      <c r="J79" s="137">
        <v>3.0234671807084668E-2</v>
      </c>
    </row>
    <row r="80" spans="1:10">
      <c r="A80" s="68">
        <v>1.25</v>
      </c>
      <c r="B80" s="69">
        <f t="shared" si="2"/>
        <v>1.2500000000000001E-2</v>
      </c>
      <c r="C80" s="70">
        <f t="shared" si="3"/>
        <v>2.403846153846154E-4</v>
      </c>
      <c r="F80" s="71">
        <v>38156</v>
      </c>
      <c r="G80" s="69">
        <v>2.7142331511115503E-3</v>
      </c>
      <c r="H80" s="137">
        <v>1.6493145798789039E-2</v>
      </c>
      <c r="I80" s="137">
        <v>1.5368369944837836E-2</v>
      </c>
      <c r="J80" s="137">
        <v>-9.9108620874987299E-3</v>
      </c>
    </row>
    <row r="81" spans="1:10">
      <c r="A81" s="68">
        <v>1.3</v>
      </c>
      <c r="B81" s="69">
        <f t="shared" si="2"/>
        <v>1.3000000000000001E-2</v>
      </c>
      <c r="C81" s="70">
        <f t="shared" si="3"/>
        <v>2.5000000000000001E-4</v>
      </c>
      <c r="F81" s="71">
        <v>38163</v>
      </c>
      <c r="G81" s="69">
        <v>6.5806235427648997E-3</v>
      </c>
      <c r="H81" s="137">
        <v>-5.9293779334231179E-3</v>
      </c>
      <c r="I81" s="137">
        <v>1.0984267085536162E-2</v>
      </c>
      <c r="J81" s="137">
        <v>1.6718207589507022E-2</v>
      </c>
    </row>
    <row r="82" spans="1:10">
      <c r="A82" s="68">
        <v>1.29</v>
      </c>
      <c r="B82" s="69">
        <f t="shared" si="2"/>
        <v>1.29E-2</v>
      </c>
      <c r="C82" s="70">
        <f t="shared" si="3"/>
        <v>2.4807692307692307E-4</v>
      </c>
      <c r="F82" s="71">
        <v>38170</v>
      </c>
      <c r="G82" s="69">
        <v>-3.7268289226086886E-4</v>
      </c>
      <c r="H82" s="137">
        <v>2.0461849763898929E-3</v>
      </c>
      <c r="I82" s="137">
        <v>-4.0240346416653425E-3</v>
      </c>
      <c r="J82" s="137">
        <v>4.89125030851639E-2</v>
      </c>
    </row>
    <row r="83" spans="1:10">
      <c r="A83" s="68">
        <v>1.3</v>
      </c>
      <c r="B83" s="69">
        <f t="shared" si="2"/>
        <v>1.3000000000000001E-2</v>
      </c>
      <c r="C83" s="70">
        <f t="shared" si="3"/>
        <v>2.5000000000000001E-4</v>
      </c>
      <c r="F83" s="71">
        <v>38177</v>
      </c>
      <c r="G83" s="69">
        <v>8.1475481088520898E-3</v>
      </c>
      <c r="H83" s="137">
        <v>1.6429646074691173E-2</v>
      </c>
      <c r="I83" s="137">
        <v>2.3538381784104887E-3</v>
      </c>
      <c r="J83" s="137">
        <v>2.8619379816526382E-2</v>
      </c>
    </row>
    <row r="84" spans="1:10">
      <c r="A84" s="68">
        <v>1.28</v>
      </c>
      <c r="B84" s="69">
        <f t="shared" si="2"/>
        <v>1.2800000000000001E-2</v>
      </c>
      <c r="C84" s="70">
        <f t="shared" si="3"/>
        <v>2.4615384615384614E-4</v>
      </c>
      <c r="F84" s="71">
        <v>38184</v>
      </c>
      <c r="G84" s="69">
        <v>-2.5918209189877916E-3</v>
      </c>
      <c r="H84" s="137">
        <v>1.0556236269289261E-2</v>
      </c>
      <c r="I84" s="137">
        <v>-7.311313556184006E-4</v>
      </c>
      <c r="J84" s="137">
        <v>7.2872100369206314E-4</v>
      </c>
    </row>
    <row r="85" spans="1:10">
      <c r="A85" s="68">
        <v>1.32</v>
      </c>
      <c r="B85" s="69">
        <f t="shared" si="2"/>
        <v>1.32E-2</v>
      </c>
      <c r="C85" s="70">
        <f t="shared" si="3"/>
        <v>2.5384615384615387E-4</v>
      </c>
      <c r="F85" s="71">
        <v>38191</v>
      </c>
      <c r="G85" s="69">
        <v>-1.7315642530015901E-3</v>
      </c>
      <c r="H85" s="137">
        <v>-2.9904493223091883E-2</v>
      </c>
      <c r="I85" s="137">
        <v>-1.5784826990265458E-2</v>
      </c>
      <c r="J85" s="137">
        <v>-2.0420675392023614E-2</v>
      </c>
    </row>
    <row r="86" spans="1:10">
      <c r="A86" s="68">
        <v>1.34</v>
      </c>
      <c r="B86" s="69">
        <f t="shared" si="2"/>
        <v>1.34E-2</v>
      </c>
      <c r="C86" s="70">
        <f t="shared" si="3"/>
        <v>2.5769230769230768E-4</v>
      </c>
      <c r="F86" s="71">
        <v>38198</v>
      </c>
      <c r="G86" s="69">
        <v>-6.289337970382153E-3</v>
      </c>
      <c r="H86" s="137">
        <v>-1.3206418867349398E-3</v>
      </c>
      <c r="I86" s="137">
        <v>8.4962206952303235E-3</v>
      </c>
      <c r="J86" s="137">
        <v>4.1354489837065406E-3</v>
      </c>
    </row>
    <row r="87" spans="1:10">
      <c r="A87" s="68">
        <v>1.43</v>
      </c>
      <c r="B87" s="69">
        <f t="shared" si="2"/>
        <v>1.43E-2</v>
      </c>
      <c r="C87" s="70">
        <f t="shared" si="3"/>
        <v>2.7500000000000002E-4</v>
      </c>
      <c r="F87" s="71">
        <v>38205</v>
      </c>
      <c r="G87" s="69">
        <v>5.0097493240434804E-3</v>
      </c>
      <c r="H87" s="137">
        <v>2.835741676800009E-2</v>
      </c>
      <c r="I87" s="137">
        <v>-1.0561831735198327E-3</v>
      </c>
      <c r="J87" s="137">
        <v>1.2248284462034383E-2</v>
      </c>
    </row>
    <row r="88" spans="1:10">
      <c r="A88" s="68">
        <v>1.45</v>
      </c>
      <c r="B88" s="69">
        <f t="shared" si="2"/>
        <v>1.4499999999999999E-2</v>
      </c>
      <c r="C88" s="70">
        <f t="shared" si="3"/>
        <v>2.7884615384615383E-4</v>
      </c>
      <c r="F88" s="71">
        <v>38212</v>
      </c>
      <c r="G88" s="69">
        <v>7.3755279283762394E-3</v>
      </c>
      <c r="H88" s="137">
        <v>2.4490464249004801E-3</v>
      </c>
      <c r="I88" s="137">
        <v>3.0112842886613487E-3</v>
      </c>
      <c r="J88" s="137">
        <v>-2.7302874696842946E-3</v>
      </c>
    </row>
    <row r="89" spans="1:10">
      <c r="A89" s="68">
        <v>1.44</v>
      </c>
      <c r="B89" s="69">
        <f t="shared" si="2"/>
        <v>1.44E-2</v>
      </c>
      <c r="C89" s="70">
        <f t="shared" si="3"/>
        <v>2.7692307692307689E-4</v>
      </c>
      <c r="F89" s="71">
        <v>38219</v>
      </c>
      <c r="G89" s="69">
        <v>7.4616082251888916E-3</v>
      </c>
      <c r="H89" s="137">
        <v>-4.3030510423516721E-3</v>
      </c>
      <c r="I89" s="137">
        <v>1.1406068288615484E-2</v>
      </c>
      <c r="J89" s="137">
        <v>3.1678986071531676E-2</v>
      </c>
    </row>
    <row r="90" spans="1:10">
      <c r="A90" s="68">
        <v>1.46</v>
      </c>
      <c r="B90" s="69">
        <f t="shared" si="2"/>
        <v>1.46E-2</v>
      </c>
      <c r="C90" s="70">
        <f t="shared" si="3"/>
        <v>2.8076923076923076E-4</v>
      </c>
      <c r="F90" s="71">
        <v>38226</v>
      </c>
      <c r="G90" s="69">
        <v>-2.3196831517279829E-3</v>
      </c>
      <c r="H90" s="137">
        <v>5.0477689132481171E-3</v>
      </c>
      <c r="I90" s="137">
        <v>1.8967713702237041E-4</v>
      </c>
      <c r="J90" s="137">
        <v>6.0870472706500032E-3</v>
      </c>
    </row>
    <row r="91" spans="1:10">
      <c r="A91" s="68">
        <v>1.52</v>
      </c>
      <c r="B91" s="69">
        <f t="shared" si="2"/>
        <v>1.52E-2</v>
      </c>
      <c r="C91" s="70">
        <f t="shared" si="3"/>
        <v>2.923076923076923E-4</v>
      </c>
      <c r="F91" s="71">
        <v>38233</v>
      </c>
      <c r="G91" s="69">
        <v>3.198720993284979E-3</v>
      </c>
      <c r="H91" s="137">
        <v>7.0644892385769162E-3</v>
      </c>
      <c r="I91" s="137">
        <v>1.6573291129858673E-2</v>
      </c>
      <c r="J91" s="137">
        <v>-2.4272127649591264E-2</v>
      </c>
    </row>
    <row r="92" spans="1:10">
      <c r="A92" s="68">
        <v>1.58</v>
      </c>
      <c r="B92" s="69">
        <f t="shared" si="2"/>
        <v>1.5800000000000002E-2</v>
      </c>
      <c r="C92" s="70">
        <f t="shared" si="3"/>
        <v>3.0384615384615389E-4</v>
      </c>
      <c r="F92" s="71">
        <v>38240</v>
      </c>
      <c r="G92" s="69">
        <v>1.0708061380983365E-3</v>
      </c>
      <c r="H92" s="137">
        <v>1.5453710137911225E-2</v>
      </c>
      <c r="I92" s="137">
        <v>9.907262610717605E-3</v>
      </c>
      <c r="J92" s="137">
        <v>1.079472224591831E-2</v>
      </c>
    </row>
    <row r="93" spans="1:10">
      <c r="A93" s="68">
        <v>1.63</v>
      </c>
      <c r="B93" s="69">
        <f t="shared" si="2"/>
        <v>1.6299999999999999E-2</v>
      </c>
      <c r="C93" s="70">
        <f t="shared" si="3"/>
        <v>3.1346153846153845E-4</v>
      </c>
      <c r="F93" s="71">
        <v>38247</v>
      </c>
      <c r="G93" s="69">
        <v>4.6382773399114086E-3</v>
      </c>
      <c r="H93" s="137">
        <v>-1.5608370020043485E-3</v>
      </c>
      <c r="I93" s="137">
        <v>6.2328099330440168E-3</v>
      </c>
      <c r="J93" s="137">
        <v>1.7247947642749784E-3</v>
      </c>
    </row>
    <row r="94" spans="1:10">
      <c r="A94" s="68">
        <v>1.65</v>
      </c>
      <c r="B94" s="69">
        <f t="shared" si="2"/>
        <v>1.6500000000000001E-2</v>
      </c>
      <c r="C94" s="70">
        <f t="shared" si="3"/>
        <v>3.1730769230769231E-4</v>
      </c>
      <c r="F94" s="71">
        <v>38254</v>
      </c>
      <c r="G94" s="69">
        <v>1.7289065170030969E-3</v>
      </c>
      <c r="H94" s="137">
        <v>6.2623291637710719E-3</v>
      </c>
      <c r="I94" s="137">
        <v>-1.4340550769136696E-2</v>
      </c>
      <c r="J94" s="137">
        <v>3.5868102447343064E-2</v>
      </c>
    </row>
    <row r="95" spans="1:10">
      <c r="A95" s="68">
        <v>1.69</v>
      </c>
      <c r="B95" s="69">
        <f t="shared" si="2"/>
        <v>1.6899999999999998E-2</v>
      </c>
      <c r="C95" s="70">
        <f t="shared" si="3"/>
        <v>3.2499999999999999E-4</v>
      </c>
      <c r="F95" s="71">
        <v>38261</v>
      </c>
      <c r="G95" s="69">
        <v>7.1721873739326899E-4</v>
      </c>
      <c r="H95" s="137">
        <v>1.6761887108605284E-2</v>
      </c>
      <c r="I95" s="137">
        <v>2.67256851755737E-2</v>
      </c>
      <c r="J95" s="137">
        <v>9.5204606998622043E-3</v>
      </c>
    </row>
    <row r="96" spans="1:10">
      <c r="A96" s="68">
        <v>1.69</v>
      </c>
      <c r="B96" s="69">
        <f t="shared" si="2"/>
        <v>1.6899999999999998E-2</v>
      </c>
      <c r="C96" s="70">
        <f t="shared" si="3"/>
        <v>3.2499999999999999E-4</v>
      </c>
      <c r="F96" s="71">
        <v>38268</v>
      </c>
      <c r="G96" s="69">
        <v>-5.6322497848113199E-3</v>
      </c>
      <c r="H96" s="137">
        <v>9.7084940089971184E-4</v>
      </c>
      <c r="I96" s="137">
        <v>1.9999961707587535E-3</v>
      </c>
      <c r="J96" s="137">
        <v>1.6968222525011657E-2</v>
      </c>
    </row>
    <row r="97" spans="1:10">
      <c r="A97" s="68">
        <v>1.68</v>
      </c>
      <c r="B97" s="69">
        <f t="shared" si="2"/>
        <v>1.6799999999999999E-2</v>
      </c>
      <c r="C97" s="70">
        <f t="shared" si="3"/>
        <v>3.2307692307692305E-4</v>
      </c>
      <c r="F97" s="71">
        <v>38275</v>
      </c>
      <c r="G97" s="69">
        <v>1.0058454798547436E-2</v>
      </c>
      <c r="H97" s="137">
        <v>3.1614572271449299E-3</v>
      </c>
      <c r="I97" s="137">
        <v>2.5099883768247176E-3</v>
      </c>
      <c r="J97" s="137">
        <v>2.105616020007426E-2</v>
      </c>
    </row>
    <row r="98" spans="1:10">
      <c r="A98" s="68">
        <v>1.7</v>
      </c>
      <c r="B98" s="69">
        <f t="shared" si="2"/>
        <v>1.7000000000000001E-2</v>
      </c>
      <c r="C98" s="70">
        <f t="shared" si="3"/>
        <v>3.2692307692307697E-4</v>
      </c>
      <c r="F98" s="71">
        <v>38282</v>
      </c>
      <c r="G98" s="69">
        <v>4.6221104420604625E-3</v>
      </c>
      <c r="H98" s="137">
        <v>1.6493269968295875E-2</v>
      </c>
      <c r="I98" s="137">
        <v>-3.4676833956331526E-3</v>
      </c>
      <c r="J98" s="137">
        <v>1.5249732488534742E-2</v>
      </c>
    </row>
    <row r="99" spans="1:10">
      <c r="A99" s="68">
        <v>1.8</v>
      </c>
      <c r="B99" s="69">
        <f t="shared" si="2"/>
        <v>1.8000000000000002E-2</v>
      </c>
      <c r="C99" s="70">
        <f t="shared" si="3"/>
        <v>3.4615384615384619E-4</v>
      </c>
      <c r="F99" s="71">
        <v>38289</v>
      </c>
      <c r="G99" s="69">
        <v>2.5669619471884991E-3</v>
      </c>
      <c r="H99" s="137">
        <v>1.2387789459675322E-2</v>
      </c>
      <c r="I99" s="137">
        <v>2.0994974685537956E-2</v>
      </c>
      <c r="J99" s="137">
        <v>5.3962924989520685E-3</v>
      </c>
    </row>
    <row r="100" spans="1:10">
      <c r="A100" s="68">
        <v>1.87</v>
      </c>
      <c r="B100" s="69">
        <f t="shared" si="2"/>
        <v>1.8700000000000001E-2</v>
      </c>
      <c r="C100" s="70">
        <f t="shared" si="3"/>
        <v>3.5961538461538466E-4</v>
      </c>
      <c r="F100" s="71">
        <v>38296</v>
      </c>
      <c r="G100" s="69">
        <v>4.6514497733065397E-3</v>
      </c>
      <c r="H100" s="137">
        <v>2.3432246040097797E-2</v>
      </c>
      <c r="I100" s="137">
        <v>1.9722428678816985E-2</v>
      </c>
      <c r="J100" s="137">
        <v>2.0872399888916711E-2</v>
      </c>
    </row>
    <row r="101" spans="1:10">
      <c r="A101" s="68">
        <v>1.95</v>
      </c>
      <c r="B101" s="69">
        <f t="shared" si="2"/>
        <v>1.95E-2</v>
      </c>
      <c r="C101" s="70">
        <f t="shared" si="3"/>
        <v>3.7500000000000001E-4</v>
      </c>
      <c r="F101" s="71">
        <v>38303</v>
      </c>
      <c r="G101" s="69">
        <v>-2.4160026165780269E-3</v>
      </c>
      <c r="H101" s="137">
        <v>-1.135168723924886E-2</v>
      </c>
      <c r="I101" s="137">
        <v>2.4380839920684998E-2</v>
      </c>
      <c r="J101" s="137">
        <v>1.4547867622811628E-2</v>
      </c>
    </row>
    <row r="102" spans="1:10">
      <c r="A102" s="68">
        <v>2.04</v>
      </c>
      <c r="B102" s="69">
        <f t="shared" si="2"/>
        <v>2.0400000000000001E-2</v>
      </c>
      <c r="C102" s="70">
        <f t="shared" si="3"/>
        <v>3.9230769230769234E-4</v>
      </c>
      <c r="F102" s="71">
        <v>38310</v>
      </c>
      <c r="G102" s="69">
        <v>7.2885601611160358E-3</v>
      </c>
      <c r="H102" s="137">
        <v>1.2392980556397684E-2</v>
      </c>
      <c r="I102" s="137">
        <v>-1.4438371312673426E-2</v>
      </c>
      <c r="J102" s="137">
        <v>2.2618828170778493E-2</v>
      </c>
    </row>
    <row r="103" spans="1:10">
      <c r="A103" s="68">
        <v>2.09</v>
      </c>
      <c r="B103" s="69">
        <f t="shared" si="2"/>
        <v>2.0899999999999998E-2</v>
      </c>
      <c r="C103" s="70">
        <f t="shared" si="3"/>
        <v>4.019230769230769E-4</v>
      </c>
      <c r="F103" s="71">
        <v>38317</v>
      </c>
      <c r="G103" s="69">
        <v>2.9708768069535772E-3</v>
      </c>
      <c r="H103" s="137">
        <v>3.5207540593734654E-2</v>
      </c>
      <c r="I103" s="137">
        <v>2.4262271726228773E-2</v>
      </c>
      <c r="J103" s="137">
        <v>2.673153774260173E-2</v>
      </c>
    </row>
    <row r="104" spans="1:10">
      <c r="A104" s="68">
        <v>2.15</v>
      </c>
      <c r="B104" s="69">
        <f t="shared" si="2"/>
        <v>2.1499999999999998E-2</v>
      </c>
      <c r="C104" s="70">
        <f t="shared" si="3"/>
        <v>4.1346153846153844E-4</v>
      </c>
      <c r="F104" s="71">
        <v>38324</v>
      </c>
      <c r="G104" s="69">
        <v>-3.1458861425143281E-3</v>
      </c>
      <c r="H104" s="137">
        <v>3.0120711736181173E-2</v>
      </c>
      <c r="I104" s="137">
        <v>-1.1272136017048061E-2</v>
      </c>
      <c r="J104" s="137">
        <v>1.0342877391034793E-2</v>
      </c>
    </row>
    <row r="105" spans="1:10">
      <c r="A105" s="68">
        <v>2.19</v>
      </c>
      <c r="B105" s="69">
        <f t="shared" si="2"/>
        <v>2.1899999999999999E-2</v>
      </c>
      <c r="C105" s="70">
        <f t="shared" si="3"/>
        <v>4.2115384615384617E-4</v>
      </c>
      <c r="F105" s="71">
        <v>38331</v>
      </c>
      <c r="G105" s="69">
        <v>5.5313070155468894E-3</v>
      </c>
      <c r="H105" s="137">
        <v>-8.0043048766022355E-3</v>
      </c>
      <c r="I105" s="137">
        <v>-1.8005246913580297E-2</v>
      </c>
      <c r="J105" s="137">
        <v>-4.8893870411681209E-2</v>
      </c>
    </row>
    <row r="106" spans="1:10">
      <c r="A106" s="68">
        <v>2.21</v>
      </c>
      <c r="B106" s="69">
        <f t="shared" si="2"/>
        <v>2.2099999999999998E-2</v>
      </c>
      <c r="C106" s="70">
        <f t="shared" si="3"/>
        <v>4.2499999999999998E-4</v>
      </c>
      <c r="F106" s="71">
        <v>38338</v>
      </c>
      <c r="G106" s="69">
        <v>1.6196434418527313E-3</v>
      </c>
      <c r="H106" s="137">
        <v>1.8491305910038839E-2</v>
      </c>
      <c r="I106" s="137">
        <v>2.459908056656333E-2</v>
      </c>
      <c r="J106" s="137">
        <v>3.4123218235821963E-2</v>
      </c>
    </row>
    <row r="107" spans="1:10">
      <c r="A107" s="68">
        <v>2.1800000000000002</v>
      </c>
      <c r="B107" s="69">
        <f t="shared" si="2"/>
        <v>2.18E-2</v>
      </c>
      <c r="C107" s="70">
        <f t="shared" si="3"/>
        <v>4.1923076923076923E-4</v>
      </c>
      <c r="F107" s="71">
        <v>38345</v>
      </c>
      <c r="G107" s="69">
        <v>2.4419788222148253E-4</v>
      </c>
      <c r="H107" s="137">
        <v>1.9383266505821492E-2</v>
      </c>
      <c r="I107" s="137">
        <v>9.4956821775272985E-3</v>
      </c>
      <c r="J107" s="137">
        <v>2.2540530080344807E-2</v>
      </c>
    </row>
    <row r="108" spans="1:10">
      <c r="A108" s="68">
        <v>2.17</v>
      </c>
      <c r="B108" s="69">
        <f t="shared" si="2"/>
        <v>2.1700000000000001E-2</v>
      </c>
      <c r="C108" s="70">
        <f t="shared" si="3"/>
        <v>4.173076923076923E-4</v>
      </c>
      <c r="F108" s="71">
        <v>38352</v>
      </c>
      <c r="G108" s="69">
        <v>1.0127995805431607E-4</v>
      </c>
      <c r="H108" s="137">
        <v>5.7462495971565639E-3</v>
      </c>
      <c r="I108" s="137">
        <v>4.0581484076389193E-3</v>
      </c>
      <c r="J108" s="137">
        <v>1.2696685732508562E-2</v>
      </c>
    </row>
    <row r="109" spans="1:10">
      <c r="A109" s="68">
        <v>2.2000000000000002</v>
      </c>
      <c r="B109" s="69">
        <f t="shared" si="2"/>
        <v>2.2000000000000002E-2</v>
      </c>
      <c r="C109" s="70">
        <f t="shared" si="3"/>
        <v>4.230769230769231E-4</v>
      </c>
      <c r="F109" s="71">
        <v>38359</v>
      </c>
      <c r="G109" s="69">
        <v>-4.9075645260064681E-3</v>
      </c>
      <c r="H109" s="137">
        <v>-2.9226540303719208E-2</v>
      </c>
      <c r="I109" s="137">
        <v>-3.0881742874536655E-2</v>
      </c>
      <c r="J109" s="137">
        <v>-7.9698260404030136E-3</v>
      </c>
    </row>
    <row r="110" spans="1:10">
      <c r="A110" s="68">
        <v>2.29</v>
      </c>
      <c r="B110" s="69">
        <f t="shared" si="2"/>
        <v>2.29E-2</v>
      </c>
      <c r="C110" s="70">
        <f t="shared" si="3"/>
        <v>4.4038461538461538E-4</v>
      </c>
      <c r="F110" s="71">
        <v>38366</v>
      </c>
      <c r="G110" s="69">
        <v>6.4980523729034683E-3</v>
      </c>
      <c r="H110" s="137">
        <v>1.5001196009037871E-2</v>
      </c>
      <c r="I110" s="137">
        <v>1.5610472033575573E-2</v>
      </c>
      <c r="J110" s="137">
        <v>1.7371737653467494E-2</v>
      </c>
    </row>
    <row r="111" spans="1:10">
      <c r="A111" s="68">
        <v>2.31</v>
      </c>
      <c r="B111" s="69">
        <f t="shared" si="2"/>
        <v>2.3099999999999999E-2</v>
      </c>
      <c r="C111" s="70">
        <f t="shared" si="3"/>
        <v>4.4423076923076919E-4</v>
      </c>
      <c r="F111" s="71">
        <v>38373</v>
      </c>
      <c r="G111" s="69">
        <v>-3.5628381253467326E-3</v>
      </c>
      <c r="H111" s="137">
        <v>3.1821854320176748E-3</v>
      </c>
      <c r="I111" s="137">
        <v>4.438042152416089E-3</v>
      </c>
      <c r="J111" s="137">
        <v>1.9484632783139867E-2</v>
      </c>
    </row>
    <row r="112" spans="1:10">
      <c r="A112" s="68">
        <v>2.33</v>
      </c>
      <c r="B112" s="69">
        <f t="shared" si="2"/>
        <v>2.3300000000000001E-2</v>
      </c>
      <c r="C112" s="70">
        <f t="shared" si="3"/>
        <v>4.4807692307692311E-4</v>
      </c>
      <c r="F112" s="71">
        <v>38380</v>
      </c>
      <c r="G112" s="69">
        <v>3.0332734367559557E-4</v>
      </c>
      <c r="H112" s="137">
        <v>1.5956180454397725E-2</v>
      </c>
      <c r="I112" s="137">
        <v>2.1025465549198842E-3</v>
      </c>
      <c r="J112" s="137">
        <v>1.7494910937423121E-2</v>
      </c>
    </row>
    <row r="113" spans="1:10">
      <c r="A113" s="68">
        <v>2.38</v>
      </c>
      <c r="B113" s="69">
        <f t="shared" si="2"/>
        <v>2.3799999999999998E-2</v>
      </c>
      <c r="C113" s="70">
        <f t="shared" si="3"/>
        <v>4.5769230769230766E-4</v>
      </c>
      <c r="F113" s="71">
        <v>38387</v>
      </c>
      <c r="G113" s="69">
        <v>1.5747574705505224E-3</v>
      </c>
      <c r="H113" s="137">
        <v>2.8319650132157904E-2</v>
      </c>
      <c r="I113" s="137">
        <v>2.749238201244027E-2</v>
      </c>
      <c r="J113" s="137">
        <v>4.2227749171718211E-2</v>
      </c>
    </row>
    <row r="114" spans="1:10">
      <c r="A114" s="68">
        <v>2.46</v>
      </c>
      <c r="B114" s="69">
        <f t="shared" si="2"/>
        <v>2.46E-2</v>
      </c>
      <c r="C114" s="70">
        <f t="shared" si="3"/>
        <v>4.7307692307692307E-4</v>
      </c>
      <c r="F114" s="71">
        <v>38394</v>
      </c>
      <c r="G114" s="69">
        <v>2.4157384773106734E-3</v>
      </c>
      <c r="H114" s="137">
        <v>-2.0407947348013433E-3</v>
      </c>
      <c r="I114" s="137">
        <v>-1.9864132347764997E-3</v>
      </c>
      <c r="J114" s="137">
        <v>3.814694082451906E-3</v>
      </c>
    </row>
    <row r="115" spans="1:10">
      <c r="A115" s="68">
        <v>2.48</v>
      </c>
      <c r="B115" s="69">
        <f t="shared" si="2"/>
        <v>2.4799999999999999E-2</v>
      </c>
      <c r="C115" s="70">
        <f t="shared" si="3"/>
        <v>4.7692307692307693E-4</v>
      </c>
      <c r="F115" s="71">
        <v>38401</v>
      </c>
      <c r="G115" s="69">
        <v>-1.4608265465646674E-3</v>
      </c>
      <c r="H115" s="137">
        <v>6.3183394397612561E-3</v>
      </c>
      <c r="I115" s="137">
        <v>-5.4269551740514677E-4</v>
      </c>
      <c r="J115" s="137">
        <v>-1.4663559982776346E-2</v>
      </c>
    </row>
    <row r="116" spans="1:10">
      <c r="A116" s="68">
        <v>2.54</v>
      </c>
      <c r="B116" s="69">
        <f t="shared" si="2"/>
        <v>2.5399999999999999E-2</v>
      </c>
      <c r="C116" s="70">
        <f t="shared" si="3"/>
        <v>4.8846153846153842E-4</v>
      </c>
      <c r="F116" s="71">
        <v>38408</v>
      </c>
      <c r="G116" s="69">
        <v>-2.0003093854655037E-3</v>
      </c>
      <c r="H116" s="137">
        <v>-2.7830344785629801E-2</v>
      </c>
      <c r="I116" s="137">
        <v>-7.5536354251575502E-3</v>
      </c>
      <c r="J116" s="137">
        <v>-3.7561796240461387E-3</v>
      </c>
    </row>
    <row r="117" spans="1:10">
      <c r="A117" s="68">
        <v>2.65</v>
      </c>
      <c r="B117" s="69">
        <f t="shared" si="2"/>
        <v>2.6499999999999999E-2</v>
      </c>
      <c r="C117" s="70">
        <f t="shared" si="3"/>
        <v>5.0961538461538462E-4</v>
      </c>
      <c r="F117" s="71">
        <v>38415</v>
      </c>
      <c r="G117" s="69">
        <v>2.1401694695191101E-3</v>
      </c>
      <c r="H117" s="137">
        <v>-3.9975433416955608E-3</v>
      </c>
      <c r="I117" s="137">
        <v>1.3743854536172748E-2</v>
      </c>
      <c r="J117" s="137">
        <v>3.2770206010137265E-3</v>
      </c>
    </row>
    <row r="118" spans="1:10">
      <c r="A118" s="68">
        <v>2.7</v>
      </c>
      <c r="B118" s="69">
        <f t="shared" si="2"/>
        <v>2.7000000000000003E-2</v>
      </c>
      <c r="C118" s="70">
        <f t="shared" si="3"/>
        <v>5.1923076923076933E-4</v>
      </c>
      <c r="F118" s="71">
        <v>38422</v>
      </c>
      <c r="G118" s="69">
        <v>-4.4080747638051655E-3</v>
      </c>
      <c r="H118" s="137">
        <v>-2.2166008812190181E-2</v>
      </c>
      <c r="I118" s="137">
        <v>-8.4626306790260286E-3</v>
      </c>
      <c r="J118" s="137">
        <v>-3.0658554844698138E-3</v>
      </c>
    </row>
    <row r="119" spans="1:10">
      <c r="A119" s="68">
        <v>2.7</v>
      </c>
      <c r="B119" s="69">
        <f t="shared" si="2"/>
        <v>2.7000000000000003E-2</v>
      </c>
      <c r="C119" s="70">
        <f t="shared" si="3"/>
        <v>5.1923076923076933E-4</v>
      </c>
      <c r="F119" s="71">
        <v>38429</v>
      </c>
      <c r="G119" s="69">
        <v>-3.8988143405272865E-3</v>
      </c>
      <c r="H119" s="137">
        <v>6.9889596535242793E-4</v>
      </c>
      <c r="I119" s="137">
        <v>-2.6711712668655227E-3</v>
      </c>
      <c r="J119" s="137">
        <v>8.0164037950705893E-3</v>
      </c>
    </row>
    <row r="120" spans="1:10">
      <c r="A120" s="68">
        <v>2.74</v>
      </c>
      <c r="B120" s="69">
        <f t="shared" si="2"/>
        <v>2.7400000000000001E-2</v>
      </c>
      <c r="C120" s="70">
        <f t="shared" si="3"/>
        <v>5.2692307692307695E-4</v>
      </c>
      <c r="F120" s="71">
        <v>38436</v>
      </c>
      <c r="G120" s="69">
        <v>-9.6938058205796648E-3</v>
      </c>
      <c r="H120" s="137">
        <v>-1.9372252722151959E-2</v>
      </c>
      <c r="I120" s="137">
        <v>-2.3060647115286464E-2</v>
      </c>
      <c r="J120" s="137">
        <v>-4.9913817461012804E-2</v>
      </c>
    </row>
    <row r="121" spans="1:10">
      <c r="A121" s="68">
        <v>2.8</v>
      </c>
      <c r="B121" s="69">
        <f t="shared" si="2"/>
        <v>2.7999999999999997E-2</v>
      </c>
      <c r="C121" s="70">
        <f t="shared" si="3"/>
        <v>5.3846153846153844E-4</v>
      </c>
      <c r="F121" s="71">
        <v>38443</v>
      </c>
      <c r="G121" s="69">
        <v>3.9728839807986914E-3</v>
      </c>
      <c r="H121" s="137">
        <v>8.2784633913277617E-3</v>
      </c>
      <c r="I121" s="137">
        <v>1.0015831299343438E-2</v>
      </c>
      <c r="J121" s="137">
        <v>1.0153931475928192E-2</v>
      </c>
    </row>
    <row r="122" spans="1:10">
      <c r="A122" s="68">
        <v>2.76</v>
      </c>
      <c r="B122" s="69">
        <f t="shared" si="2"/>
        <v>2.76E-2</v>
      </c>
      <c r="C122" s="70">
        <f t="shared" si="3"/>
        <v>5.3076923076923071E-4</v>
      </c>
      <c r="F122" s="71">
        <v>38450</v>
      </c>
      <c r="G122" s="69">
        <v>-1.5768182633159402E-3</v>
      </c>
      <c r="H122" s="137">
        <v>1.2693461538461551E-2</v>
      </c>
      <c r="I122" s="137">
        <v>5.8842414239394271E-3</v>
      </c>
      <c r="J122" s="137">
        <v>1.3607704801507726E-2</v>
      </c>
    </row>
    <row r="123" spans="1:10">
      <c r="A123" s="68">
        <v>2.73</v>
      </c>
      <c r="B123" s="69">
        <f t="shared" si="2"/>
        <v>2.7300000000000001E-2</v>
      </c>
      <c r="C123" s="70">
        <f t="shared" si="3"/>
        <v>5.2500000000000008E-4</v>
      </c>
      <c r="F123" s="71">
        <v>38457</v>
      </c>
      <c r="G123" s="69">
        <v>3.3970036122378377E-3</v>
      </c>
      <c r="H123" s="137">
        <v>5.4047205600385659E-3</v>
      </c>
      <c r="I123" s="137">
        <v>-1.8985352044494263E-2</v>
      </c>
      <c r="J123" s="137">
        <v>-3.5604467758902761E-2</v>
      </c>
    </row>
    <row r="124" spans="1:10">
      <c r="A124" s="68">
        <v>2.72</v>
      </c>
      <c r="B124" s="69">
        <f t="shared" si="2"/>
        <v>2.7200000000000002E-2</v>
      </c>
      <c r="C124" s="70">
        <f t="shared" si="3"/>
        <v>5.2307692307692309E-4</v>
      </c>
      <c r="F124" s="71">
        <v>38464</v>
      </c>
      <c r="G124" s="69">
        <v>5.2187935658598106E-3</v>
      </c>
      <c r="H124" s="137">
        <v>-1.1143424029960567E-4</v>
      </c>
      <c r="I124" s="137">
        <v>1.3398971632099139E-2</v>
      </c>
      <c r="J124" s="137">
        <v>2.7581537544236204E-2</v>
      </c>
    </row>
    <row r="125" spans="1:10">
      <c r="A125" s="68">
        <v>2.84</v>
      </c>
      <c r="B125" s="69">
        <f t="shared" si="2"/>
        <v>2.8399999999999998E-2</v>
      </c>
      <c r="C125" s="70">
        <f t="shared" si="3"/>
        <v>5.4615384615384617E-4</v>
      </c>
      <c r="F125" s="71">
        <v>38471</v>
      </c>
      <c r="G125" s="69">
        <v>2.1459112749813583E-4</v>
      </c>
      <c r="H125" s="137">
        <v>-6.7220340493805257E-3</v>
      </c>
      <c r="I125" s="137">
        <v>-6.0054216568080241E-3</v>
      </c>
      <c r="J125" s="137">
        <v>1.1266933248786172E-2</v>
      </c>
    </row>
    <row r="126" spans="1:10">
      <c r="A126" s="68">
        <v>2.85</v>
      </c>
      <c r="B126" s="69">
        <f t="shared" si="2"/>
        <v>2.8500000000000001E-2</v>
      </c>
      <c r="C126" s="70">
        <f t="shared" si="3"/>
        <v>5.4807692307692305E-4</v>
      </c>
      <c r="F126" s="71">
        <v>38478</v>
      </c>
      <c r="G126" s="69">
        <v>3.4259396920413173E-3</v>
      </c>
      <c r="H126" s="137">
        <v>1.2855572278674373E-3</v>
      </c>
      <c r="I126" s="137">
        <v>2.0999109604406895E-2</v>
      </c>
      <c r="J126" s="137">
        <v>-6.6878818326777754E-3</v>
      </c>
    </row>
    <row r="127" spans="1:10">
      <c r="A127" s="68">
        <v>2.82</v>
      </c>
      <c r="B127" s="69">
        <f t="shared" si="2"/>
        <v>2.8199999999999999E-2</v>
      </c>
      <c r="C127" s="70">
        <f t="shared" si="3"/>
        <v>5.423076923076923E-4</v>
      </c>
      <c r="F127" s="71">
        <v>38485</v>
      </c>
      <c r="G127" s="69">
        <v>-7.1852967684721972E-3</v>
      </c>
      <c r="H127" s="137">
        <v>-8.3071676096279634E-3</v>
      </c>
      <c r="I127" s="137">
        <v>-7.0233820081756042E-3</v>
      </c>
      <c r="J127" s="137">
        <v>-1.7221027220689918E-2</v>
      </c>
    </row>
    <row r="128" spans="1:10">
      <c r="A128" s="68">
        <v>2.82</v>
      </c>
      <c r="B128" s="69">
        <f t="shared" si="2"/>
        <v>2.8199999999999999E-2</v>
      </c>
      <c r="C128" s="70">
        <f t="shared" si="3"/>
        <v>5.423076923076923E-4</v>
      </c>
      <c r="F128" s="71">
        <v>38492</v>
      </c>
      <c r="G128" s="69">
        <v>-3.8056308290813651E-4</v>
      </c>
      <c r="H128" s="137">
        <v>-3.1752852783988338E-3</v>
      </c>
      <c r="I128" s="137">
        <v>2.0267051071660096E-2</v>
      </c>
      <c r="J128" s="137">
        <v>8.6692842979361022E-3</v>
      </c>
    </row>
    <row r="129" spans="1:10">
      <c r="A129" s="68">
        <v>2.82</v>
      </c>
      <c r="B129" s="69">
        <f t="shared" si="2"/>
        <v>2.8199999999999999E-2</v>
      </c>
      <c r="C129" s="70">
        <f t="shared" si="3"/>
        <v>5.423076923076923E-4</v>
      </c>
      <c r="F129" s="71">
        <v>38499</v>
      </c>
      <c r="G129" s="69">
        <v>3.6628337962158922E-3</v>
      </c>
      <c r="H129" s="137">
        <v>1.4561036884554644E-2</v>
      </c>
      <c r="I129" s="137">
        <v>1.2318364433422635E-2</v>
      </c>
      <c r="J129" s="137">
        <v>2.8224261855354132E-2</v>
      </c>
    </row>
    <row r="130" spans="1:10">
      <c r="A130" s="68">
        <v>2.89</v>
      </c>
      <c r="B130" s="69">
        <f t="shared" si="2"/>
        <v>2.8900000000000002E-2</v>
      </c>
      <c r="C130" s="70">
        <f t="shared" si="3"/>
        <v>5.5576923076923078E-4</v>
      </c>
      <c r="F130" s="71">
        <v>38506</v>
      </c>
      <c r="G130" s="69">
        <v>2.1629305300805766E-3</v>
      </c>
      <c r="H130" s="137">
        <v>2.6510728757160801E-4</v>
      </c>
      <c r="I130" s="137">
        <v>1.2168715814259518E-2</v>
      </c>
      <c r="J130" s="137">
        <v>1.997132981876645E-2</v>
      </c>
    </row>
    <row r="131" spans="1:10">
      <c r="A131" s="68">
        <v>2.92</v>
      </c>
      <c r="B131" s="69">
        <f t="shared" si="2"/>
        <v>2.92E-2</v>
      </c>
      <c r="C131" s="70">
        <f t="shared" si="3"/>
        <v>5.6153846153846152E-4</v>
      </c>
      <c r="F131" s="71">
        <v>38513</v>
      </c>
      <c r="G131" s="69">
        <v>-3.8888355789612472E-3</v>
      </c>
      <c r="H131" s="137">
        <v>-6.3369906310478657E-3</v>
      </c>
      <c r="I131" s="137">
        <v>1.090007043211467E-4</v>
      </c>
      <c r="J131" s="137">
        <v>1.1412291406257121E-2</v>
      </c>
    </row>
    <row r="132" spans="1:10">
      <c r="A132" s="68">
        <v>2.95</v>
      </c>
      <c r="B132" s="69">
        <f t="shared" si="2"/>
        <v>2.9500000000000002E-2</v>
      </c>
      <c r="C132" s="70">
        <f t="shared" si="3"/>
        <v>5.6730769230769237E-4</v>
      </c>
      <c r="F132" s="71">
        <v>38520</v>
      </c>
      <c r="G132" s="69">
        <v>-1.324315685769622E-3</v>
      </c>
      <c r="H132" s="137">
        <v>-3.0940366073801554E-3</v>
      </c>
      <c r="I132" s="137">
        <v>2.2303084321449316E-2</v>
      </c>
      <c r="J132" s="137">
        <v>3.8420741689072661E-2</v>
      </c>
    </row>
    <row r="133" spans="1:10">
      <c r="A133" s="68">
        <v>2.94</v>
      </c>
      <c r="B133" s="69">
        <f t="shared" si="2"/>
        <v>2.9399999999999999E-2</v>
      </c>
      <c r="C133" s="70">
        <f t="shared" si="3"/>
        <v>5.6538461538461538E-4</v>
      </c>
      <c r="F133" s="71">
        <v>38527</v>
      </c>
      <c r="G133" s="69">
        <v>4.8069711618334565E-3</v>
      </c>
      <c r="H133" s="137">
        <v>1.5060389055600678E-3</v>
      </c>
      <c r="I133" s="137">
        <v>7.0762728186622003E-3</v>
      </c>
      <c r="J133" s="137">
        <v>-4.2825891897277209E-2</v>
      </c>
    </row>
    <row r="134" spans="1:10">
      <c r="A134" s="68">
        <v>2.98</v>
      </c>
      <c r="B134" s="69">
        <f t="shared" ref="B134:B197" si="4">+A134/100</f>
        <v>2.98E-2</v>
      </c>
      <c r="C134" s="70">
        <f t="shared" ref="C134:C197" si="5">+B134/52</f>
        <v>5.7307692307692311E-4</v>
      </c>
      <c r="F134" s="71">
        <v>38534</v>
      </c>
      <c r="G134" s="69">
        <v>-7.0420668342888598E-3</v>
      </c>
      <c r="H134" s="137">
        <v>1.0806970373637157E-2</v>
      </c>
      <c r="I134" s="137">
        <v>2.1948249548097598E-2</v>
      </c>
      <c r="J134" s="137">
        <v>-2.0711588125702767E-3</v>
      </c>
    </row>
    <row r="135" spans="1:10">
      <c r="A135" s="68">
        <v>3.08</v>
      </c>
      <c r="B135" s="69">
        <f t="shared" si="4"/>
        <v>3.0800000000000001E-2</v>
      </c>
      <c r="C135" s="70">
        <f t="shared" si="5"/>
        <v>5.9230769230769233E-4</v>
      </c>
      <c r="F135" s="71">
        <v>38541</v>
      </c>
      <c r="G135" s="69">
        <v>-2.4935382434651005E-3</v>
      </c>
      <c r="H135" s="137">
        <v>-2.7656392361492487E-2</v>
      </c>
      <c r="I135" s="137">
        <v>1.7123192299628998E-2</v>
      </c>
      <c r="J135" s="137">
        <v>-3.997018528812081E-2</v>
      </c>
    </row>
    <row r="136" spans="1:10">
      <c r="A136" s="68">
        <v>3.11</v>
      </c>
      <c r="B136" s="69">
        <f t="shared" si="4"/>
        <v>3.1099999999999999E-2</v>
      </c>
      <c r="C136" s="70">
        <f t="shared" si="5"/>
        <v>5.9807692307692307E-4</v>
      </c>
      <c r="F136" s="71">
        <v>38548</v>
      </c>
      <c r="G136" s="69">
        <v>2.2871489772559805E-4</v>
      </c>
      <c r="H136" s="137">
        <v>1.8911019738323824E-3</v>
      </c>
      <c r="I136" s="137">
        <v>-6.4766462876967778E-3</v>
      </c>
      <c r="J136" s="137">
        <v>2.2011009845185499E-2</v>
      </c>
    </row>
    <row r="137" spans="1:10">
      <c r="A137" s="68">
        <v>3.15</v>
      </c>
      <c r="B137" s="69">
        <f t="shared" si="4"/>
        <v>3.15E-2</v>
      </c>
      <c r="C137" s="70">
        <f t="shared" si="5"/>
        <v>6.057692307692308E-4</v>
      </c>
      <c r="F137" s="71">
        <v>38555</v>
      </c>
      <c r="G137" s="69">
        <v>1.6844197010096652E-3</v>
      </c>
      <c r="H137" s="137">
        <v>2.972608973728314E-3</v>
      </c>
      <c r="I137" s="137">
        <v>-2.9287121456823516E-3</v>
      </c>
      <c r="J137" s="137">
        <v>2.8491671262241391E-2</v>
      </c>
    </row>
    <row r="138" spans="1:10">
      <c r="A138" s="68">
        <v>3.25</v>
      </c>
      <c r="B138" s="69">
        <f t="shared" si="4"/>
        <v>3.2500000000000001E-2</v>
      </c>
      <c r="C138" s="70">
        <f t="shared" si="5"/>
        <v>6.2500000000000001E-4</v>
      </c>
      <c r="F138" s="71">
        <v>38562</v>
      </c>
      <c r="G138" s="69">
        <v>-1.7878610878585147E-3</v>
      </c>
      <c r="H138" s="137">
        <v>5.4834830420233899E-3</v>
      </c>
      <c r="I138" s="137">
        <v>1.7626439033157724E-2</v>
      </c>
      <c r="J138" s="137">
        <v>-2.5078005904169861E-2</v>
      </c>
    </row>
    <row r="139" spans="1:10">
      <c r="A139" s="68">
        <v>3.35</v>
      </c>
      <c r="B139" s="69">
        <f t="shared" si="4"/>
        <v>3.3500000000000002E-2</v>
      </c>
      <c r="C139" s="70">
        <f t="shared" si="5"/>
        <v>6.4423076923076923E-4</v>
      </c>
      <c r="F139" s="71">
        <v>38569</v>
      </c>
      <c r="G139" s="69">
        <v>-3.1657017216303266E-3</v>
      </c>
      <c r="H139" s="137">
        <v>1.2018339896903657E-2</v>
      </c>
      <c r="I139" s="137">
        <v>-6.4567482584604007E-3</v>
      </c>
      <c r="J139" s="137">
        <v>-5.8385623575881113E-3</v>
      </c>
    </row>
    <row r="140" spans="1:10">
      <c r="A140" s="68">
        <v>3.41</v>
      </c>
      <c r="B140" s="69">
        <f t="shared" si="4"/>
        <v>3.4099999999999998E-2</v>
      </c>
      <c r="C140" s="70">
        <f t="shared" si="5"/>
        <v>6.5576923076923071E-4</v>
      </c>
      <c r="F140" s="71">
        <v>38576</v>
      </c>
      <c r="G140" s="69">
        <v>9.8310518341104842E-3</v>
      </c>
      <c r="H140" s="137">
        <v>1.164345209621563E-2</v>
      </c>
      <c r="I140" s="137">
        <v>-3.6483422194806721E-3</v>
      </c>
      <c r="J140" s="137">
        <v>9.5443152100307873E-3</v>
      </c>
    </row>
    <row r="141" spans="1:10">
      <c r="A141" s="68">
        <v>3.44</v>
      </c>
      <c r="B141" s="69">
        <f t="shared" si="4"/>
        <v>3.44E-2</v>
      </c>
      <c r="C141" s="70">
        <f t="shared" si="5"/>
        <v>6.6153846153846156E-4</v>
      </c>
      <c r="F141" s="71">
        <v>38583</v>
      </c>
      <c r="G141" s="69">
        <v>-4.1513253664745842E-3</v>
      </c>
      <c r="H141" s="137">
        <v>-1.7013271424393087E-2</v>
      </c>
      <c r="I141" s="137">
        <v>-9.3965310035836296E-3</v>
      </c>
      <c r="J141" s="137">
        <v>-1.7452886272559254E-2</v>
      </c>
    </row>
    <row r="142" spans="1:10">
      <c r="A142" s="68">
        <v>3.45</v>
      </c>
      <c r="B142" s="69">
        <f t="shared" si="4"/>
        <v>3.4500000000000003E-2</v>
      </c>
      <c r="C142" s="70">
        <f t="shared" si="5"/>
        <v>6.6346153846153855E-4</v>
      </c>
      <c r="F142" s="71">
        <v>38590</v>
      </c>
      <c r="G142" s="69">
        <v>3.1487160449230689E-3</v>
      </c>
      <c r="H142" s="137">
        <v>1.715206803247004E-2</v>
      </c>
      <c r="I142" s="137">
        <v>8.2362033839559635E-3</v>
      </c>
      <c r="J142" s="137">
        <v>2.5534802640201598E-3</v>
      </c>
    </row>
    <row r="143" spans="1:10">
      <c r="A143" s="68">
        <v>3.46</v>
      </c>
      <c r="B143" s="69">
        <f t="shared" si="4"/>
        <v>3.4599999999999999E-2</v>
      </c>
      <c r="C143" s="70">
        <f t="shared" si="5"/>
        <v>6.6538461538461532E-4</v>
      </c>
      <c r="F143" s="71">
        <v>38597</v>
      </c>
      <c r="G143" s="69">
        <v>9.9830154952831422E-3</v>
      </c>
      <c r="H143" s="137">
        <v>3.7716107090134995E-2</v>
      </c>
      <c r="I143" s="137">
        <v>3.141319594858482E-2</v>
      </c>
      <c r="J143" s="137">
        <v>1.2599060624643619E-2</v>
      </c>
    </row>
    <row r="144" spans="1:10">
      <c r="A144" s="68">
        <v>3.43</v>
      </c>
      <c r="B144" s="69">
        <f t="shared" si="4"/>
        <v>3.4300000000000004E-2</v>
      </c>
      <c r="C144" s="70">
        <f t="shared" si="5"/>
        <v>6.5961538461538469E-4</v>
      </c>
      <c r="F144" s="71">
        <v>38604</v>
      </c>
      <c r="G144" s="69">
        <v>-2.5783122525158174E-3</v>
      </c>
      <c r="H144" s="137">
        <v>5.3542515732117593E-3</v>
      </c>
      <c r="I144" s="137">
        <v>1.8539136756095819E-2</v>
      </c>
      <c r="J144" s="137">
        <v>1.698327000680195E-2</v>
      </c>
    </row>
    <row r="145" spans="1:10">
      <c r="A145" s="68">
        <v>3.42</v>
      </c>
      <c r="B145" s="69">
        <f t="shared" si="4"/>
        <v>3.4200000000000001E-2</v>
      </c>
      <c r="C145" s="70">
        <f t="shared" si="5"/>
        <v>6.576923076923077E-4</v>
      </c>
      <c r="F145" s="71">
        <v>38611</v>
      </c>
      <c r="G145" s="69">
        <v>-9.0488674435875646E-3</v>
      </c>
      <c r="H145" s="137">
        <v>-8.6237615693553794E-3</v>
      </c>
      <c r="I145" s="137">
        <v>3.0223071745395444E-3</v>
      </c>
      <c r="J145" s="137">
        <v>8.39510398591857E-3</v>
      </c>
    </row>
    <row r="146" spans="1:10">
      <c r="A146" s="68">
        <v>3.4</v>
      </c>
      <c r="B146" s="69">
        <f t="shared" si="4"/>
        <v>3.4000000000000002E-2</v>
      </c>
      <c r="C146" s="70">
        <f t="shared" si="5"/>
        <v>6.5384615384615394E-4</v>
      </c>
      <c r="F146" s="71">
        <v>38618</v>
      </c>
      <c r="G146" s="69">
        <v>-3.0695507899056455E-3</v>
      </c>
      <c r="H146" s="137">
        <v>-8.5637797203998254E-3</v>
      </c>
      <c r="I146" s="137">
        <v>-2.3187933894354751E-2</v>
      </c>
      <c r="J146" s="137">
        <v>-3.6081775283638338E-2</v>
      </c>
    </row>
    <row r="147" spans="1:10">
      <c r="A147" s="68">
        <v>3.44</v>
      </c>
      <c r="B147" s="69">
        <f t="shared" si="4"/>
        <v>3.44E-2</v>
      </c>
      <c r="C147" s="70">
        <f t="shared" si="5"/>
        <v>6.6153846153846156E-4</v>
      </c>
      <c r="F147" s="71">
        <v>38625</v>
      </c>
      <c r="G147" s="69">
        <v>-3.3882191261031245E-3</v>
      </c>
      <c r="H147" s="137">
        <v>-6.4218672273966921E-3</v>
      </c>
      <c r="I147" s="137">
        <v>2.2905885834194926E-2</v>
      </c>
      <c r="J147" s="137">
        <v>9.3479901822772771E-3</v>
      </c>
    </row>
    <row r="148" spans="1:10">
      <c r="A148" s="68">
        <v>3.44</v>
      </c>
      <c r="B148" s="69">
        <f t="shared" si="4"/>
        <v>3.44E-2</v>
      </c>
      <c r="C148" s="70">
        <f t="shared" si="5"/>
        <v>6.6153846153846156E-4</v>
      </c>
      <c r="F148" s="71">
        <v>38632</v>
      </c>
      <c r="G148" s="69">
        <v>-3.3393823427819548E-3</v>
      </c>
      <c r="H148" s="137">
        <v>-1.5772660012289403E-2</v>
      </c>
      <c r="I148" s="137">
        <v>-3.9063043322581939E-2</v>
      </c>
      <c r="J148" s="137">
        <v>-6.2239282420014509E-2</v>
      </c>
    </row>
    <row r="149" spans="1:10">
      <c r="A149" s="68">
        <v>3.53</v>
      </c>
      <c r="B149" s="69">
        <f t="shared" si="4"/>
        <v>3.5299999999999998E-2</v>
      </c>
      <c r="C149" s="70">
        <f t="shared" si="5"/>
        <v>6.7884615384615379E-4</v>
      </c>
      <c r="F149" s="71">
        <v>38639</v>
      </c>
      <c r="G149" s="69">
        <v>-7.5738151580942194E-3</v>
      </c>
      <c r="H149" s="137">
        <v>-2.1881994878323825E-2</v>
      </c>
      <c r="I149" s="137">
        <v>-3.5216598535422708E-2</v>
      </c>
      <c r="J149" s="137">
        <v>-3.2389851697135402E-2</v>
      </c>
    </row>
    <row r="150" spans="1:10">
      <c r="A150" s="68">
        <v>3.66</v>
      </c>
      <c r="B150" s="69">
        <f t="shared" si="4"/>
        <v>3.6600000000000001E-2</v>
      </c>
      <c r="C150" s="70">
        <f t="shared" si="5"/>
        <v>7.0384615384615386E-4</v>
      </c>
      <c r="F150" s="71">
        <v>38646</v>
      </c>
      <c r="G150" s="69">
        <v>6.4067034366392184E-4</v>
      </c>
      <c r="H150" s="137">
        <v>-2.2843111800943026E-2</v>
      </c>
      <c r="I150" s="137">
        <v>-1.1122512001875817E-2</v>
      </c>
      <c r="J150" s="137">
        <v>-3.070195573074589E-2</v>
      </c>
    </row>
    <row r="151" spans="1:10">
      <c r="A151" s="68">
        <v>3.77</v>
      </c>
      <c r="B151" s="69">
        <f t="shared" si="4"/>
        <v>3.7699999999999997E-2</v>
      </c>
      <c r="C151" s="70">
        <f t="shared" si="5"/>
        <v>7.2499999999999995E-4</v>
      </c>
      <c r="F151" s="71">
        <v>38653</v>
      </c>
      <c r="G151" s="69">
        <v>-5.1008507149863649E-3</v>
      </c>
      <c r="H151" s="137">
        <v>6.5195258802408082E-3</v>
      </c>
      <c r="I151" s="137">
        <v>1.3706718256334204E-2</v>
      </c>
      <c r="J151" s="137">
        <v>1.1648728118130353E-2</v>
      </c>
    </row>
    <row r="152" spans="1:10">
      <c r="A152" s="68">
        <v>3.82</v>
      </c>
      <c r="B152" s="69">
        <f t="shared" si="4"/>
        <v>3.8199999999999998E-2</v>
      </c>
      <c r="C152" s="70">
        <f t="shared" si="5"/>
        <v>7.3461538461538456E-4</v>
      </c>
      <c r="F152" s="71">
        <v>38660</v>
      </c>
      <c r="G152" s="69">
        <v>-7.7319284802468691E-3</v>
      </c>
      <c r="H152" s="137">
        <v>5.7632092792261934E-4</v>
      </c>
      <c r="I152" s="137">
        <v>1.770815384189843E-2</v>
      </c>
      <c r="J152" s="137">
        <v>-2.1255835239100636E-2</v>
      </c>
    </row>
    <row r="153" spans="1:10">
      <c r="A153" s="68">
        <v>3.87</v>
      </c>
      <c r="B153" s="69">
        <f t="shared" si="4"/>
        <v>3.8699999999999998E-2</v>
      </c>
      <c r="C153" s="70">
        <f t="shared" si="5"/>
        <v>7.4423076923076916E-4</v>
      </c>
      <c r="F153" s="71">
        <v>38667</v>
      </c>
      <c r="G153" s="69">
        <v>3.2312559704955127E-3</v>
      </c>
      <c r="H153" s="137">
        <v>8.4427779176327166E-3</v>
      </c>
      <c r="I153" s="137">
        <v>2.9595392814148647E-3</v>
      </c>
      <c r="J153" s="137">
        <v>3.3848086331381796E-2</v>
      </c>
    </row>
    <row r="154" spans="1:10">
      <c r="A154" s="68">
        <v>3.88</v>
      </c>
      <c r="B154" s="69">
        <f t="shared" si="4"/>
        <v>3.8800000000000001E-2</v>
      </c>
      <c r="C154" s="70">
        <f t="shared" si="5"/>
        <v>7.4615384615384615E-4</v>
      </c>
      <c r="F154" s="71">
        <v>38674</v>
      </c>
      <c r="G154" s="69">
        <v>1.002658625353239E-3</v>
      </c>
      <c r="H154" s="137">
        <v>1.2729069876211603E-3</v>
      </c>
      <c r="I154" s="137">
        <v>3.0445034956624569E-4</v>
      </c>
      <c r="J154" s="137">
        <v>-8.0273179691429056E-3</v>
      </c>
    </row>
    <row r="155" spans="1:10">
      <c r="A155" s="68">
        <v>3.92</v>
      </c>
      <c r="B155" s="69">
        <f t="shared" si="4"/>
        <v>3.9199999999999999E-2</v>
      </c>
      <c r="C155" s="70">
        <f t="shared" si="5"/>
        <v>7.5384615384615377E-4</v>
      </c>
      <c r="F155" s="71">
        <v>38681</v>
      </c>
      <c r="G155" s="69">
        <v>5.0199764724642229E-3</v>
      </c>
      <c r="H155" s="137">
        <v>1.0558478982979071E-2</v>
      </c>
      <c r="I155" s="137">
        <v>2.0681637648186278E-2</v>
      </c>
      <c r="J155" s="137">
        <v>4.9816441945529782E-3</v>
      </c>
    </row>
    <row r="156" spans="1:10">
      <c r="A156" s="68">
        <v>3.87</v>
      </c>
      <c r="B156" s="69">
        <f t="shared" si="4"/>
        <v>3.8699999999999998E-2</v>
      </c>
      <c r="C156" s="70">
        <f t="shared" si="5"/>
        <v>7.4423076923076916E-4</v>
      </c>
      <c r="F156" s="71">
        <v>38688</v>
      </c>
      <c r="G156" s="69">
        <v>-3.8564958492248074E-3</v>
      </c>
      <c r="H156" s="137">
        <v>4.1853072036622634E-3</v>
      </c>
      <c r="I156" s="137">
        <v>1.0397758460959467E-2</v>
      </c>
      <c r="J156" s="137">
        <v>-5.4726471104128123E-3</v>
      </c>
    </row>
    <row r="157" spans="1:10">
      <c r="A157" s="68">
        <v>3.88</v>
      </c>
      <c r="B157" s="69">
        <f t="shared" si="4"/>
        <v>3.8800000000000001E-2</v>
      </c>
      <c r="C157" s="70">
        <f t="shared" si="5"/>
        <v>7.4615384615384615E-4</v>
      </c>
      <c r="F157" s="71">
        <v>38695</v>
      </c>
      <c r="G157" s="69">
        <v>1.2218154008504858E-3</v>
      </c>
      <c r="H157" s="137">
        <v>1.415997198135802E-2</v>
      </c>
      <c r="I157" s="137">
        <v>-8.952315067292058E-3</v>
      </c>
      <c r="J157" s="137">
        <v>7.3526713254121363E-3</v>
      </c>
    </row>
    <row r="158" spans="1:10">
      <c r="A158" s="68">
        <v>3.91</v>
      </c>
      <c r="B158" s="69">
        <f t="shared" si="4"/>
        <v>3.9100000000000003E-2</v>
      </c>
      <c r="C158" s="70">
        <f t="shared" si="5"/>
        <v>7.51923076923077E-4</v>
      </c>
      <c r="F158" s="71">
        <v>38702</v>
      </c>
      <c r="G158" s="69">
        <v>1.0654407375670333E-2</v>
      </c>
      <c r="H158" s="137">
        <v>2.2730961772609793E-2</v>
      </c>
      <c r="I158" s="137">
        <v>7.7603507036084667E-3</v>
      </c>
      <c r="J158" s="137">
        <v>-1.329207725474677E-2</v>
      </c>
    </row>
    <row r="159" spans="1:10">
      <c r="A159" s="68">
        <v>3.83</v>
      </c>
      <c r="B159" s="69">
        <f t="shared" si="4"/>
        <v>3.8300000000000001E-2</v>
      </c>
      <c r="C159" s="70">
        <f t="shared" si="5"/>
        <v>7.3653846153846154E-4</v>
      </c>
      <c r="F159" s="71">
        <v>38709</v>
      </c>
      <c r="G159" s="69">
        <v>-1.4702007982482198E-5</v>
      </c>
      <c r="H159" s="137">
        <v>-1.2032615446649778E-2</v>
      </c>
      <c r="I159" s="137">
        <v>-9.8304227499657199E-3</v>
      </c>
      <c r="J159" s="137">
        <v>-1.2201599965653082E-2</v>
      </c>
    </row>
    <row r="160" spans="1:10">
      <c r="A160" s="68">
        <v>3.89</v>
      </c>
      <c r="B160" s="69">
        <f t="shared" si="4"/>
        <v>3.8900000000000004E-2</v>
      </c>
      <c r="C160" s="70">
        <f t="shared" si="5"/>
        <v>7.4807692307692314E-4</v>
      </c>
      <c r="F160" s="71">
        <v>38716</v>
      </c>
      <c r="G160" s="69">
        <v>-2.9352068121941905E-3</v>
      </c>
      <c r="H160" s="137">
        <v>-8.0137207402357427E-3</v>
      </c>
      <c r="I160" s="137">
        <v>-9.1859550612514562E-3</v>
      </c>
      <c r="J160" s="137">
        <v>7.2278870937371367E-3</v>
      </c>
    </row>
    <row r="161" spans="1:10">
      <c r="A161" s="68">
        <v>3.92</v>
      </c>
      <c r="B161" s="69">
        <f t="shared" si="4"/>
        <v>3.9199999999999999E-2</v>
      </c>
      <c r="C161" s="70">
        <f t="shared" si="5"/>
        <v>7.5384615384615377E-4</v>
      </c>
      <c r="F161" s="71">
        <v>38723</v>
      </c>
      <c r="G161" s="69">
        <v>1.2198503993324453E-2</v>
      </c>
      <c r="H161" s="137">
        <v>3.0695167324153744E-2</v>
      </c>
      <c r="I161" s="137">
        <v>2.0817262114213576E-2</v>
      </c>
      <c r="J161" s="137">
        <v>3.7246199957997071E-2</v>
      </c>
    </row>
    <row r="162" spans="1:10">
      <c r="A162" s="68">
        <v>4.0999999999999996</v>
      </c>
      <c r="B162" s="69">
        <f t="shared" si="4"/>
        <v>4.0999999999999995E-2</v>
      </c>
      <c r="C162" s="70">
        <f t="shared" si="5"/>
        <v>7.8846153846153834E-4</v>
      </c>
      <c r="F162" s="71">
        <v>38730</v>
      </c>
      <c r="G162" s="69">
        <v>4.4583139622593048E-4</v>
      </c>
      <c r="H162" s="137">
        <v>-3.813070352614893E-3</v>
      </c>
      <c r="I162" s="137">
        <v>1.4688001561329314E-3</v>
      </c>
      <c r="J162" s="137">
        <v>1.8923193843045902E-2</v>
      </c>
    </row>
    <row r="163" spans="1:10">
      <c r="A163" s="68">
        <v>4.2</v>
      </c>
      <c r="B163" s="69">
        <f t="shared" si="4"/>
        <v>4.2000000000000003E-2</v>
      </c>
      <c r="C163" s="70">
        <f t="shared" si="5"/>
        <v>8.0769230769230777E-4</v>
      </c>
      <c r="F163" s="71">
        <v>38737</v>
      </c>
      <c r="G163" s="69">
        <v>-3.8363128670555057E-3</v>
      </c>
      <c r="H163" s="137">
        <v>8.7793730702107973E-3</v>
      </c>
      <c r="I163" s="137">
        <v>2.1167272026464102E-3</v>
      </c>
      <c r="J163" s="137">
        <v>-1.9738465402317346E-2</v>
      </c>
    </row>
    <row r="164" spans="1:10">
      <c r="A164" s="68">
        <v>4.26</v>
      </c>
      <c r="B164" s="69">
        <f t="shared" si="4"/>
        <v>4.2599999999999999E-2</v>
      </c>
      <c r="C164" s="70">
        <f t="shared" si="5"/>
        <v>8.1923076923076925E-4</v>
      </c>
      <c r="F164" s="71">
        <v>38744</v>
      </c>
      <c r="G164" s="69">
        <v>-3.9941410633297239E-3</v>
      </c>
      <c r="H164" s="137">
        <v>9.5857805116231782E-3</v>
      </c>
      <c r="I164" s="137">
        <v>1.1633575137802015E-2</v>
      </c>
      <c r="J164" s="137">
        <v>6.0755887949623215E-4</v>
      </c>
    </row>
    <row r="165" spans="1:10">
      <c r="A165" s="68">
        <v>4.32</v>
      </c>
      <c r="B165" s="69">
        <f t="shared" si="4"/>
        <v>4.3200000000000002E-2</v>
      </c>
      <c r="C165" s="70">
        <f t="shared" si="5"/>
        <v>8.3076923076923085E-4</v>
      </c>
      <c r="F165" s="71">
        <v>38751</v>
      </c>
      <c r="G165" s="69">
        <v>-5.3703864612389051E-3</v>
      </c>
      <c r="H165" s="137">
        <v>7.752436740581496E-3</v>
      </c>
      <c r="I165" s="137">
        <v>-6.6116512205822266E-3</v>
      </c>
      <c r="J165" s="137">
        <v>-2.6807245954247359E-2</v>
      </c>
    </row>
    <row r="166" spans="1:10">
      <c r="A166" s="68">
        <v>4.37</v>
      </c>
      <c r="B166" s="69">
        <f t="shared" si="4"/>
        <v>4.3700000000000003E-2</v>
      </c>
      <c r="C166" s="70">
        <f t="shared" si="5"/>
        <v>8.4038461538461545E-4</v>
      </c>
      <c r="F166" s="71">
        <v>38758</v>
      </c>
      <c r="G166" s="69">
        <v>-2.486485500258092E-3</v>
      </c>
      <c r="H166" s="137">
        <v>1.6319739061143763E-2</v>
      </c>
      <c r="I166" s="137">
        <v>-1.5159347075949887E-3</v>
      </c>
      <c r="J166" s="137">
        <v>-1.2989234194577683E-2</v>
      </c>
    </row>
    <row r="167" spans="1:10">
      <c r="A167" s="68">
        <v>4.4000000000000004</v>
      </c>
      <c r="B167" s="69">
        <f t="shared" si="4"/>
        <v>4.4000000000000004E-2</v>
      </c>
      <c r="C167" s="70">
        <f t="shared" si="5"/>
        <v>8.461538461538462E-4</v>
      </c>
      <c r="F167" s="71">
        <v>38765</v>
      </c>
      <c r="G167" s="69">
        <v>2.4281187268204614E-3</v>
      </c>
      <c r="H167" s="137">
        <v>9.5090164651317841E-3</v>
      </c>
      <c r="I167" s="137">
        <v>8.1971199508586029E-3</v>
      </c>
      <c r="J167" s="137">
        <v>-5.6086664641451928E-3</v>
      </c>
    </row>
    <row r="168" spans="1:10">
      <c r="A168" s="68">
        <v>4.4400000000000004</v>
      </c>
      <c r="B168" s="69">
        <f t="shared" si="4"/>
        <v>4.4400000000000002E-2</v>
      </c>
      <c r="C168" s="70">
        <f t="shared" si="5"/>
        <v>8.5384615384615393E-4</v>
      </c>
      <c r="F168" s="71">
        <v>38772</v>
      </c>
      <c r="G168" s="69">
        <v>4.2913994910589971E-4</v>
      </c>
      <c r="H168" s="137">
        <v>1.5205803773852463E-2</v>
      </c>
      <c r="I168" s="137">
        <v>1.3656669309418539E-2</v>
      </c>
      <c r="J168" s="137">
        <v>3.0631403144479454E-2</v>
      </c>
    </row>
    <row r="169" spans="1:10">
      <c r="A169" s="68">
        <v>4.47</v>
      </c>
      <c r="B169" s="69">
        <f t="shared" si="4"/>
        <v>4.4699999999999997E-2</v>
      </c>
      <c r="C169" s="70">
        <f t="shared" si="5"/>
        <v>8.5961538461538456E-4</v>
      </c>
      <c r="F169" s="71">
        <v>38779</v>
      </c>
      <c r="G169" s="69">
        <v>-2.9367157094213484E-3</v>
      </c>
      <c r="H169" s="137">
        <v>-5.9600526181270101E-3</v>
      </c>
      <c r="I169" s="137">
        <v>-1.9258929247849412E-2</v>
      </c>
      <c r="J169" s="137">
        <v>-1.3961195881633926E-2</v>
      </c>
    </row>
    <row r="170" spans="1:10">
      <c r="A170" s="68">
        <v>4.5</v>
      </c>
      <c r="B170" s="69">
        <f t="shared" si="4"/>
        <v>4.4999999999999998E-2</v>
      </c>
      <c r="C170" s="70">
        <f t="shared" si="5"/>
        <v>8.653846153846153E-4</v>
      </c>
      <c r="F170" s="71">
        <v>38786</v>
      </c>
      <c r="G170" s="69">
        <v>-7.3872827748536207E-3</v>
      </c>
      <c r="H170" s="137">
        <v>-1.9358616433395964E-2</v>
      </c>
      <c r="I170" s="137">
        <v>-1.740119733373793E-2</v>
      </c>
      <c r="J170" s="137">
        <v>7.4056378858724532E-3</v>
      </c>
    </row>
    <row r="171" spans="1:10">
      <c r="A171" s="68">
        <v>4.49</v>
      </c>
      <c r="B171" s="69">
        <f t="shared" si="4"/>
        <v>4.4900000000000002E-2</v>
      </c>
      <c r="C171" s="70">
        <f t="shared" si="5"/>
        <v>8.6346153846153853E-4</v>
      </c>
      <c r="F171" s="71">
        <v>38793</v>
      </c>
      <c r="G171" s="69">
        <v>1.0597911150269959E-2</v>
      </c>
      <c r="H171" s="137">
        <v>3.1912558189292575E-2</v>
      </c>
      <c r="I171" s="137">
        <v>1.1666786313688567E-2</v>
      </c>
      <c r="J171" s="137">
        <v>2.232811642210457E-4</v>
      </c>
    </row>
    <row r="172" spans="1:10">
      <c r="A172" s="68">
        <v>4.5</v>
      </c>
      <c r="B172" s="69">
        <f t="shared" si="4"/>
        <v>4.4999999999999998E-2</v>
      </c>
      <c r="C172" s="70">
        <f t="shared" si="5"/>
        <v>8.653846153846153E-4</v>
      </c>
      <c r="F172" s="71">
        <v>38800</v>
      </c>
      <c r="G172" s="69">
        <v>-3.2214906739807705E-3</v>
      </c>
      <c r="H172" s="137">
        <v>-1.3506090963799249E-2</v>
      </c>
      <c r="I172" s="137">
        <v>-9.1435622644567421E-3</v>
      </c>
      <c r="J172" s="137">
        <v>-2.3607710897126061E-2</v>
      </c>
    </row>
    <row r="173" spans="1:10">
      <c r="A173" s="68">
        <v>4.5599999999999996</v>
      </c>
      <c r="B173" s="69">
        <f t="shared" si="4"/>
        <v>4.5599999999999995E-2</v>
      </c>
      <c r="C173" s="70">
        <f t="shared" si="5"/>
        <v>8.7692307692307679E-4</v>
      </c>
      <c r="F173" s="71">
        <v>38807</v>
      </c>
      <c r="G173" s="69">
        <v>-6.5480845471869468E-3</v>
      </c>
      <c r="H173" s="137">
        <v>-1.102572175095947E-2</v>
      </c>
      <c r="I173" s="137">
        <v>-1.0270773524650051E-2</v>
      </c>
      <c r="J173" s="137">
        <v>1.1838123149890785E-2</v>
      </c>
    </row>
    <row r="174" spans="1:10">
      <c r="A174" s="68">
        <v>4.51</v>
      </c>
      <c r="B174" s="69">
        <f t="shared" si="4"/>
        <v>4.5100000000000001E-2</v>
      </c>
      <c r="C174" s="70">
        <f t="shared" si="5"/>
        <v>8.6730769230769229E-4</v>
      </c>
      <c r="F174" s="71">
        <v>38814</v>
      </c>
      <c r="G174" s="69">
        <v>-3.5142238771362143E-3</v>
      </c>
      <c r="H174" s="137">
        <v>1.1135426367405337E-2</v>
      </c>
      <c r="I174" s="137">
        <v>1.0752344942433442E-3</v>
      </c>
      <c r="J174" s="137">
        <v>2.432745655641444E-2</v>
      </c>
    </row>
    <row r="175" spans="1:10">
      <c r="A175" s="68">
        <v>4.5599999999999996</v>
      </c>
      <c r="B175" s="69">
        <f t="shared" si="4"/>
        <v>4.5599999999999995E-2</v>
      </c>
      <c r="C175" s="70">
        <f t="shared" si="5"/>
        <v>8.7692307692307679E-4</v>
      </c>
      <c r="F175" s="71">
        <v>38821</v>
      </c>
      <c r="G175" s="69">
        <v>-4.6281032126883285E-3</v>
      </c>
      <c r="H175" s="137">
        <v>-1.1545053132300323E-2</v>
      </c>
      <c r="I175" s="137">
        <v>-8.0751393598841072E-3</v>
      </c>
      <c r="J175" s="137">
        <v>-3.0748294608638701E-2</v>
      </c>
    </row>
    <row r="176" spans="1:10">
      <c r="A176" s="68">
        <v>4.58</v>
      </c>
      <c r="B176" s="69">
        <f t="shared" si="4"/>
        <v>4.58E-2</v>
      </c>
      <c r="C176" s="70">
        <f t="shared" si="5"/>
        <v>8.8076923076923076E-4</v>
      </c>
      <c r="F176" s="71">
        <v>38828</v>
      </c>
      <c r="G176" s="69">
        <v>8.7316865790878183E-3</v>
      </c>
      <c r="H176" s="137">
        <v>4.4245169168365531E-2</v>
      </c>
      <c r="I176" s="137">
        <v>2.2844737497290608E-2</v>
      </c>
      <c r="J176" s="137">
        <v>1.9618526426975064E-2</v>
      </c>
    </row>
    <row r="177" spans="1:10">
      <c r="A177" s="68">
        <v>4.6100000000000003</v>
      </c>
      <c r="B177" s="69">
        <f t="shared" si="4"/>
        <v>4.6100000000000002E-2</v>
      </c>
      <c r="C177" s="70">
        <f t="shared" si="5"/>
        <v>8.8653846153846161E-4</v>
      </c>
      <c r="F177" s="71">
        <v>38835</v>
      </c>
      <c r="G177" s="69">
        <v>2.1745368772770014E-3</v>
      </c>
      <c r="H177" s="137">
        <v>1.4658856278408875E-2</v>
      </c>
      <c r="I177" s="137">
        <v>1.1412577284464046E-2</v>
      </c>
      <c r="J177" s="137">
        <v>7.6154877122127538E-3</v>
      </c>
    </row>
    <row r="178" spans="1:10">
      <c r="A178" s="68">
        <v>4.66</v>
      </c>
      <c r="B178" s="69">
        <f t="shared" si="4"/>
        <v>4.6600000000000003E-2</v>
      </c>
      <c r="C178" s="70">
        <f t="shared" si="5"/>
        <v>8.9615384615384622E-4</v>
      </c>
      <c r="F178" s="71">
        <v>38842</v>
      </c>
      <c r="G178" s="69">
        <v>5.5569478744813593E-3</v>
      </c>
      <c r="H178" s="137">
        <v>1.9656368213370346E-2</v>
      </c>
      <c r="I178" s="137">
        <v>1.4778809519668321E-2</v>
      </c>
      <c r="J178" s="137">
        <v>2.4043430846592724E-3</v>
      </c>
    </row>
    <row r="179" spans="1:10">
      <c r="A179" s="68">
        <v>4.6900000000000004</v>
      </c>
      <c r="B179" s="69">
        <f t="shared" si="4"/>
        <v>4.6900000000000004E-2</v>
      </c>
      <c r="C179" s="70">
        <f t="shared" si="5"/>
        <v>9.0192307692307696E-4</v>
      </c>
      <c r="F179" s="71">
        <v>38849</v>
      </c>
      <c r="G179" s="69">
        <v>-3.5061084450428654E-3</v>
      </c>
      <c r="H179" s="137">
        <v>-8.3712427375475778E-3</v>
      </c>
      <c r="I179" s="137">
        <v>-3.132132480273575E-2</v>
      </c>
      <c r="J179" s="137">
        <v>-3.132228444657232E-3</v>
      </c>
    </row>
    <row r="180" spans="1:10">
      <c r="A180" s="68">
        <v>4.74</v>
      </c>
      <c r="B180" s="69">
        <f t="shared" si="4"/>
        <v>4.7400000000000005E-2</v>
      </c>
      <c r="C180" s="70">
        <f t="shared" si="5"/>
        <v>9.1153846153846168E-4</v>
      </c>
      <c r="F180" s="71">
        <v>38856</v>
      </c>
      <c r="G180" s="69">
        <v>-9.1658467605143024E-4</v>
      </c>
      <c r="H180" s="137">
        <v>-2.840891322834347E-2</v>
      </c>
      <c r="I180" s="137">
        <v>-2.6064337666323087E-2</v>
      </c>
      <c r="J180" s="137">
        <v>-3.9056063757715191E-2</v>
      </c>
    </row>
    <row r="181" spans="1:10">
      <c r="A181" s="68">
        <v>4.71</v>
      </c>
      <c r="B181" s="69">
        <f t="shared" si="4"/>
        <v>4.7100000000000003E-2</v>
      </c>
      <c r="C181" s="70">
        <f t="shared" si="5"/>
        <v>9.0576923076923083E-4</v>
      </c>
      <c r="F181" s="71">
        <v>38863</v>
      </c>
      <c r="G181" s="69">
        <v>-2.6587772733745727E-4</v>
      </c>
      <c r="H181" s="137">
        <v>1.8077690522660401E-2</v>
      </c>
      <c r="I181" s="137">
        <v>1.8442763436808216E-2</v>
      </c>
      <c r="J181" s="137">
        <v>-2.4269040865586783E-3</v>
      </c>
    </row>
    <row r="182" spans="1:10">
      <c r="A182" s="68">
        <v>4.71</v>
      </c>
      <c r="B182" s="69">
        <f t="shared" si="4"/>
        <v>4.7100000000000003E-2</v>
      </c>
      <c r="C182" s="70">
        <f t="shared" si="5"/>
        <v>9.0576923076923083E-4</v>
      </c>
      <c r="F182" s="71">
        <v>38870</v>
      </c>
      <c r="G182" s="69">
        <v>4.8335296289514253E-3</v>
      </c>
      <c r="H182" s="137">
        <v>2.6319707646159544E-2</v>
      </c>
      <c r="I182" s="137">
        <v>3.0631489059929722E-2</v>
      </c>
      <c r="J182" s="137">
        <v>1.1379173251369995E-2</v>
      </c>
    </row>
    <row r="183" spans="1:10">
      <c r="A183" s="68">
        <v>4.72</v>
      </c>
      <c r="B183" s="69">
        <f t="shared" si="4"/>
        <v>4.7199999999999999E-2</v>
      </c>
      <c r="C183" s="70">
        <f t="shared" si="5"/>
        <v>9.076923076923077E-4</v>
      </c>
      <c r="F183" s="71">
        <v>38877</v>
      </c>
      <c r="G183" s="69">
        <v>-9.5004255837525826E-3</v>
      </c>
      <c r="H183" s="137">
        <v>-3.0464339922575828E-2</v>
      </c>
      <c r="I183" s="137">
        <v>-2.5321040191874738E-2</v>
      </c>
      <c r="J183" s="137">
        <v>9.0398321804473648E-3</v>
      </c>
    </row>
    <row r="184" spans="1:10">
      <c r="A184" s="68">
        <v>4.74</v>
      </c>
      <c r="B184" s="69">
        <f t="shared" si="4"/>
        <v>4.7400000000000005E-2</v>
      </c>
      <c r="C184" s="70">
        <f t="shared" si="5"/>
        <v>9.1153846153846168E-4</v>
      </c>
      <c r="F184" s="71">
        <v>38884</v>
      </c>
      <c r="G184" s="69">
        <v>-6.947094327444182E-3</v>
      </c>
      <c r="H184" s="137">
        <v>-2.7117556439956916E-3</v>
      </c>
      <c r="I184" s="137">
        <v>-4.5602224344515E-3</v>
      </c>
      <c r="J184" s="137">
        <v>-8.2738220638123826E-3</v>
      </c>
    </row>
    <row r="185" spans="1:10">
      <c r="A185" s="68">
        <v>4.76</v>
      </c>
      <c r="B185" s="69">
        <f t="shared" si="4"/>
        <v>4.7599999999999996E-2</v>
      </c>
      <c r="C185" s="70">
        <f t="shared" si="5"/>
        <v>9.1538461538461533E-4</v>
      </c>
      <c r="F185" s="71">
        <v>38891</v>
      </c>
      <c r="G185" s="69">
        <v>-6.1015434136333507E-3</v>
      </c>
      <c r="H185" s="137">
        <v>-4.4611383880185424E-4</v>
      </c>
      <c r="I185" s="137">
        <v>-5.332588256981843E-4</v>
      </c>
      <c r="J185" s="137">
        <v>-1.9535700908530775E-2</v>
      </c>
    </row>
    <row r="186" spans="1:10">
      <c r="A186" s="68">
        <v>4.8099999999999996</v>
      </c>
      <c r="B186" s="69">
        <f t="shared" si="4"/>
        <v>4.8099999999999997E-2</v>
      </c>
      <c r="C186" s="70">
        <f t="shared" si="5"/>
        <v>9.2499999999999993E-4</v>
      </c>
      <c r="F186" s="71">
        <v>38898</v>
      </c>
      <c r="G186" s="69">
        <v>9.2695760183803023E-3</v>
      </c>
      <c r="H186" s="137">
        <v>1.7661735582930549E-2</v>
      </c>
      <c r="I186" s="137">
        <v>2.4731649107232995E-2</v>
      </c>
      <c r="J186" s="137">
        <v>4.8792466750987246E-3</v>
      </c>
    </row>
    <row r="187" spans="1:10">
      <c r="A187" s="68">
        <v>4.8899999999999997</v>
      </c>
      <c r="B187" s="69">
        <f t="shared" si="4"/>
        <v>4.8899999999999999E-2</v>
      </c>
      <c r="C187" s="70">
        <f t="shared" si="5"/>
        <v>9.4038461538461539E-4</v>
      </c>
      <c r="F187" s="71">
        <v>38905</v>
      </c>
      <c r="G187" s="69">
        <v>4.3592044018905948E-4</v>
      </c>
      <c r="H187" s="137">
        <v>1.3105692940841565E-2</v>
      </c>
      <c r="I187" s="137">
        <v>7.1650416985182333E-3</v>
      </c>
      <c r="J187" s="137">
        <v>1.0976371840852563E-2</v>
      </c>
    </row>
    <row r="188" spans="1:10">
      <c r="A188" s="68">
        <v>4.9000000000000004</v>
      </c>
      <c r="B188" s="69">
        <f t="shared" si="4"/>
        <v>4.9000000000000002E-2</v>
      </c>
      <c r="C188" s="70">
        <f t="shared" si="5"/>
        <v>9.4230769230769238E-4</v>
      </c>
      <c r="F188" s="71">
        <v>38912</v>
      </c>
      <c r="G188" s="69">
        <v>-4.3781753967551034E-3</v>
      </c>
      <c r="H188" s="137">
        <v>-3.0947491568644816E-2</v>
      </c>
      <c r="I188" s="137">
        <v>-1.2181466321252443E-2</v>
      </c>
      <c r="J188" s="137">
        <v>-2.1665348822584415E-2</v>
      </c>
    </row>
    <row r="189" spans="1:10">
      <c r="A189" s="68">
        <v>4.93</v>
      </c>
      <c r="B189" s="69">
        <f t="shared" si="4"/>
        <v>4.9299999999999997E-2</v>
      </c>
      <c r="C189" s="70">
        <f t="shared" si="5"/>
        <v>9.4807692307692301E-4</v>
      </c>
      <c r="F189" s="71">
        <v>38919</v>
      </c>
      <c r="G189" s="69">
        <v>2.4034451246948787E-3</v>
      </c>
      <c r="H189" s="137">
        <v>1.9994274519922271E-2</v>
      </c>
      <c r="I189" s="137">
        <v>1.6313870337320846E-2</v>
      </c>
      <c r="J189" s="137">
        <v>4.4530949077616457E-3</v>
      </c>
    </row>
    <row r="190" spans="1:10">
      <c r="A190" s="68">
        <v>4.97</v>
      </c>
      <c r="B190" s="69">
        <f t="shared" si="4"/>
        <v>4.9699999999999994E-2</v>
      </c>
      <c r="C190" s="70">
        <f t="shared" si="5"/>
        <v>9.5576923076923063E-4</v>
      </c>
      <c r="F190" s="71">
        <v>38926</v>
      </c>
      <c r="G190" s="69">
        <v>8.2071661082217529E-3</v>
      </c>
      <c r="H190" s="137">
        <v>3.1843954934337615E-2</v>
      </c>
      <c r="I190" s="137">
        <v>2.908249148472276E-2</v>
      </c>
      <c r="J190" s="137">
        <v>1.4855107755950433E-3</v>
      </c>
    </row>
    <row r="191" spans="1:10">
      <c r="A191" s="68">
        <v>4.97</v>
      </c>
      <c r="B191" s="69">
        <f t="shared" si="4"/>
        <v>4.9699999999999994E-2</v>
      </c>
      <c r="C191" s="70">
        <f t="shared" si="5"/>
        <v>9.5576923076923063E-4</v>
      </c>
      <c r="F191" s="71">
        <v>38933</v>
      </c>
      <c r="G191" s="69">
        <v>5.6296407924566064E-3</v>
      </c>
      <c r="H191" s="137">
        <v>1.5459799328790895E-2</v>
      </c>
      <c r="I191" s="137">
        <v>-4.7939011248926272E-3</v>
      </c>
      <c r="J191" s="137">
        <v>4.3315357812585718E-3</v>
      </c>
    </row>
    <row r="192" spans="1:10">
      <c r="A192" s="68">
        <v>4.97</v>
      </c>
      <c r="B192" s="69">
        <f t="shared" si="4"/>
        <v>4.9699999999999994E-2</v>
      </c>
      <c r="C192" s="70">
        <f t="shared" si="5"/>
        <v>9.5576923076923063E-4</v>
      </c>
      <c r="F192" s="71">
        <v>38940</v>
      </c>
      <c r="G192" s="69">
        <v>-6.8890783089243573E-3</v>
      </c>
      <c r="H192" s="137">
        <v>-1.416447924310353E-3</v>
      </c>
      <c r="I192" s="137">
        <v>-8.5282529818413184E-3</v>
      </c>
      <c r="J192" s="137">
        <v>1.0085125289721992E-2</v>
      </c>
    </row>
    <row r="193" spans="1:10">
      <c r="A193" s="68">
        <v>4.95</v>
      </c>
      <c r="B193" s="69">
        <f t="shared" si="4"/>
        <v>4.9500000000000002E-2</v>
      </c>
      <c r="C193" s="70">
        <f t="shared" si="5"/>
        <v>9.5192307692307698E-4</v>
      </c>
      <c r="F193" s="71">
        <v>38947</v>
      </c>
      <c r="G193" s="69">
        <v>8.3664198199533951E-3</v>
      </c>
      <c r="H193" s="137">
        <v>3.1189272794505084E-3</v>
      </c>
      <c r="I193" s="137">
        <v>1.2806397046214172E-2</v>
      </c>
      <c r="J193" s="137">
        <v>-3.2981696055531576E-3</v>
      </c>
    </row>
    <row r="194" spans="1:10">
      <c r="A194" s="68">
        <v>4.97</v>
      </c>
      <c r="B194" s="69">
        <f t="shared" si="4"/>
        <v>4.9699999999999994E-2</v>
      </c>
      <c r="C194" s="70">
        <f t="shared" si="5"/>
        <v>9.5576923076923063E-4</v>
      </c>
      <c r="F194" s="71">
        <v>38954</v>
      </c>
      <c r="G194" s="69">
        <v>-8.4595314484682679E-5</v>
      </c>
      <c r="H194" s="137">
        <v>-3.0059753935335635E-5</v>
      </c>
      <c r="I194" s="137">
        <v>-1.4814046864898168E-3</v>
      </c>
      <c r="J194" s="137">
        <v>3.1237071875090203E-3</v>
      </c>
    </row>
    <row r="195" spans="1:10">
      <c r="A195" s="68">
        <v>4.97</v>
      </c>
      <c r="B195" s="69">
        <f t="shared" si="4"/>
        <v>4.9699999999999994E-2</v>
      </c>
      <c r="C195" s="70">
        <f t="shared" si="5"/>
        <v>9.5576923076923063E-4</v>
      </c>
      <c r="F195" s="71">
        <v>38961</v>
      </c>
      <c r="G195" s="69">
        <v>4.7745884137467059E-3</v>
      </c>
      <c r="H195" s="137">
        <v>2.690495547481558E-2</v>
      </c>
      <c r="I195" s="137">
        <v>1.5580582591903491E-2</v>
      </c>
      <c r="J195" s="137">
        <v>1.9186183960044196E-2</v>
      </c>
    </row>
    <row r="196" spans="1:10">
      <c r="A196" s="68">
        <v>4.93</v>
      </c>
      <c r="B196" s="69">
        <f t="shared" si="4"/>
        <v>4.9299999999999997E-2</v>
      </c>
      <c r="C196" s="70">
        <f t="shared" si="5"/>
        <v>9.4807692307692301E-4</v>
      </c>
      <c r="F196" s="71">
        <v>38968</v>
      </c>
      <c r="G196" s="69">
        <v>-4.4859920526055174E-3</v>
      </c>
      <c r="H196" s="137">
        <v>-2.0876145529900036E-2</v>
      </c>
      <c r="I196" s="137">
        <v>-2.0864990523854016E-2</v>
      </c>
      <c r="J196" s="137">
        <v>-1.8098458636466454E-2</v>
      </c>
    </row>
    <row r="197" spans="1:10">
      <c r="A197" s="68">
        <v>4.84</v>
      </c>
      <c r="B197" s="69">
        <f t="shared" si="4"/>
        <v>4.8399999999999999E-2</v>
      </c>
      <c r="C197" s="70">
        <f t="shared" si="5"/>
        <v>9.3076923076923078E-4</v>
      </c>
      <c r="F197" s="71">
        <v>38975</v>
      </c>
      <c r="G197" s="69">
        <v>-7.078048463375528E-4</v>
      </c>
      <c r="H197" s="137">
        <v>2.443412678172328E-2</v>
      </c>
      <c r="I197" s="137">
        <v>1.5326272576448889E-2</v>
      </c>
      <c r="J197" s="137">
        <v>1.8348270249260441E-3</v>
      </c>
    </row>
    <row r="198" spans="1:10">
      <c r="A198" s="68">
        <v>4.8099999999999996</v>
      </c>
      <c r="B198" s="69">
        <f t="shared" ref="B198:B261" si="6">+A198/100</f>
        <v>4.8099999999999997E-2</v>
      </c>
      <c r="C198" s="70">
        <f t="shared" ref="C198:C261" si="7">+B198/52</f>
        <v>9.2499999999999993E-4</v>
      </c>
      <c r="F198" s="71">
        <v>38982</v>
      </c>
      <c r="G198" s="69">
        <v>9.2252882643016048E-3</v>
      </c>
      <c r="H198" s="137">
        <v>1.207634309526932E-2</v>
      </c>
      <c r="I198" s="137">
        <v>-1.0370363185345463E-2</v>
      </c>
      <c r="J198" s="137">
        <v>1.1959125245907842E-2</v>
      </c>
    </row>
    <row r="199" spans="1:10">
      <c r="A199" s="68">
        <v>4.8099999999999996</v>
      </c>
      <c r="B199" s="69">
        <f t="shared" si="6"/>
        <v>4.8099999999999997E-2</v>
      </c>
      <c r="C199" s="70">
        <f t="shared" si="7"/>
        <v>9.2499999999999993E-4</v>
      </c>
      <c r="F199" s="71">
        <v>38989</v>
      </c>
      <c r="G199" s="69">
        <v>-2.8372204228107583E-3</v>
      </c>
      <c r="H199" s="137">
        <v>8.0352684921215153E-3</v>
      </c>
      <c r="I199" s="137">
        <v>1.1504217058398863E-2</v>
      </c>
      <c r="J199" s="137">
        <v>7.3415268404821545E-3</v>
      </c>
    </row>
    <row r="200" spans="1:10">
      <c r="A200" s="68">
        <v>4.76</v>
      </c>
      <c r="B200" s="69">
        <f t="shared" si="6"/>
        <v>4.7599999999999996E-2</v>
      </c>
      <c r="C200" s="70">
        <f t="shared" si="7"/>
        <v>9.1538461538461533E-4</v>
      </c>
      <c r="F200" s="71">
        <v>38996</v>
      </c>
      <c r="G200" s="69">
        <v>-3.1009538778393481E-3</v>
      </c>
      <c r="H200" s="137">
        <v>1.0812788307104172E-2</v>
      </c>
      <c r="I200" s="137">
        <v>-1.5606785894190355E-3</v>
      </c>
      <c r="J200" s="137">
        <v>1.0546703415319976E-2</v>
      </c>
    </row>
    <row r="201" spans="1:10">
      <c r="A201" s="68">
        <v>4.79</v>
      </c>
      <c r="B201" s="69">
        <f t="shared" si="6"/>
        <v>4.7899999999999998E-2</v>
      </c>
      <c r="C201" s="70">
        <f t="shared" si="7"/>
        <v>9.2115384615384607E-4</v>
      </c>
      <c r="F201" s="71">
        <v>39003</v>
      </c>
      <c r="G201" s="69">
        <v>-4.9233897053111205E-3</v>
      </c>
      <c r="H201" s="137">
        <v>-3.2382628752625209E-3</v>
      </c>
      <c r="I201" s="137">
        <v>1.858361227892176E-2</v>
      </c>
      <c r="J201" s="137">
        <v>1.8581426313623514E-3</v>
      </c>
    </row>
    <row r="202" spans="1:10">
      <c r="A202" s="68">
        <v>4.9000000000000004</v>
      </c>
      <c r="B202" s="69">
        <f t="shared" si="6"/>
        <v>4.9000000000000002E-2</v>
      </c>
      <c r="C202" s="70">
        <f t="shared" si="7"/>
        <v>9.4230769230769238E-4</v>
      </c>
      <c r="F202" s="71">
        <v>39010</v>
      </c>
      <c r="G202" s="69">
        <v>3.6633570743522179E-3</v>
      </c>
      <c r="H202" s="137">
        <v>6.6555832266164041E-3</v>
      </c>
      <c r="I202" s="137">
        <v>1.1931708952132825E-2</v>
      </c>
      <c r="J202" s="137">
        <v>1.3383524096461452E-2</v>
      </c>
    </row>
    <row r="203" spans="1:10">
      <c r="A203" s="68">
        <v>4.96</v>
      </c>
      <c r="B203" s="69">
        <f t="shared" si="6"/>
        <v>4.9599999999999998E-2</v>
      </c>
      <c r="C203" s="70">
        <f t="shared" si="7"/>
        <v>9.5384615384615386E-4</v>
      </c>
      <c r="F203" s="71">
        <v>39017</v>
      </c>
      <c r="G203" s="69">
        <v>7.3090611707305317E-3</v>
      </c>
      <c r="H203" s="137">
        <v>8.528190978870873E-3</v>
      </c>
      <c r="I203" s="137">
        <v>8.4279641255712162E-3</v>
      </c>
      <c r="J203" s="137">
        <v>1.3936022914238032E-2</v>
      </c>
    </row>
    <row r="204" spans="1:10">
      <c r="A204" s="68">
        <v>4.99</v>
      </c>
      <c r="B204" s="69">
        <f t="shared" si="6"/>
        <v>4.99E-2</v>
      </c>
      <c r="C204" s="70">
        <f t="shared" si="7"/>
        <v>9.5961538461538461E-4</v>
      </c>
      <c r="F204" s="71">
        <v>39024</v>
      </c>
      <c r="G204" s="69">
        <v>-1.8195890155005929E-3</v>
      </c>
      <c r="H204" s="137">
        <v>5.5203072713190201E-4</v>
      </c>
      <c r="I204" s="137">
        <v>-1.7434356269635013E-3</v>
      </c>
      <c r="J204" s="137">
        <v>-1.1291378066478365E-3</v>
      </c>
    </row>
    <row r="205" spans="1:10">
      <c r="A205" s="68">
        <v>4.95</v>
      </c>
      <c r="B205" s="69">
        <f t="shared" si="6"/>
        <v>4.9500000000000002E-2</v>
      </c>
      <c r="C205" s="70">
        <f t="shared" si="7"/>
        <v>9.5192307692307698E-4</v>
      </c>
      <c r="F205" s="71">
        <v>39031</v>
      </c>
      <c r="G205" s="69">
        <v>7.6039554318407584E-3</v>
      </c>
      <c r="H205" s="137">
        <v>4.0405166599806926E-2</v>
      </c>
      <c r="I205" s="137">
        <v>2.7377272079229485E-3</v>
      </c>
      <c r="J205" s="137">
        <v>6.7404542465484647E-3</v>
      </c>
    </row>
    <row r="206" spans="1:10">
      <c r="A206" s="68">
        <v>4.96</v>
      </c>
      <c r="B206" s="69">
        <f t="shared" si="6"/>
        <v>4.9599999999999998E-2</v>
      </c>
      <c r="C206" s="70">
        <f t="shared" si="7"/>
        <v>9.5384615384615386E-4</v>
      </c>
      <c r="F206" s="71">
        <v>39038</v>
      </c>
      <c r="G206" s="69">
        <v>-6.1145021247110639E-4</v>
      </c>
      <c r="H206" s="137">
        <v>1.3070020036818949E-2</v>
      </c>
      <c r="I206" s="137">
        <v>1.4663723232277694E-2</v>
      </c>
      <c r="J206" s="137">
        <v>1.7826089442340071E-2</v>
      </c>
    </row>
    <row r="207" spans="1:10">
      <c r="A207" s="68">
        <v>4.96</v>
      </c>
      <c r="B207" s="69">
        <f t="shared" si="6"/>
        <v>4.9599999999999998E-2</v>
      </c>
      <c r="C207" s="70">
        <f t="shared" si="7"/>
        <v>9.5384615384615386E-4</v>
      </c>
      <c r="F207" s="71">
        <v>39045</v>
      </c>
      <c r="G207" s="69">
        <v>6.4900161216772077E-3</v>
      </c>
      <c r="H207" s="137">
        <v>1.9637881269335768E-2</v>
      </c>
      <c r="I207" s="137">
        <v>7.9436236582459772E-3</v>
      </c>
      <c r="J207" s="137">
        <v>1.8118725502882484E-2</v>
      </c>
    </row>
    <row r="208" spans="1:10">
      <c r="A208" s="68">
        <v>4.93</v>
      </c>
      <c r="B208" s="69">
        <f t="shared" si="6"/>
        <v>4.9299999999999997E-2</v>
      </c>
      <c r="C208" s="70">
        <f t="shared" si="7"/>
        <v>9.4807692307692301E-4</v>
      </c>
      <c r="F208" s="71">
        <v>39052</v>
      </c>
      <c r="G208" s="69">
        <v>7.807156856942307E-3</v>
      </c>
      <c r="H208" s="137">
        <v>5.6675506586904107E-3</v>
      </c>
      <c r="I208" s="137">
        <v>1.2035567627392391E-3</v>
      </c>
      <c r="J208" s="137">
        <v>2.2679013669228511E-2</v>
      </c>
    </row>
    <row r="209" spans="1:10">
      <c r="A209" s="68">
        <v>4.91</v>
      </c>
      <c r="B209" s="69">
        <f t="shared" si="6"/>
        <v>4.9100000000000005E-2</v>
      </c>
      <c r="C209" s="70">
        <f t="shared" si="7"/>
        <v>9.4423076923076936E-4</v>
      </c>
      <c r="F209" s="71">
        <v>39059</v>
      </c>
      <c r="G209" s="69">
        <v>-4.0063697933472647E-3</v>
      </c>
      <c r="H209" s="137">
        <v>1.4367743034855017E-2</v>
      </c>
      <c r="I209" s="137">
        <v>-7.241475299183623E-5</v>
      </c>
      <c r="J209" s="137">
        <v>-3.5700473026241851E-3</v>
      </c>
    </row>
    <row r="210" spans="1:10">
      <c r="A210" s="68">
        <v>4.8600000000000003</v>
      </c>
      <c r="B210" s="69">
        <f t="shared" si="6"/>
        <v>4.8600000000000004E-2</v>
      </c>
      <c r="C210" s="70">
        <f t="shared" si="7"/>
        <v>9.3461538461538465E-4</v>
      </c>
      <c r="F210" s="71">
        <v>39066</v>
      </c>
      <c r="G210" s="69">
        <v>-3.803542147030492E-3</v>
      </c>
      <c r="H210" s="137">
        <v>4.7356869394004839E-3</v>
      </c>
      <c r="I210" s="137">
        <v>-2.0227434726105709E-3</v>
      </c>
      <c r="J210" s="137">
        <v>4.9852861957161397E-3</v>
      </c>
    </row>
    <row r="211" spans="1:10">
      <c r="A211" s="68">
        <v>4.8099999999999996</v>
      </c>
      <c r="B211" s="69">
        <f t="shared" si="6"/>
        <v>4.8099999999999997E-2</v>
      </c>
      <c r="C211" s="70">
        <f t="shared" si="7"/>
        <v>9.2499999999999993E-4</v>
      </c>
      <c r="F211" s="71">
        <v>39073</v>
      </c>
      <c r="G211" s="69">
        <v>-3.3391373492545765E-3</v>
      </c>
      <c r="H211" s="137">
        <v>-1.9441014933401102E-2</v>
      </c>
      <c r="I211" s="137">
        <v>-1.5231901198382235E-2</v>
      </c>
      <c r="J211" s="137">
        <v>5.3931775888564999E-3</v>
      </c>
    </row>
    <row r="212" spans="1:10">
      <c r="A212" s="68">
        <v>4.84</v>
      </c>
      <c r="B212" s="69">
        <f t="shared" si="6"/>
        <v>4.8399999999999999E-2</v>
      </c>
      <c r="C212" s="70">
        <f t="shared" si="7"/>
        <v>9.3076923076923078E-4</v>
      </c>
      <c r="F212" s="71">
        <v>39080</v>
      </c>
      <c r="G212" s="69">
        <v>-2.5085541524496021E-3</v>
      </c>
      <c r="H212" s="137">
        <v>3.0569706020252786E-3</v>
      </c>
      <c r="I212" s="137">
        <v>2.9980877489714855E-3</v>
      </c>
      <c r="J212" s="137">
        <v>9.2611092698421157E-3</v>
      </c>
    </row>
    <row r="213" spans="1:10">
      <c r="A213" s="68">
        <v>4.87</v>
      </c>
      <c r="B213" s="69">
        <f t="shared" si="6"/>
        <v>4.87E-2</v>
      </c>
      <c r="C213" s="70">
        <f t="shared" si="7"/>
        <v>9.3653846153846153E-4</v>
      </c>
      <c r="F213" s="71">
        <v>39087</v>
      </c>
      <c r="G213" s="69">
        <v>-5.805470895265196E-4</v>
      </c>
      <c r="H213" s="137">
        <v>-2.9585837843804363E-2</v>
      </c>
      <c r="I213" s="137">
        <v>-6.872271591639471E-3</v>
      </c>
      <c r="J213" s="137">
        <v>-1.1386226414852641E-2</v>
      </c>
    </row>
    <row r="214" spans="1:10">
      <c r="A214" s="68">
        <v>4.92</v>
      </c>
      <c r="B214" s="69">
        <f t="shared" si="6"/>
        <v>4.9200000000000001E-2</v>
      </c>
      <c r="C214" s="70">
        <f t="shared" si="7"/>
        <v>9.4615384615384613E-4</v>
      </c>
      <c r="F214" s="71">
        <v>39094</v>
      </c>
      <c r="G214" s="69">
        <v>-4.8481615535685063E-3</v>
      </c>
      <c r="H214" s="137">
        <v>1.4837293600378556E-2</v>
      </c>
      <c r="I214" s="137">
        <v>-6.8332675660346613E-4</v>
      </c>
      <c r="J214" s="137">
        <v>1.8178672820987226E-2</v>
      </c>
    </row>
    <row r="215" spans="1:10">
      <c r="A215" s="68">
        <v>4.96</v>
      </c>
      <c r="B215" s="69">
        <f t="shared" si="6"/>
        <v>4.9599999999999998E-2</v>
      </c>
      <c r="C215" s="70">
        <f t="shared" si="7"/>
        <v>9.5384615384615386E-4</v>
      </c>
      <c r="F215" s="71">
        <v>39101</v>
      </c>
      <c r="G215" s="69">
        <v>1.9816146986340055E-4</v>
      </c>
      <c r="H215" s="137">
        <v>3.1075853185549914E-3</v>
      </c>
      <c r="I215" s="137">
        <v>3.577871468692546E-3</v>
      </c>
      <c r="J215" s="137">
        <v>2.0338839425278737E-2</v>
      </c>
    </row>
    <row r="216" spans="1:10">
      <c r="A216" s="68">
        <v>4.99</v>
      </c>
      <c r="B216" s="69">
        <f t="shared" si="6"/>
        <v>4.99E-2</v>
      </c>
      <c r="C216" s="70">
        <f t="shared" si="7"/>
        <v>9.5961538461538461E-4</v>
      </c>
      <c r="F216" s="71">
        <v>39108</v>
      </c>
      <c r="G216" s="69">
        <v>-4.9911622558109388E-3</v>
      </c>
      <c r="H216" s="137">
        <v>1.8715819898507983E-3</v>
      </c>
      <c r="I216" s="137">
        <v>-1.6046861960630127E-3</v>
      </c>
      <c r="J216" s="137">
        <v>-1.2370394869122192E-2</v>
      </c>
    </row>
    <row r="217" spans="1:10">
      <c r="A217" s="68">
        <v>5</v>
      </c>
      <c r="B217" s="69">
        <f t="shared" si="6"/>
        <v>0.05</v>
      </c>
      <c r="C217" s="70">
        <f t="shared" si="7"/>
        <v>9.6153846153846159E-4</v>
      </c>
      <c r="F217" s="71">
        <v>39115</v>
      </c>
      <c r="G217" s="69">
        <v>4.9616186221479652E-3</v>
      </c>
      <c r="H217" s="137">
        <v>3.0376622435197977E-2</v>
      </c>
      <c r="I217" s="137">
        <v>3.6780919644594104E-3</v>
      </c>
      <c r="J217" s="137">
        <v>9.688106209756922E-3</v>
      </c>
    </row>
    <row r="218" spans="1:10">
      <c r="A218" s="68">
        <v>5</v>
      </c>
      <c r="B218" s="69">
        <f t="shared" si="6"/>
        <v>0.05</v>
      </c>
      <c r="C218" s="70">
        <f t="shared" si="7"/>
        <v>9.6153846153846159E-4</v>
      </c>
      <c r="F218" s="71">
        <v>39122</v>
      </c>
      <c r="G218" s="69">
        <v>6.6569425848144609E-4</v>
      </c>
      <c r="H218" s="137">
        <v>1.40159752488829E-2</v>
      </c>
      <c r="I218" s="137">
        <v>7.1288863291621577E-3</v>
      </c>
      <c r="J218" s="137">
        <v>1.2612770647869018E-2</v>
      </c>
    </row>
    <row r="219" spans="1:10">
      <c r="A219" s="68">
        <v>5.0199999999999996</v>
      </c>
      <c r="B219" s="69">
        <f t="shared" si="6"/>
        <v>5.0199999999999995E-2</v>
      </c>
      <c r="C219" s="70">
        <f t="shared" si="7"/>
        <v>9.6538461538461524E-4</v>
      </c>
      <c r="F219" s="71">
        <v>39129</v>
      </c>
      <c r="G219" s="69">
        <v>7.3647938447526356E-3</v>
      </c>
      <c r="H219" s="137">
        <v>2.2887372176109803E-3</v>
      </c>
      <c r="I219" s="137">
        <v>2.8207390252932051E-3</v>
      </c>
      <c r="J219" s="137">
        <v>9.827890718332696E-3</v>
      </c>
    </row>
    <row r="220" spans="1:10">
      <c r="A220" s="68">
        <v>5.03</v>
      </c>
      <c r="B220" s="69">
        <f t="shared" si="6"/>
        <v>5.0300000000000004E-2</v>
      </c>
      <c r="C220" s="70">
        <f t="shared" si="7"/>
        <v>9.6730769230769244E-4</v>
      </c>
      <c r="F220" s="71">
        <v>39136</v>
      </c>
      <c r="G220" s="69">
        <v>-2.2450621588584183E-4</v>
      </c>
      <c r="H220" s="137">
        <v>-3.2758584661421951E-3</v>
      </c>
      <c r="I220" s="137">
        <v>-7.7485987630455521E-4</v>
      </c>
      <c r="J220" s="137">
        <v>1.9019137147756354E-2</v>
      </c>
    </row>
    <row r="221" spans="1:10">
      <c r="A221" s="68">
        <v>5.05</v>
      </c>
      <c r="B221" s="69">
        <f t="shared" si="6"/>
        <v>5.0499999999999996E-2</v>
      </c>
      <c r="C221" s="70">
        <f t="shared" si="7"/>
        <v>9.7115384615384609E-4</v>
      </c>
      <c r="F221" s="71">
        <v>39143</v>
      </c>
      <c r="G221" s="69">
        <v>2.1706556859559783E-3</v>
      </c>
      <c r="H221" s="137">
        <v>-3.5553298927598988E-2</v>
      </c>
      <c r="I221" s="137">
        <v>-3.9061550010416675E-2</v>
      </c>
      <c r="J221" s="137">
        <v>-2.9442245618202096E-2</v>
      </c>
    </row>
    <row r="222" spans="1:10">
      <c r="A222" s="68">
        <v>5.01</v>
      </c>
      <c r="B222" s="69">
        <f t="shared" si="6"/>
        <v>5.0099999999999999E-2</v>
      </c>
      <c r="C222" s="70">
        <f t="shared" si="7"/>
        <v>9.6346153846153847E-4</v>
      </c>
      <c r="F222" s="71">
        <v>39150</v>
      </c>
      <c r="G222" s="69">
        <v>-2.5277056623105748E-3</v>
      </c>
      <c r="H222" s="137">
        <v>1.2745923769717109E-2</v>
      </c>
      <c r="I222" s="137">
        <v>3.6144701457195587E-3</v>
      </c>
      <c r="J222" s="137">
        <v>5.349044412799671E-3</v>
      </c>
    </row>
    <row r="223" spans="1:10">
      <c r="A223" s="68">
        <v>4.97</v>
      </c>
      <c r="B223" s="69">
        <f t="shared" si="6"/>
        <v>4.9699999999999994E-2</v>
      </c>
      <c r="C223" s="70">
        <f t="shared" si="7"/>
        <v>9.5576923076923063E-4</v>
      </c>
      <c r="F223" s="71">
        <v>39157</v>
      </c>
      <c r="G223" s="69">
        <v>1.8178817659839875E-3</v>
      </c>
      <c r="H223" s="137">
        <v>3.8231332926529507E-3</v>
      </c>
      <c r="I223" s="137">
        <v>3.1114510112249002E-4</v>
      </c>
      <c r="J223" s="137">
        <v>2.4410011582865706E-2</v>
      </c>
    </row>
    <row r="224" spans="1:10">
      <c r="A224" s="68">
        <v>4.93</v>
      </c>
      <c r="B224" s="69">
        <f t="shared" si="6"/>
        <v>4.9299999999999997E-2</v>
      </c>
      <c r="C224" s="70">
        <f t="shared" si="7"/>
        <v>9.4807692307692301E-4</v>
      </c>
      <c r="F224" s="71">
        <v>39164</v>
      </c>
      <c r="G224" s="69">
        <v>1.7250464259253558E-3</v>
      </c>
      <c r="H224" s="137">
        <v>3.5744416057334583E-2</v>
      </c>
      <c r="I224" s="137">
        <v>4.1002171415642864E-2</v>
      </c>
      <c r="J224" s="137">
        <v>1.8855597045504012E-2</v>
      </c>
    </row>
    <row r="225" spans="1:10">
      <c r="A225" s="68">
        <v>4.92</v>
      </c>
      <c r="B225" s="69">
        <f t="shared" si="6"/>
        <v>4.9200000000000001E-2</v>
      </c>
      <c r="C225" s="70">
        <f t="shared" si="7"/>
        <v>9.4615384615384613E-4</v>
      </c>
      <c r="F225" s="71">
        <v>39171</v>
      </c>
      <c r="G225" s="69">
        <v>-3.0634194425861426E-3</v>
      </c>
      <c r="H225" s="137">
        <v>1.1060458706551602E-2</v>
      </c>
      <c r="I225" s="137">
        <v>-5.3410201750533643E-3</v>
      </c>
      <c r="J225" s="137">
        <v>4.1750052844982399E-3</v>
      </c>
    </row>
    <row r="226" spans="1:10">
      <c r="A226" s="68">
        <v>4.92</v>
      </c>
      <c r="B226" s="69">
        <f t="shared" si="6"/>
        <v>4.9200000000000001E-2</v>
      </c>
      <c r="C226" s="70">
        <f t="shared" si="7"/>
        <v>9.4615384615384613E-4</v>
      </c>
      <c r="F226" s="71">
        <v>39178</v>
      </c>
      <c r="G226" s="69">
        <v>1.4983882296956464E-3</v>
      </c>
      <c r="H226" s="137">
        <v>2.3632062193396312E-2</v>
      </c>
      <c r="I226" s="137">
        <v>6.8137325087654164E-3</v>
      </c>
      <c r="J226" s="137">
        <v>1.7289554831275204E-2</v>
      </c>
    </row>
    <row r="227" spans="1:10">
      <c r="A227" s="68">
        <v>4.91</v>
      </c>
      <c r="B227" s="69">
        <f t="shared" si="6"/>
        <v>4.9100000000000005E-2</v>
      </c>
      <c r="C227" s="70">
        <f t="shared" si="7"/>
        <v>9.4423076923076936E-4</v>
      </c>
      <c r="F227" s="71">
        <v>39185</v>
      </c>
      <c r="G227" s="69">
        <v>-2.3397555697144876E-3</v>
      </c>
      <c r="H227" s="137">
        <v>1.7682054846468935E-3</v>
      </c>
      <c r="I227" s="137">
        <v>4.2111790442628709E-3</v>
      </c>
      <c r="J227" s="137">
        <v>2.5417546248210222E-2</v>
      </c>
    </row>
    <row r="228" spans="1:10">
      <c r="A228" s="68">
        <v>4.8899999999999997</v>
      </c>
      <c r="B228" s="69">
        <f t="shared" si="6"/>
        <v>4.8899999999999999E-2</v>
      </c>
      <c r="C228" s="70">
        <f t="shared" si="7"/>
        <v>9.4038461538461539E-4</v>
      </c>
      <c r="F228" s="71">
        <v>39192</v>
      </c>
      <c r="G228" s="69">
        <v>6.6253673694220408E-3</v>
      </c>
      <c r="H228" s="137">
        <v>9.7700009125194004E-4</v>
      </c>
      <c r="I228" s="137">
        <v>1.0165074306668463E-2</v>
      </c>
      <c r="J228" s="137">
        <v>-2.5164833580947278E-3</v>
      </c>
    </row>
    <row r="229" spans="1:10">
      <c r="A229" s="68">
        <v>4.8600000000000003</v>
      </c>
      <c r="B229" s="69">
        <f t="shared" si="6"/>
        <v>4.8600000000000004E-2</v>
      </c>
      <c r="C229" s="70">
        <f t="shared" si="7"/>
        <v>9.3461538461538465E-4</v>
      </c>
      <c r="F229" s="71">
        <v>39199</v>
      </c>
      <c r="G229" s="69">
        <v>-1.6267710743259123E-3</v>
      </c>
      <c r="H229" s="137">
        <v>-1.5115570261648208E-2</v>
      </c>
      <c r="I229" s="137">
        <v>-8.4029841731878539E-5</v>
      </c>
      <c r="J229" s="137">
        <v>-2.4049488097482711E-3</v>
      </c>
    </row>
    <row r="230" spans="1:10">
      <c r="A230" s="68">
        <v>4.83</v>
      </c>
      <c r="B230" s="69">
        <f t="shared" si="6"/>
        <v>4.8300000000000003E-2</v>
      </c>
      <c r="C230" s="70">
        <f t="shared" si="7"/>
        <v>9.2884615384615391E-4</v>
      </c>
      <c r="F230" s="71">
        <v>39206</v>
      </c>
      <c r="G230" s="69">
        <v>1.7423452873173177E-3</v>
      </c>
      <c r="H230" s="137">
        <v>8.1231191865924722E-3</v>
      </c>
      <c r="I230" s="137">
        <v>3.1219884114644476E-3</v>
      </c>
      <c r="J230" s="137">
        <v>1.3355911137208933E-2</v>
      </c>
    </row>
    <row r="231" spans="1:10">
      <c r="A231" s="68">
        <v>4.7699999999999996</v>
      </c>
      <c r="B231" s="69">
        <f t="shared" si="6"/>
        <v>4.7699999999999992E-2</v>
      </c>
      <c r="C231" s="70">
        <f t="shared" si="7"/>
        <v>9.173076923076922E-4</v>
      </c>
      <c r="F231" s="71">
        <v>39213</v>
      </c>
      <c r="G231" s="69">
        <v>-2.3569807713148343E-3</v>
      </c>
      <c r="H231" s="137">
        <v>-5.1870270975384264E-3</v>
      </c>
      <c r="I231" s="137">
        <v>2.7818509244310649E-3</v>
      </c>
      <c r="J231" s="137">
        <v>1.4634097576995018E-3</v>
      </c>
    </row>
    <row r="232" spans="1:10">
      <c r="A232" s="68">
        <v>4.75</v>
      </c>
      <c r="B232" s="69">
        <f t="shared" si="6"/>
        <v>4.7500000000000001E-2</v>
      </c>
      <c r="C232" s="70">
        <f t="shared" si="7"/>
        <v>9.1346153846153845E-4</v>
      </c>
      <c r="F232" s="71">
        <v>39220</v>
      </c>
      <c r="G232" s="69">
        <v>-4.7006171864196816E-3</v>
      </c>
      <c r="H232" s="137">
        <v>1.1275283726758066E-2</v>
      </c>
      <c r="I232" s="137">
        <v>1.1018669403497175E-2</v>
      </c>
      <c r="J232" s="137">
        <v>1.6478839700017237E-2</v>
      </c>
    </row>
    <row r="233" spans="1:10">
      <c r="A233" s="68">
        <v>4.6900000000000004</v>
      </c>
      <c r="B233" s="69">
        <f t="shared" si="6"/>
        <v>4.6900000000000004E-2</v>
      </c>
      <c r="C233" s="70">
        <f t="shared" si="7"/>
        <v>9.0192307692307696E-4</v>
      </c>
      <c r="F233" s="71">
        <v>39227</v>
      </c>
      <c r="G233" s="69">
        <v>-3.7018464616445684E-3</v>
      </c>
      <c r="H233" s="137">
        <v>5.2545656402192935E-3</v>
      </c>
      <c r="I233" s="137">
        <v>-1.866004271106058E-2</v>
      </c>
      <c r="J233" s="137">
        <v>-1.029961304878285E-2</v>
      </c>
    </row>
    <row r="234" spans="1:10">
      <c r="A234" s="68">
        <v>4.7699999999999996</v>
      </c>
      <c r="B234" s="69">
        <f t="shared" si="6"/>
        <v>4.7699999999999992E-2</v>
      </c>
      <c r="C234" s="70">
        <f t="shared" si="7"/>
        <v>9.173076923076922E-4</v>
      </c>
      <c r="F234" s="71">
        <v>39234</v>
      </c>
      <c r="G234" s="69">
        <v>-1.8192354077315304E-3</v>
      </c>
      <c r="H234" s="137">
        <v>5.3436140838398977E-3</v>
      </c>
      <c r="I234" s="137">
        <v>1.6491925347552724E-2</v>
      </c>
      <c r="J234" s="137">
        <v>1.8419769164561953E-2</v>
      </c>
    </row>
    <row r="235" spans="1:10">
      <c r="A235" s="68">
        <v>4.68</v>
      </c>
      <c r="B235" s="69">
        <f t="shared" si="6"/>
        <v>4.6799999999999994E-2</v>
      </c>
      <c r="C235" s="70">
        <f t="shared" si="7"/>
        <v>8.9999999999999987E-4</v>
      </c>
      <c r="F235" s="71">
        <v>39241</v>
      </c>
      <c r="G235" s="69">
        <v>-1.0117041539655754E-2</v>
      </c>
      <c r="H235" s="137">
        <v>-5.7198693545531899E-2</v>
      </c>
      <c r="I235" s="137">
        <v>-4.5578997683232758E-2</v>
      </c>
      <c r="J235" s="137">
        <v>-1.2290302386707995E-2</v>
      </c>
    </row>
    <row r="236" spans="1:10">
      <c r="A236" s="68">
        <v>4.67</v>
      </c>
      <c r="B236" s="69">
        <f t="shared" si="6"/>
        <v>4.6699999999999998E-2</v>
      </c>
      <c r="C236" s="70">
        <f t="shared" si="7"/>
        <v>8.980769230769231E-4</v>
      </c>
      <c r="F236" s="71">
        <v>39248</v>
      </c>
      <c r="G236" s="69">
        <v>-6.769039193534462E-4</v>
      </c>
      <c r="H236" s="137">
        <v>2.6862463438118614E-2</v>
      </c>
      <c r="I236" s="137">
        <v>1.9388955389928304E-2</v>
      </c>
      <c r="J236" s="137">
        <v>-8.3614927805774144E-4</v>
      </c>
    </row>
    <row r="237" spans="1:10">
      <c r="A237" s="68">
        <v>4.53</v>
      </c>
      <c r="B237" s="69">
        <f t="shared" si="6"/>
        <v>4.53E-2</v>
      </c>
      <c r="C237" s="70">
        <f t="shared" si="7"/>
        <v>8.7115384615384615E-4</v>
      </c>
      <c r="F237" s="71">
        <v>39255</v>
      </c>
      <c r="G237" s="69">
        <v>-7.7585038253485256E-4</v>
      </c>
      <c r="H237" s="137">
        <v>-2.0819684995485671E-2</v>
      </c>
      <c r="I237" s="137">
        <v>-3.1729473237523412E-2</v>
      </c>
      <c r="J237" s="137">
        <v>3.5068009664153722E-2</v>
      </c>
    </row>
    <row r="238" spans="1:10">
      <c r="A238" s="68">
        <v>4.5599999999999996</v>
      </c>
      <c r="B238" s="69">
        <f t="shared" si="6"/>
        <v>4.5599999999999995E-2</v>
      </c>
      <c r="C238" s="70">
        <f t="shared" si="7"/>
        <v>8.7692307692307679E-4</v>
      </c>
      <c r="F238" s="71">
        <v>39262</v>
      </c>
      <c r="G238" s="69">
        <v>4.944364759276368E-3</v>
      </c>
      <c r="H238" s="137">
        <v>5.9402249602283795E-3</v>
      </c>
      <c r="I238" s="137">
        <v>7.8557315037641618E-3</v>
      </c>
      <c r="J238" s="137">
        <v>-1.0811712733805594E-2</v>
      </c>
    </row>
    <row r="239" spans="1:10">
      <c r="A239" s="68">
        <v>4.67</v>
      </c>
      <c r="B239" s="69">
        <f t="shared" si="6"/>
        <v>4.6699999999999998E-2</v>
      </c>
      <c r="C239" s="70">
        <f t="shared" si="7"/>
        <v>8.980769230769231E-4</v>
      </c>
      <c r="F239" s="71">
        <v>39269</v>
      </c>
      <c r="G239" s="69">
        <v>-2.549830907818464E-3</v>
      </c>
      <c r="H239" s="137">
        <v>8.1834310810066438E-3</v>
      </c>
      <c r="I239" s="137">
        <v>1.6725352123051453E-2</v>
      </c>
      <c r="J239" s="137">
        <v>5.9584421988792911E-3</v>
      </c>
    </row>
    <row r="240" spans="1:10">
      <c r="A240" s="68">
        <v>4.8099999999999996</v>
      </c>
      <c r="B240" s="69">
        <f t="shared" si="6"/>
        <v>4.8099999999999997E-2</v>
      </c>
      <c r="C240" s="70">
        <f t="shared" si="7"/>
        <v>9.2499999999999993E-4</v>
      </c>
      <c r="F240" s="71">
        <v>39276</v>
      </c>
      <c r="G240" s="69">
        <v>6.3344639884130739E-3</v>
      </c>
      <c r="H240" s="137">
        <v>-9.0145612211594769E-4</v>
      </c>
      <c r="I240" s="137">
        <v>1.721839388701811E-2</v>
      </c>
      <c r="J240" s="137">
        <v>1.0888464041390138E-2</v>
      </c>
    </row>
    <row r="241" spans="1:10">
      <c r="A241" s="68">
        <v>4.82</v>
      </c>
      <c r="B241" s="69">
        <f t="shared" si="6"/>
        <v>4.82E-2</v>
      </c>
      <c r="C241" s="70">
        <f t="shared" si="7"/>
        <v>9.2692307692307692E-4</v>
      </c>
      <c r="F241" s="71">
        <v>39283</v>
      </c>
      <c r="G241" s="69">
        <v>5.172082344308185E-3</v>
      </c>
      <c r="H241" s="137">
        <v>1.1527815649968619E-2</v>
      </c>
      <c r="I241" s="137">
        <v>-8.0086951195324581E-4</v>
      </c>
      <c r="J241" s="137">
        <v>3.8211747824237851E-3</v>
      </c>
    </row>
    <row r="242" spans="1:10">
      <c r="A242" s="68">
        <v>4.83</v>
      </c>
      <c r="B242" s="69">
        <f t="shared" si="6"/>
        <v>4.8300000000000003E-2</v>
      </c>
      <c r="C242" s="70">
        <f t="shared" si="7"/>
        <v>9.2884615384615391E-4</v>
      </c>
      <c r="F242" s="71">
        <v>39290</v>
      </c>
      <c r="G242" s="69">
        <v>-3.3682709043326873E-3</v>
      </c>
      <c r="H242" s="137">
        <v>-5.148082771836715E-2</v>
      </c>
      <c r="I242" s="137">
        <v>-6.4181947886996979E-2</v>
      </c>
      <c r="J242" s="137">
        <v>-5.189994128371566E-2</v>
      </c>
    </row>
    <row r="243" spans="1:10">
      <c r="A243" s="68">
        <v>4.82</v>
      </c>
      <c r="B243" s="69">
        <f t="shared" si="6"/>
        <v>4.82E-2</v>
      </c>
      <c r="C243" s="70">
        <f t="shared" si="7"/>
        <v>9.2692307692307692E-4</v>
      </c>
      <c r="F243" s="71">
        <v>39297</v>
      </c>
      <c r="G243" s="69">
        <v>2.4196139235644681E-3</v>
      </c>
      <c r="H243" s="137">
        <v>8.7637253549090761E-3</v>
      </c>
      <c r="I243" s="137">
        <v>-7.7119407922388028E-3</v>
      </c>
      <c r="J243" s="137">
        <v>3.1648411620909429E-3</v>
      </c>
    </row>
    <row r="244" spans="1:10">
      <c r="A244" s="68">
        <v>4.7699999999999996</v>
      </c>
      <c r="B244" s="69">
        <f t="shared" si="6"/>
        <v>4.7699999999999992E-2</v>
      </c>
      <c r="C244" s="70">
        <f t="shared" si="7"/>
        <v>9.173076923076922E-4</v>
      </c>
      <c r="F244" s="71">
        <v>39304</v>
      </c>
      <c r="G244" s="69">
        <v>-4.1248751517112313E-3</v>
      </c>
      <c r="H244" s="137">
        <v>-1.747325740481136E-2</v>
      </c>
      <c r="I244" s="137">
        <v>2.2698144162638198E-2</v>
      </c>
      <c r="J244" s="137">
        <v>-2.1128222514323346E-2</v>
      </c>
    </row>
    <row r="245" spans="1:10">
      <c r="A245" s="68">
        <v>4.6900000000000004</v>
      </c>
      <c r="B245" s="69">
        <f t="shared" si="6"/>
        <v>4.6900000000000004E-2</v>
      </c>
      <c r="C245" s="70">
        <f t="shared" si="7"/>
        <v>9.0192307692307696E-4</v>
      </c>
      <c r="F245" s="71">
        <v>39311</v>
      </c>
      <c r="G245" s="69">
        <v>2.1102877925634153E-3</v>
      </c>
      <c r="H245" s="137">
        <v>-3.8146739312085856E-2</v>
      </c>
      <c r="I245" s="137">
        <v>-3.1131869392389398E-2</v>
      </c>
      <c r="J245" s="137">
        <v>-0.10633433447879452</v>
      </c>
    </row>
    <row r="246" spans="1:10">
      <c r="A246" s="68">
        <v>4.1100000000000003</v>
      </c>
      <c r="B246" s="69">
        <f t="shared" si="6"/>
        <v>4.1100000000000005E-2</v>
      </c>
      <c r="C246" s="70">
        <f t="shared" si="7"/>
        <v>7.9038461538461543E-4</v>
      </c>
      <c r="F246" s="71">
        <v>39318</v>
      </c>
      <c r="G246" s="69">
        <v>4.3733637470381153E-3</v>
      </c>
      <c r="H246" s="137">
        <v>3.8517669184840266E-2</v>
      </c>
      <c r="I246" s="137">
        <v>2.0925717449054176E-2</v>
      </c>
      <c r="J246" s="137">
        <v>0.10040214181935106</v>
      </c>
    </row>
    <row r="247" spans="1:10">
      <c r="A247" s="68">
        <v>3.62</v>
      </c>
      <c r="B247" s="69">
        <f t="shared" si="6"/>
        <v>3.6200000000000003E-2</v>
      </c>
      <c r="C247" s="70">
        <f t="shared" si="7"/>
        <v>6.9615384615384624E-4</v>
      </c>
      <c r="F247" s="71">
        <v>39325</v>
      </c>
      <c r="G247" s="69">
        <v>3.2219155727177999E-3</v>
      </c>
      <c r="H247" s="137">
        <v>2.319167693409661E-2</v>
      </c>
      <c r="I247" s="137">
        <v>-9.1751388241621476E-3</v>
      </c>
      <c r="J247" s="137">
        <v>1.677167781457484E-2</v>
      </c>
    </row>
    <row r="248" spans="1:10">
      <c r="A248" s="68">
        <v>4.0599999999999996</v>
      </c>
      <c r="B248" s="69">
        <f t="shared" si="6"/>
        <v>4.0599999999999997E-2</v>
      </c>
      <c r="C248" s="70">
        <f t="shared" si="7"/>
        <v>7.8076923076923072E-4</v>
      </c>
      <c r="F248" s="71">
        <v>39332</v>
      </c>
      <c r="G248" s="69">
        <v>8.5656307986848208E-3</v>
      </c>
      <c r="H248" s="137">
        <v>-2.3634624543487519E-2</v>
      </c>
      <c r="I248" s="137">
        <v>-1.2212674317237585E-2</v>
      </c>
      <c r="J248" s="137">
        <v>1.0003478454286023E-2</v>
      </c>
    </row>
    <row r="249" spans="1:10">
      <c r="A249" s="68">
        <v>4.18</v>
      </c>
      <c r="B249" s="69">
        <f t="shared" si="6"/>
        <v>4.1799999999999997E-2</v>
      </c>
      <c r="C249" s="70">
        <f t="shared" si="7"/>
        <v>8.0384615384615379E-4</v>
      </c>
      <c r="F249" s="71">
        <v>39339</v>
      </c>
      <c r="G249" s="69">
        <v>-3.1081239097139604E-3</v>
      </c>
      <c r="H249" s="137">
        <v>1.2723577668219474E-2</v>
      </c>
      <c r="I249" s="137">
        <v>2.3329626307795587E-2</v>
      </c>
      <c r="J249" s="137">
        <v>2.3380921923928311E-2</v>
      </c>
    </row>
    <row r="250" spans="1:10">
      <c r="A250" s="68">
        <v>3.93</v>
      </c>
      <c r="B250" s="69">
        <f t="shared" si="6"/>
        <v>3.9300000000000002E-2</v>
      </c>
      <c r="C250" s="70">
        <f t="shared" si="7"/>
        <v>7.5576923076923076E-4</v>
      </c>
      <c r="F250" s="71">
        <v>39346</v>
      </c>
      <c r="G250" s="69">
        <v>2.2657296538354486E-3</v>
      </c>
      <c r="H250" s="137">
        <v>3.1215610791727005E-2</v>
      </c>
      <c r="I250" s="137">
        <v>3.3828207687958009E-2</v>
      </c>
      <c r="J250" s="137">
        <v>2.6643595634821961E-2</v>
      </c>
    </row>
    <row r="251" spans="1:10">
      <c r="A251" s="68">
        <v>3.82</v>
      </c>
      <c r="B251" s="69">
        <f t="shared" si="6"/>
        <v>3.8199999999999998E-2</v>
      </c>
      <c r="C251" s="70">
        <f t="shared" si="7"/>
        <v>7.3461538461538456E-4</v>
      </c>
      <c r="F251" s="71">
        <v>39353</v>
      </c>
      <c r="G251" s="69">
        <v>5.6608300301363027E-3</v>
      </c>
      <c r="H251" s="137">
        <v>1.9736887302264888E-2</v>
      </c>
      <c r="I251" s="137">
        <v>-1.3480799740150169E-3</v>
      </c>
      <c r="J251" s="137">
        <v>3.8683704703699605E-2</v>
      </c>
    </row>
    <row r="252" spans="1:10">
      <c r="A252" s="68">
        <v>3.69</v>
      </c>
      <c r="B252" s="69">
        <f t="shared" si="6"/>
        <v>3.6900000000000002E-2</v>
      </c>
      <c r="C252" s="70">
        <f t="shared" si="7"/>
        <v>7.0961538461538471E-4</v>
      </c>
      <c r="F252" s="71">
        <v>39360</v>
      </c>
      <c r="G252" s="69">
        <v>-9.8379523790297616E-4</v>
      </c>
      <c r="H252" s="137">
        <v>1.028936018741433E-2</v>
      </c>
      <c r="I252" s="137">
        <v>1.6342691388103212E-2</v>
      </c>
      <c r="J252" s="137">
        <v>-4.1816359434721558E-3</v>
      </c>
    </row>
    <row r="253" spans="1:10">
      <c r="A253" s="68">
        <v>3.86</v>
      </c>
      <c r="B253" s="69">
        <f t="shared" si="6"/>
        <v>3.8599999999999995E-2</v>
      </c>
      <c r="C253" s="70">
        <f t="shared" si="7"/>
        <v>7.4230769230769218E-4</v>
      </c>
      <c r="F253" s="71">
        <v>39367</v>
      </c>
      <c r="G253" s="69">
        <v>-8.909086110210566E-4</v>
      </c>
      <c r="H253" s="137">
        <v>1.8046759293442044E-2</v>
      </c>
      <c r="I253" s="137">
        <v>8.9241223600519566E-3</v>
      </c>
      <c r="J253" s="137">
        <v>2.8844661005815518E-4</v>
      </c>
    </row>
    <row r="254" spans="1:10">
      <c r="A254" s="68">
        <v>4</v>
      </c>
      <c r="B254" s="69">
        <f t="shared" si="6"/>
        <v>0.04</v>
      </c>
      <c r="C254" s="70">
        <f t="shared" si="7"/>
        <v>7.6923076923076923E-4</v>
      </c>
      <c r="F254" s="71">
        <v>39374</v>
      </c>
      <c r="G254" s="69">
        <v>8.7337179944814089E-3</v>
      </c>
      <c r="H254" s="137">
        <v>-3.6271825618857789E-3</v>
      </c>
      <c r="I254" s="137">
        <v>-3.2822730928564969E-2</v>
      </c>
      <c r="J254" s="137">
        <v>-1.3373097459011924E-2</v>
      </c>
    </row>
    <row r="255" spans="1:10">
      <c r="A255" s="68">
        <v>3.93</v>
      </c>
      <c r="B255" s="69">
        <f t="shared" si="6"/>
        <v>3.9300000000000002E-2</v>
      </c>
      <c r="C255" s="70">
        <f t="shared" si="7"/>
        <v>7.5576923076923076E-4</v>
      </c>
      <c r="F255" s="71">
        <v>39381</v>
      </c>
      <c r="G255" s="69">
        <v>4.2870304122934917E-3</v>
      </c>
      <c r="H255" s="137">
        <v>2.2224124779187455E-2</v>
      </c>
      <c r="I255" s="137">
        <v>4.3582981681717883E-2</v>
      </c>
      <c r="J255" s="137">
        <v>2.5589010980021004E-2</v>
      </c>
    </row>
    <row r="256" spans="1:10">
      <c r="A256" s="68">
        <v>3.85</v>
      </c>
      <c r="B256" s="69">
        <f t="shared" si="6"/>
        <v>3.85E-2</v>
      </c>
      <c r="C256" s="70">
        <f t="shared" si="7"/>
        <v>7.4038461538461541E-4</v>
      </c>
      <c r="F256" s="71">
        <v>39388</v>
      </c>
      <c r="G256" s="69">
        <v>1.908848765753958E-3</v>
      </c>
      <c r="H256" s="137">
        <v>7.9034763489421889E-3</v>
      </c>
      <c r="I256" s="137">
        <v>3.9840637821707894E-3</v>
      </c>
      <c r="J256" s="137">
        <v>-4.2609461286332393E-3</v>
      </c>
    </row>
    <row r="257" spans="1:10">
      <c r="A257" s="68">
        <v>3.77</v>
      </c>
      <c r="B257" s="69">
        <f t="shared" si="6"/>
        <v>3.7699999999999997E-2</v>
      </c>
      <c r="C257" s="70">
        <f t="shared" si="7"/>
        <v>7.2499999999999995E-4</v>
      </c>
      <c r="F257" s="71">
        <v>39395</v>
      </c>
      <c r="G257" s="69">
        <v>1.2177195231550773E-3</v>
      </c>
      <c r="H257" s="137">
        <v>-6.5377897165874808E-3</v>
      </c>
      <c r="I257" s="137">
        <v>-2.9537985610611956E-2</v>
      </c>
      <c r="J257" s="137">
        <v>-2.9159552990006329E-2</v>
      </c>
    </row>
    <row r="258" spans="1:10">
      <c r="A258" s="68">
        <v>3.43</v>
      </c>
      <c r="B258" s="69">
        <f t="shared" si="6"/>
        <v>3.4300000000000004E-2</v>
      </c>
      <c r="C258" s="70">
        <f t="shared" si="7"/>
        <v>6.5961538461538469E-4</v>
      </c>
      <c r="F258" s="71">
        <v>39402</v>
      </c>
      <c r="G258" s="69">
        <v>-6.9011761210684781E-4</v>
      </c>
      <c r="H258" s="137">
        <v>-3.2351157486694643E-4</v>
      </c>
      <c r="I258" s="137">
        <v>7.327438483997843E-3</v>
      </c>
      <c r="J258" s="137">
        <v>-4.5803470431156242E-2</v>
      </c>
    </row>
    <row r="259" spans="1:10">
      <c r="A259" s="68">
        <v>3.32</v>
      </c>
      <c r="B259" s="69">
        <f t="shared" si="6"/>
        <v>3.32E-2</v>
      </c>
      <c r="C259" s="70">
        <f t="shared" si="7"/>
        <v>6.3846153846153848E-4</v>
      </c>
      <c r="F259" s="71">
        <v>39409</v>
      </c>
      <c r="G259" s="69">
        <v>5.8737586119860311E-3</v>
      </c>
      <c r="H259" s="137">
        <v>7.3442513295863914E-4</v>
      </c>
      <c r="I259" s="137">
        <v>-8.8918268820507209E-3</v>
      </c>
      <c r="J259" s="137">
        <v>-3.9794595395446566E-2</v>
      </c>
    </row>
    <row r="260" spans="1:10">
      <c r="A260" s="68">
        <v>3.17</v>
      </c>
      <c r="B260" s="69">
        <f t="shared" si="6"/>
        <v>3.1699999999999999E-2</v>
      </c>
      <c r="C260" s="70">
        <f t="shared" si="7"/>
        <v>6.0961538461538455E-4</v>
      </c>
      <c r="F260" s="71">
        <v>39416</v>
      </c>
      <c r="G260" s="69">
        <v>-1.9454753802915171E-4</v>
      </c>
      <c r="H260" s="137">
        <v>2.7278245222785019E-2</v>
      </c>
      <c r="I260" s="137">
        <v>1.0614955168930596E-2</v>
      </c>
      <c r="J260" s="137">
        <v>7.4670445106488084E-2</v>
      </c>
    </row>
    <row r="261" spans="1:10">
      <c r="A261" s="68">
        <v>3.02</v>
      </c>
      <c r="B261" s="69">
        <f t="shared" si="6"/>
        <v>3.0200000000000001E-2</v>
      </c>
      <c r="C261" s="70">
        <f t="shared" si="7"/>
        <v>5.8076923076923084E-4</v>
      </c>
      <c r="F261" s="71">
        <v>39423</v>
      </c>
      <c r="G261" s="69">
        <v>-6.3456145458987883E-3</v>
      </c>
      <c r="H261" s="137">
        <v>9.4739432770899054E-4</v>
      </c>
      <c r="I261" s="137">
        <v>4.2431877043954203E-3</v>
      </c>
      <c r="J261" s="137">
        <v>1.7600968742584083E-2</v>
      </c>
    </row>
    <row r="262" spans="1:10">
      <c r="A262" s="68">
        <v>3.01</v>
      </c>
      <c r="B262" s="69">
        <f t="shared" ref="B262:B325" si="8">+A262/100</f>
        <v>3.0099999999999998E-2</v>
      </c>
      <c r="C262" s="70">
        <f t="shared" ref="C262:C325" si="9">+B262/52</f>
        <v>5.7884615384615385E-4</v>
      </c>
      <c r="F262" s="71">
        <v>39430</v>
      </c>
      <c r="G262" s="69">
        <v>-8.8870126365138552E-3</v>
      </c>
      <c r="H262" s="137">
        <v>-7.3498596404400372E-3</v>
      </c>
      <c r="I262" s="137">
        <v>-2.5831658591303912E-2</v>
      </c>
      <c r="J262" s="137">
        <v>-4.9968807330713516E-2</v>
      </c>
    </row>
    <row r="263" spans="1:10">
      <c r="A263" s="68">
        <v>2.85</v>
      </c>
      <c r="B263" s="69">
        <f t="shared" si="8"/>
        <v>2.8500000000000001E-2</v>
      </c>
      <c r="C263" s="70">
        <f t="shared" si="9"/>
        <v>5.4807692307692305E-4</v>
      </c>
      <c r="F263" s="71">
        <v>39437</v>
      </c>
      <c r="G263" s="69">
        <v>7.3780740363999881E-3</v>
      </c>
      <c r="H263" s="137">
        <v>-2.2006076965810806E-2</v>
      </c>
      <c r="I263" s="137">
        <v>2.7530654129266328E-2</v>
      </c>
      <c r="J263" s="137">
        <v>-1.4139477071041682E-2</v>
      </c>
    </row>
    <row r="264" spans="1:10">
      <c r="A264" s="68">
        <v>2.92</v>
      </c>
      <c r="B264" s="69">
        <f t="shared" si="8"/>
        <v>2.92E-2</v>
      </c>
      <c r="C264" s="70">
        <f t="shared" si="9"/>
        <v>5.6153846153846152E-4</v>
      </c>
      <c r="F264" s="71">
        <v>39444</v>
      </c>
      <c r="G264" s="69">
        <v>-5.3341254099659825E-4</v>
      </c>
      <c r="H264" s="137">
        <v>1.1379990019493124E-2</v>
      </c>
      <c r="I264" s="137">
        <v>2.9538485464628782E-3</v>
      </c>
      <c r="J264" s="137">
        <v>7.265997493340586E-3</v>
      </c>
    </row>
    <row r="265" spans="1:10">
      <c r="A265" s="68">
        <v>3.17</v>
      </c>
      <c r="B265" s="69">
        <f t="shared" si="8"/>
        <v>3.1699999999999999E-2</v>
      </c>
      <c r="C265" s="70">
        <f t="shared" si="9"/>
        <v>6.0961538461538455E-4</v>
      </c>
      <c r="F265" s="71">
        <v>39451</v>
      </c>
      <c r="G265" s="69">
        <v>1.207324768982548E-2</v>
      </c>
      <c r="H265" s="137">
        <v>-1.9456688428544328E-2</v>
      </c>
      <c r="I265" s="137">
        <v>-3.5508714960619789E-2</v>
      </c>
      <c r="J265" s="137">
        <v>-1.3351232098978974E-2</v>
      </c>
    </row>
    <row r="266" spans="1:10">
      <c r="A266" s="68">
        <v>3.19</v>
      </c>
      <c r="B266" s="69">
        <f t="shared" si="8"/>
        <v>3.1899999999999998E-2</v>
      </c>
      <c r="C266" s="70">
        <f t="shared" si="9"/>
        <v>6.1346153846153842E-4</v>
      </c>
      <c r="F266" s="71">
        <v>39458</v>
      </c>
      <c r="G266" s="69">
        <v>-1.6853588912956615E-3</v>
      </c>
      <c r="H266" s="137">
        <v>-1.2440703090557495E-2</v>
      </c>
      <c r="I266" s="137">
        <v>-7.1527203388723369E-3</v>
      </c>
      <c r="J266" s="137">
        <v>-6.9125620226388584E-3</v>
      </c>
    </row>
    <row r="267" spans="1:10">
      <c r="A267" s="68">
        <v>3.14</v>
      </c>
      <c r="B267" s="69">
        <f t="shared" si="8"/>
        <v>3.1400000000000004E-2</v>
      </c>
      <c r="C267" s="70">
        <f t="shared" si="9"/>
        <v>6.0384615384615392E-4</v>
      </c>
      <c r="F267" s="71">
        <v>39465</v>
      </c>
      <c r="G267" s="69">
        <v>-9.162831444293096E-4</v>
      </c>
      <c r="H267" s="137">
        <v>-8.8653968685008626E-3</v>
      </c>
      <c r="I267" s="137">
        <v>-5.1802595080382187E-2</v>
      </c>
      <c r="J267" s="137">
        <v>-7.1946784696352906E-2</v>
      </c>
    </row>
    <row r="268" spans="1:10">
      <c r="A268" s="68">
        <v>3.01</v>
      </c>
      <c r="B268" s="69">
        <f t="shared" si="8"/>
        <v>3.0099999999999998E-2</v>
      </c>
      <c r="C268" s="70">
        <f t="shared" si="9"/>
        <v>5.7884615384615385E-4</v>
      </c>
      <c r="F268" s="71">
        <v>39472</v>
      </c>
      <c r="G268" s="69">
        <v>1.0078555351860595E-3</v>
      </c>
      <c r="H268" s="137">
        <v>-3.5799130707039169E-2</v>
      </c>
      <c r="I268" s="137">
        <v>-1.8429328569767051E-2</v>
      </c>
      <c r="J268" s="137">
        <v>8.9006070839054603E-3</v>
      </c>
    </row>
    <row r="269" spans="1:10">
      <c r="A269" s="68">
        <v>2.2599999999999998</v>
      </c>
      <c r="B269" s="69">
        <f t="shared" si="8"/>
        <v>2.2599999999999999E-2</v>
      </c>
      <c r="C269" s="70">
        <f t="shared" si="9"/>
        <v>4.3461538461538458E-4</v>
      </c>
      <c r="F269" s="71">
        <v>39479</v>
      </c>
      <c r="G269" s="69">
        <v>6.6450799785354817E-3</v>
      </c>
      <c r="H269" s="137">
        <v>2.0507648018094106E-2</v>
      </c>
      <c r="I269" s="137">
        <v>5.0227472393668669E-2</v>
      </c>
      <c r="J269" s="137">
        <v>2.2767305805550694E-2</v>
      </c>
    </row>
    <row r="270" spans="1:10">
      <c r="A270" s="68">
        <v>2.13</v>
      </c>
      <c r="B270" s="69">
        <f t="shared" si="8"/>
        <v>2.1299999999999999E-2</v>
      </c>
      <c r="C270" s="70">
        <f t="shared" si="9"/>
        <v>4.0961538461538463E-4</v>
      </c>
      <c r="F270" s="71">
        <v>39486</v>
      </c>
      <c r="G270" s="69">
        <v>-9.405155394387292E-3</v>
      </c>
      <c r="H270" s="137">
        <v>-3.2019142906280738E-2</v>
      </c>
      <c r="I270" s="137">
        <v>-2.2259247517645728E-2</v>
      </c>
      <c r="J270" s="137">
        <v>-3.4813541802899334E-2</v>
      </c>
    </row>
    <row r="271" spans="1:10">
      <c r="A271" s="68">
        <v>2.14</v>
      </c>
      <c r="B271" s="69">
        <f t="shared" si="8"/>
        <v>2.1400000000000002E-2</v>
      </c>
      <c r="C271" s="70">
        <f t="shared" si="9"/>
        <v>4.1153846153846156E-4</v>
      </c>
      <c r="F271" s="71">
        <v>39493</v>
      </c>
      <c r="G271" s="69">
        <v>-4.708539412952485E-3</v>
      </c>
      <c r="H271" s="137">
        <v>2.8037185425714557E-2</v>
      </c>
      <c r="I271" s="137">
        <v>3.6581320812111417E-3</v>
      </c>
      <c r="J271" s="137">
        <v>1.8083943215909209E-2</v>
      </c>
    </row>
    <row r="272" spans="1:10">
      <c r="A272" s="68">
        <v>2.23</v>
      </c>
      <c r="B272" s="69">
        <f t="shared" si="8"/>
        <v>2.23E-2</v>
      </c>
      <c r="C272" s="70">
        <f t="shared" si="9"/>
        <v>4.2884615384615384E-4</v>
      </c>
      <c r="F272" s="71">
        <v>39500</v>
      </c>
      <c r="G272" s="69">
        <v>1.8181468231231186E-3</v>
      </c>
      <c r="H272" s="137">
        <v>-6.473935558112741E-3</v>
      </c>
      <c r="I272" s="137">
        <v>5.7065844412649116E-3</v>
      </c>
      <c r="J272" s="137">
        <v>-2.0429848286158906E-3</v>
      </c>
    </row>
    <row r="273" spans="1:10">
      <c r="A273" s="68">
        <v>2.1800000000000002</v>
      </c>
      <c r="B273" s="69">
        <f t="shared" si="8"/>
        <v>2.18E-2</v>
      </c>
      <c r="C273" s="70">
        <f t="shared" si="9"/>
        <v>4.1923076923076923E-4</v>
      </c>
      <c r="F273" s="71">
        <v>39507</v>
      </c>
      <c r="G273" s="69">
        <v>1.5119830404250079E-2</v>
      </c>
      <c r="H273" s="137">
        <v>1.6887776577393643E-2</v>
      </c>
      <c r="I273" s="137">
        <v>-2.0515850421357614E-2</v>
      </c>
      <c r="J273" s="137">
        <v>4.0984350246704359E-3</v>
      </c>
    </row>
    <row r="274" spans="1:10">
      <c r="A274" s="68">
        <v>1.97</v>
      </c>
      <c r="B274" s="69">
        <f t="shared" si="8"/>
        <v>1.9699999999999999E-2</v>
      </c>
      <c r="C274" s="70">
        <f t="shared" si="9"/>
        <v>3.7884615384615382E-4</v>
      </c>
      <c r="F274" s="71">
        <v>39514</v>
      </c>
      <c r="G274" s="69">
        <v>-7.0241277217576786E-3</v>
      </c>
      <c r="H274" s="137">
        <v>-1.8333923873732387E-2</v>
      </c>
      <c r="I274" s="137">
        <v>-1.3146876546876561E-2</v>
      </c>
      <c r="J274" s="137">
        <v>-9.3462355369226396E-2</v>
      </c>
    </row>
    <row r="275" spans="1:10">
      <c r="A275" s="68">
        <v>1.52</v>
      </c>
      <c r="B275" s="69">
        <f t="shared" si="8"/>
        <v>1.52E-2</v>
      </c>
      <c r="C275" s="70">
        <f t="shared" si="9"/>
        <v>2.923076923076923E-4</v>
      </c>
      <c r="F275" s="71">
        <v>39521</v>
      </c>
      <c r="G275" s="69">
        <v>8.9331924960666057E-3</v>
      </c>
      <c r="H275" s="137">
        <v>8.9288559609144533E-3</v>
      </c>
      <c r="I275" s="137">
        <v>-3.1885460622619317E-3</v>
      </c>
      <c r="J275" s="137">
        <v>-8.2532718531938467E-3</v>
      </c>
    </row>
    <row r="276" spans="1:10">
      <c r="A276" s="68">
        <v>1.34</v>
      </c>
      <c r="B276" s="69">
        <f t="shared" si="8"/>
        <v>1.34E-2</v>
      </c>
      <c r="C276" s="70">
        <f t="shared" si="9"/>
        <v>2.5769230769230768E-4</v>
      </c>
      <c r="F276" s="71">
        <v>39528</v>
      </c>
      <c r="G276" s="69">
        <v>3.7575348920717276E-3</v>
      </c>
      <c r="H276" s="137">
        <v>-3.8988078956338809E-2</v>
      </c>
      <c r="I276" s="137">
        <v>-1.2013021925718298E-2</v>
      </c>
      <c r="J276" s="137">
        <v>-4.9800363319807701E-2</v>
      </c>
    </row>
    <row r="277" spans="1:10">
      <c r="A277" s="68">
        <v>0.81</v>
      </c>
      <c r="B277" s="69">
        <f t="shared" si="8"/>
        <v>8.1000000000000013E-3</v>
      </c>
      <c r="C277" s="70">
        <f t="shared" si="9"/>
        <v>1.5576923076923078E-4</v>
      </c>
      <c r="F277" s="71">
        <v>39535</v>
      </c>
      <c r="G277" s="69">
        <v>-1.3254931003168916E-3</v>
      </c>
      <c r="H277" s="137">
        <v>2.3539119782429747E-2</v>
      </c>
      <c r="I277" s="137">
        <v>6.7850508466570864E-3</v>
      </c>
      <c r="J277" s="137">
        <v>8.8900970803636806E-2</v>
      </c>
    </row>
    <row r="278" spans="1:10">
      <c r="A278" s="68">
        <v>1.27</v>
      </c>
      <c r="B278" s="69">
        <f t="shared" si="8"/>
        <v>1.2699999999999999E-2</v>
      </c>
      <c r="C278" s="70">
        <f t="shared" si="9"/>
        <v>2.4423076923076921E-4</v>
      </c>
      <c r="F278" s="71">
        <v>39542</v>
      </c>
      <c r="G278" s="69">
        <v>-2.110145332246681E-3</v>
      </c>
      <c r="H278" s="137">
        <v>2.4077032453623744E-2</v>
      </c>
      <c r="I278" s="137">
        <v>4.0172381448734425E-2</v>
      </c>
      <c r="J278" s="137">
        <v>3.8225261715409881E-2</v>
      </c>
    </row>
    <row r="279" spans="1:10">
      <c r="A279" s="68">
        <v>1.37</v>
      </c>
      <c r="B279" s="69">
        <f t="shared" si="8"/>
        <v>1.37E-2</v>
      </c>
      <c r="C279" s="70">
        <f t="shared" si="9"/>
        <v>2.6346153846153848E-4</v>
      </c>
      <c r="F279" s="71">
        <v>39549</v>
      </c>
      <c r="G279" s="69">
        <v>5.9421493254363869E-3</v>
      </c>
      <c r="H279" s="137">
        <v>-1.1778896475136575E-2</v>
      </c>
      <c r="I279" s="137">
        <v>-1.8363014541723975E-2</v>
      </c>
      <c r="J279" s="137">
        <v>-4.2604354706671864E-2</v>
      </c>
    </row>
    <row r="280" spans="1:10">
      <c r="A280" s="68">
        <v>1.31</v>
      </c>
      <c r="B280" s="69">
        <f t="shared" si="8"/>
        <v>1.3100000000000001E-2</v>
      </c>
      <c r="C280" s="70">
        <f t="shared" si="9"/>
        <v>2.5192307692307694E-4</v>
      </c>
      <c r="F280" s="71">
        <v>39556</v>
      </c>
      <c r="G280" s="69">
        <v>-9.8944475817045463E-3</v>
      </c>
      <c r="H280" s="137">
        <v>1.4126679776549982E-2</v>
      </c>
      <c r="I280" s="137">
        <v>4.3561652445105903E-2</v>
      </c>
      <c r="J280" s="137">
        <v>-5.2141930594039008E-3</v>
      </c>
    </row>
    <row r="281" spans="1:10">
      <c r="A281" s="68">
        <v>1.1599999999999999</v>
      </c>
      <c r="B281" s="69">
        <f t="shared" si="8"/>
        <v>1.1599999999999999E-2</v>
      </c>
      <c r="C281" s="70">
        <f t="shared" si="9"/>
        <v>2.2307692307692306E-4</v>
      </c>
      <c r="F281" s="71">
        <v>39563</v>
      </c>
      <c r="G281" s="69">
        <v>-2.4730672826319532E-3</v>
      </c>
      <c r="H281" s="137">
        <v>7.0090401734683944E-3</v>
      </c>
      <c r="I281" s="137">
        <v>4.9837963682691335E-3</v>
      </c>
      <c r="J281" s="137">
        <v>3.1352359164998622E-2</v>
      </c>
    </row>
    <row r="282" spans="1:10">
      <c r="A282" s="68">
        <v>1.28</v>
      </c>
      <c r="B282" s="69">
        <f t="shared" si="8"/>
        <v>1.2800000000000001E-2</v>
      </c>
      <c r="C282" s="70">
        <f t="shared" si="9"/>
        <v>2.4615384615384614E-4</v>
      </c>
      <c r="F282" s="71">
        <v>39570</v>
      </c>
      <c r="G282" s="69">
        <v>2.9668413264544603E-3</v>
      </c>
      <c r="H282" s="137">
        <v>-7.0822077951381499E-3</v>
      </c>
      <c r="I282" s="137">
        <v>9.7872269296968017E-3</v>
      </c>
      <c r="J282" s="137">
        <v>3.1870245682363602E-2</v>
      </c>
    </row>
    <row r="283" spans="1:10">
      <c r="A283" s="68">
        <v>1.43</v>
      </c>
      <c r="B283" s="69">
        <f t="shared" si="8"/>
        <v>1.43E-2</v>
      </c>
      <c r="C283" s="70">
        <f t="shared" si="9"/>
        <v>2.7500000000000002E-4</v>
      </c>
      <c r="F283" s="71">
        <v>39577</v>
      </c>
      <c r="G283" s="69">
        <v>4.7252128157127893E-3</v>
      </c>
      <c r="H283" s="137">
        <v>-1.3590941839619649E-2</v>
      </c>
      <c r="I283" s="137">
        <v>1.0181541652615906E-2</v>
      </c>
      <c r="J283" s="137">
        <v>-2.9342131650371372E-2</v>
      </c>
    </row>
    <row r="284" spans="1:10">
      <c r="A284" s="68">
        <v>1.61</v>
      </c>
      <c r="B284" s="69">
        <f t="shared" si="8"/>
        <v>1.61E-2</v>
      </c>
      <c r="C284" s="70">
        <f t="shared" si="9"/>
        <v>3.0961538461538464E-4</v>
      </c>
      <c r="F284" s="71">
        <v>39584</v>
      </c>
      <c r="G284" s="69">
        <v>-7.6824605541948691E-4</v>
      </c>
      <c r="H284" s="137">
        <v>1.8836403697111943E-2</v>
      </c>
      <c r="I284" s="137">
        <v>1.9915781529946757E-2</v>
      </c>
      <c r="J284" s="137">
        <v>1.0686451013264563E-2</v>
      </c>
    </row>
    <row r="285" spans="1:10">
      <c r="A285" s="68">
        <v>1.79</v>
      </c>
      <c r="B285" s="69">
        <f t="shared" si="8"/>
        <v>1.7899999999999999E-2</v>
      </c>
      <c r="C285" s="70">
        <f t="shared" si="9"/>
        <v>3.442307692307692E-4</v>
      </c>
      <c r="F285" s="71">
        <v>39591</v>
      </c>
      <c r="G285" s="69">
        <v>-1.5564888336050456E-3</v>
      </c>
      <c r="H285" s="137">
        <v>9.2874738905436051E-3</v>
      </c>
      <c r="I285" s="137">
        <v>-1.2692190891924617E-2</v>
      </c>
      <c r="J285" s="137">
        <v>-1.9518795670034204E-2</v>
      </c>
    </row>
    <row r="286" spans="1:10">
      <c r="A286" s="68">
        <v>1.82</v>
      </c>
      <c r="B286" s="69">
        <f t="shared" si="8"/>
        <v>1.8200000000000001E-2</v>
      </c>
      <c r="C286" s="70">
        <f t="shared" si="9"/>
        <v>3.5E-4</v>
      </c>
      <c r="F286" s="71">
        <v>39598</v>
      </c>
      <c r="G286" s="69">
        <v>-9.8378418863044621E-3</v>
      </c>
      <c r="H286" s="137">
        <v>1.3091347980909628E-2</v>
      </c>
      <c r="I286" s="137">
        <v>1.3845607015278972E-2</v>
      </c>
      <c r="J286" s="137">
        <v>-4.2073016296180855E-2</v>
      </c>
    </row>
    <row r="287" spans="1:10">
      <c r="A287" s="68">
        <v>1.86</v>
      </c>
      <c r="B287" s="69">
        <f t="shared" si="8"/>
        <v>1.8600000000000002E-2</v>
      </c>
      <c r="C287" s="70">
        <f t="shared" si="9"/>
        <v>3.5769230769230773E-4</v>
      </c>
      <c r="F287" s="71">
        <v>39605</v>
      </c>
      <c r="G287" s="69">
        <v>1.3905389787566703E-3</v>
      </c>
      <c r="H287" s="137">
        <v>-2.5824591642295971E-2</v>
      </c>
      <c r="I287" s="137">
        <v>-2.5303107150748134E-2</v>
      </c>
      <c r="J287" s="137">
        <v>-6.1167125194668001E-3</v>
      </c>
    </row>
    <row r="288" spans="1:10">
      <c r="A288" s="68">
        <v>1.82</v>
      </c>
      <c r="B288" s="69">
        <f t="shared" si="8"/>
        <v>1.8200000000000001E-2</v>
      </c>
      <c r="C288" s="70">
        <f t="shared" si="9"/>
        <v>3.5E-4</v>
      </c>
      <c r="F288" s="71">
        <v>39612</v>
      </c>
      <c r="G288" s="69">
        <v>-1.8944660895316257E-2</v>
      </c>
      <c r="H288" s="137">
        <v>-4.4018835531415133E-2</v>
      </c>
      <c r="I288" s="137">
        <v>7.4297824590565022E-3</v>
      </c>
      <c r="J288" s="137">
        <v>-6.8768173992985931E-2</v>
      </c>
    </row>
    <row r="289" spans="1:10">
      <c r="A289" s="68">
        <v>1.93</v>
      </c>
      <c r="B289" s="69">
        <f t="shared" si="8"/>
        <v>1.9299999999999998E-2</v>
      </c>
      <c r="C289" s="70">
        <f t="shared" si="9"/>
        <v>3.7115384615384609E-4</v>
      </c>
      <c r="F289" s="71">
        <v>39619</v>
      </c>
      <c r="G289" s="69">
        <v>3.8393676832931874E-3</v>
      </c>
      <c r="H289" s="137">
        <v>-1.272764294469045E-2</v>
      </c>
      <c r="I289" s="137">
        <v>-1.6369974427545822E-3</v>
      </c>
      <c r="J289" s="137">
        <v>-5.5988463579716867E-2</v>
      </c>
    </row>
    <row r="290" spans="1:10">
      <c r="A290" s="68">
        <v>1.92</v>
      </c>
      <c r="B290" s="69">
        <f t="shared" si="8"/>
        <v>1.9199999999999998E-2</v>
      </c>
      <c r="C290" s="70">
        <f t="shared" si="9"/>
        <v>3.6923076923076921E-4</v>
      </c>
      <c r="F290" s="71">
        <v>39626</v>
      </c>
      <c r="G290" s="69">
        <v>2.0877996566348628E-3</v>
      </c>
      <c r="H290" s="137">
        <v>-3.3691151243229731E-2</v>
      </c>
      <c r="I290" s="137">
        <v>-2.1264476228586338E-2</v>
      </c>
      <c r="J290" s="137">
        <v>-6.5663575061302298E-2</v>
      </c>
    </row>
    <row r="291" spans="1:10">
      <c r="A291" s="68">
        <v>1.75</v>
      </c>
      <c r="B291" s="69">
        <f t="shared" si="8"/>
        <v>1.7500000000000002E-2</v>
      </c>
      <c r="C291" s="70">
        <f t="shared" si="9"/>
        <v>3.3653846153846158E-4</v>
      </c>
      <c r="F291" s="71">
        <v>39633</v>
      </c>
      <c r="G291" s="69">
        <v>-1.8251662198820169E-3</v>
      </c>
      <c r="H291" s="137">
        <v>-3.0520881459564473E-2</v>
      </c>
      <c r="I291" s="137">
        <v>-2.1277092479305707E-2</v>
      </c>
      <c r="J291" s="137">
        <v>1.9797937723311305E-2</v>
      </c>
    </row>
    <row r="292" spans="1:10">
      <c r="A292" s="68">
        <v>1.83</v>
      </c>
      <c r="B292" s="69">
        <f t="shared" si="8"/>
        <v>1.83E-2</v>
      </c>
      <c r="C292" s="70">
        <f t="shared" si="9"/>
        <v>3.5192307692307693E-4</v>
      </c>
      <c r="F292" s="71">
        <v>39640</v>
      </c>
      <c r="G292" s="69">
        <v>5.6319661718144936E-3</v>
      </c>
      <c r="H292" s="137">
        <v>-2.2699851258737191E-2</v>
      </c>
      <c r="I292" s="137">
        <v>-1.2840552151154351E-3</v>
      </c>
      <c r="J292" s="137">
        <v>4.1838683939324023E-2</v>
      </c>
    </row>
    <row r="293" spans="1:10">
      <c r="A293" s="68">
        <v>1.74</v>
      </c>
      <c r="B293" s="69">
        <f t="shared" si="8"/>
        <v>1.7399999999999999E-2</v>
      </c>
      <c r="C293" s="70">
        <f t="shared" si="9"/>
        <v>3.3461538461538459E-4</v>
      </c>
      <c r="F293" s="71">
        <v>39647</v>
      </c>
      <c r="G293" s="69">
        <v>-1.1386649048172435E-2</v>
      </c>
      <c r="H293" s="137">
        <v>2.9639504719793326E-2</v>
      </c>
      <c r="I293" s="137">
        <v>-2.1123660748638768E-2</v>
      </c>
      <c r="J293" s="137">
        <v>-2.8414866421004051E-2</v>
      </c>
    </row>
    <row r="294" spans="1:10">
      <c r="A294" s="68">
        <v>1.41</v>
      </c>
      <c r="B294" s="69">
        <f t="shared" si="8"/>
        <v>1.41E-2</v>
      </c>
      <c r="C294" s="70">
        <f t="shared" si="9"/>
        <v>2.7115384615384615E-4</v>
      </c>
      <c r="F294" s="71">
        <v>39654</v>
      </c>
      <c r="G294" s="69">
        <v>-1.8069758388549663E-3</v>
      </c>
      <c r="H294" s="137">
        <v>5.018598263801439E-3</v>
      </c>
      <c r="I294" s="137">
        <v>1.4716543506988821E-2</v>
      </c>
      <c r="J294" s="137">
        <v>8.2080300710106524E-2</v>
      </c>
    </row>
    <row r="295" spans="1:10">
      <c r="A295" s="68">
        <v>1.57</v>
      </c>
      <c r="B295" s="69">
        <f t="shared" si="8"/>
        <v>1.5700000000000002E-2</v>
      </c>
      <c r="C295" s="70">
        <f t="shared" si="9"/>
        <v>3.0192307692307696E-4</v>
      </c>
      <c r="F295" s="71">
        <v>39661</v>
      </c>
      <c r="G295" s="69">
        <v>5.3049827882674849E-3</v>
      </c>
      <c r="H295" s="137">
        <v>-3.4035179580804736E-2</v>
      </c>
      <c r="I295" s="137">
        <v>8.6320869854557558E-3</v>
      </c>
      <c r="J295" s="137">
        <v>-4.6958755779786872E-2</v>
      </c>
    </row>
    <row r="296" spans="1:10">
      <c r="A296" s="68">
        <v>1.67</v>
      </c>
      <c r="B296" s="69">
        <f t="shared" si="8"/>
        <v>1.67E-2</v>
      </c>
      <c r="C296" s="70">
        <f t="shared" si="9"/>
        <v>3.2115384615384612E-4</v>
      </c>
      <c r="F296" s="71">
        <v>39668</v>
      </c>
      <c r="G296" s="69">
        <v>-1.1327683165225371E-3</v>
      </c>
      <c r="H296" s="137">
        <v>-8.3722610666268768E-5</v>
      </c>
      <c r="I296" s="137">
        <v>3.8987605584192425E-3</v>
      </c>
      <c r="J296" s="137">
        <v>-3.178675810688229E-3</v>
      </c>
    </row>
    <row r="297" spans="1:10">
      <c r="A297" s="68">
        <v>1.67</v>
      </c>
      <c r="B297" s="69">
        <f t="shared" si="8"/>
        <v>1.67E-2</v>
      </c>
      <c r="C297" s="70">
        <f t="shared" si="9"/>
        <v>3.2115384615384612E-4</v>
      </c>
      <c r="F297" s="71">
        <v>39675</v>
      </c>
      <c r="G297" s="69">
        <v>-4.4174793291276177E-3</v>
      </c>
      <c r="H297" s="137">
        <v>-8.9617914344499103E-3</v>
      </c>
      <c r="I297" s="137">
        <v>-4.5888744587752025E-3</v>
      </c>
      <c r="J297" s="137">
        <v>-3.7715469144531097E-2</v>
      </c>
    </row>
    <row r="298" spans="1:10">
      <c r="A298" s="68">
        <v>1.83</v>
      </c>
      <c r="B298" s="69">
        <f t="shared" si="8"/>
        <v>1.83E-2</v>
      </c>
      <c r="C298" s="70">
        <f t="shared" si="9"/>
        <v>3.5192307692307693E-4</v>
      </c>
      <c r="F298" s="71">
        <v>39682</v>
      </c>
      <c r="G298" s="69">
        <v>9.9947283551629282E-4</v>
      </c>
      <c r="H298" s="137">
        <v>5.651082302435417E-3</v>
      </c>
      <c r="I298" s="137">
        <v>4.2235054523519595E-3</v>
      </c>
      <c r="J298" s="137">
        <v>-5.7963929279545634E-2</v>
      </c>
    </row>
    <row r="299" spans="1:10">
      <c r="A299" s="68">
        <v>1.72</v>
      </c>
      <c r="B299" s="69">
        <f t="shared" si="8"/>
        <v>1.72E-2</v>
      </c>
      <c r="C299" s="70">
        <f t="shared" si="9"/>
        <v>3.3076923076923078E-4</v>
      </c>
      <c r="F299" s="71">
        <v>39689</v>
      </c>
      <c r="G299" s="69">
        <v>3.9065124891827698E-3</v>
      </c>
      <c r="H299" s="137">
        <v>-1.0870169957157857E-2</v>
      </c>
      <c r="I299" s="137">
        <v>4.3327682437532822E-3</v>
      </c>
      <c r="J299" s="137">
        <v>2.1672768266424988E-2</v>
      </c>
    </row>
    <row r="300" spans="1:10">
      <c r="A300" s="68">
        <v>1.69</v>
      </c>
      <c r="B300" s="69">
        <f t="shared" si="8"/>
        <v>1.6899999999999998E-2</v>
      </c>
      <c r="C300" s="70">
        <f t="shared" si="9"/>
        <v>3.2499999999999999E-4</v>
      </c>
      <c r="F300" s="71">
        <v>39696</v>
      </c>
      <c r="G300" s="69">
        <v>-2.7102510322304378E-3</v>
      </c>
      <c r="H300" s="137">
        <v>-7.4565258350540786E-2</v>
      </c>
      <c r="I300" s="137">
        <v>-5.0389856211689947E-2</v>
      </c>
      <c r="J300" s="137">
        <v>-7.297778029041832E-2</v>
      </c>
    </row>
    <row r="301" spans="1:10">
      <c r="A301" s="68">
        <v>1.67</v>
      </c>
      <c r="B301" s="69">
        <f t="shared" si="8"/>
        <v>1.67E-2</v>
      </c>
      <c r="C301" s="70">
        <f t="shared" si="9"/>
        <v>3.2115384615384612E-4</v>
      </c>
      <c r="F301" s="71">
        <v>39703</v>
      </c>
      <c r="G301" s="69">
        <v>-1.8402867360839078E-3</v>
      </c>
      <c r="H301" s="137">
        <v>2.181842302644561E-2</v>
      </c>
      <c r="I301" s="137">
        <v>1.3464993339993354E-2</v>
      </c>
      <c r="J301" s="137">
        <v>9.3712605302142486E-3</v>
      </c>
    </row>
    <row r="302" spans="1:10">
      <c r="A302" s="68">
        <v>1.6</v>
      </c>
      <c r="B302" s="69">
        <f t="shared" si="8"/>
        <v>1.6E-2</v>
      </c>
      <c r="C302" s="70">
        <f t="shared" si="9"/>
        <v>3.076923076923077E-4</v>
      </c>
      <c r="F302" s="71">
        <v>39710</v>
      </c>
      <c r="G302" s="69">
        <v>-9.2543227087760766E-3</v>
      </c>
      <c r="H302" s="137">
        <v>3.0821885885802251E-2</v>
      </c>
      <c r="I302" s="137">
        <v>1.4148959890750011E-2</v>
      </c>
      <c r="J302" s="137">
        <v>-2.9403306560732975E-2</v>
      </c>
    </row>
    <row r="303" spans="1:10">
      <c r="A303" s="68">
        <v>0.62</v>
      </c>
      <c r="B303" s="69">
        <f t="shared" si="8"/>
        <v>6.1999999999999998E-3</v>
      </c>
      <c r="C303" s="70">
        <f t="shared" si="9"/>
        <v>1.1923076923076923E-4</v>
      </c>
      <c r="F303" s="71">
        <v>39717</v>
      </c>
      <c r="G303" s="69">
        <v>-4.7963299251237166E-3</v>
      </c>
      <c r="H303" s="137">
        <v>-2.5041693267675622E-2</v>
      </c>
      <c r="I303" s="137">
        <v>-3.2046124457824239E-2</v>
      </c>
      <c r="J303" s="137">
        <v>-7.3861732819095324E-3</v>
      </c>
    </row>
    <row r="304" spans="1:10">
      <c r="A304" s="68">
        <v>0.84</v>
      </c>
      <c r="B304" s="69">
        <f t="shared" si="8"/>
        <v>8.3999999999999995E-3</v>
      </c>
      <c r="C304" s="70">
        <f t="shared" si="9"/>
        <v>1.6153846153846153E-4</v>
      </c>
      <c r="F304" s="71">
        <v>39724</v>
      </c>
      <c r="G304" s="69">
        <v>-1.1397553802127409E-2</v>
      </c>
      <c r="H304" s="137">
        <v>-4.5912803082804772E-2</v>
      </c>
      <c r="I304" s="137">
        <v>-8.1863504017073541E-2</v>
      </c>
      <c r="J304" s="137">
        <v>-3.6901461210281372E-2</v>
      </c>
    </row>
    <row r="305" spans="1:10">
      <c r="A305" s="68">
        <v>0.76</v>
      </c>
      <c r="B305" s="69">
        <f t="shared" si="8"/>
        <v>7.6E-3</v>
      </c>
      <c r="C305" s="70">
        <f t="shared" si="9"/>
        <v>1.4615384615384615E-4</v>
      </c>
      <c r="F305" s="71">
        <v>39731</v>
      </c>
      <c r="G305" s="69">
        <v>-2.9252130831557629E-2</v>
      </c>
      <c r="H305" s="137">
        <v>-0.22072532892600133</v>
      </c>
      <c r="I305" s="137">
        <v>-0.20467576824998723</v>
      </c>
      <c r="J305" s="137">
        <v>-0.25477023499194973</v>
      </c>
    </row>
    <row r="306" spans="1:10">
      <c r="A306" s="68">
        <v>0.56999999999999995</v>
      </c>
      <c r="B306" s="69">
        <f t="shared" si="8"/>
        <v>5.6999999999999993E-3</v>
      </c>
      <c r="C306" s="70">
        <f t="shared" si="9"/>
        <v>1.096153846153846E-4</v>
      </c>
      <c r="F306" s="71">
        <v>39738</v>
      </c>
      <c r="G306" s="69">
        <v>-6.5203152749480258E-3</v>
      </c>
      <c r="H306" s="137">
        <v>0.11900128477395729</v>
      </c>
      <c r="I306" s="137">
        <v>9.9237229830708096E-2</v>
      </c>
      <c r="J306" s="137">
        <v>8.6470563588644009E-2</v>
      </c>
    </row>
    <row r="307" spans="1:10">
      <c r="A307" s="68">
        <v>0.45</v>
      </c>
      <c r="B307" s="69">
        <f t="shared" si="8"/>
        <v>4.5000000000000005E-3</v>
      </c>
      <c r="C307" s="70">
        <f t="shared" si="9"/>
        <v>8.6538461538461547E-5</v>
      </c>
      <c r="F307" s="71">
        <v>39745</v>
      </c>
      <c r="G307" s="69">
        <v>3.9369895321741339E-3</v>
      </c>
      <c r="H307" s="137">
        <v>-9.3704580730547965E-2</v>
      </c>
      <c r="I307" s="137">
        <v>-4.9736208299430373E-2</v>
      </c>
      <c r="J307" s="137">
        <v>-0.13845572758123489</v>
      </c>
    </row>
    <row r="308" spans="1:10">
      <c r="A308" s="68">
        <v>1.04</v>
      </c>
      <c r="B308" s="69">
        <f t="shared" si="8"/>
        <v>1.04E-2</v>
      </c>
      <c r="C308" s="70">
        <f t="shared" si="9"/>
        <v>1.9999999999999998E-4</v>
      </c>
      <c r="F308" s="71">
        <v>39752</v>
      </c>
      <c r="G308" s="69">
        <v>-7.7231466940426517E-3</v>
      </c>
      <c r="H308" s="137">
        <v>8.4052076375954993E-2</v>
      </c>
      <c r="I308" s="137">
        <v>0.12112366070135047</v>
      </c>
      <c r="J308" s="137">
        <v>7.6226569332698141E-2</v>
      </c>
    </row>
    <row r="309" spans="1:10">
      <c r="A309" s="68">
        <v>0.61</v>
      </c>
      <c r="B309" s="69">
        <f t="shared" si="8"/>
        <v>6.0999999999999995E-3</v>
      </c>
      <c r="C309" s="70">
        <f t="shared" si="9"/>
        <v>1.173076923076923E-4</v>
      </c>
      <c r="F309" s="71">
        <v>39759</v>
      </c>
      <c r="G309" s="69">
        <v>1.3297825298770808E-2</v>
      </c>
      <c r="H309" s="137">
        <v>4.6723826516175395E-3</v>
      </c>
      <c r="I309" s="137">
        <v>-4.121891820080878E-2</v>
      </c>
      <c r="J309" s="137">
        <v>2.481370743599191E-2</v>
      </c>
    </row>
    <row r="310" spans="1:10">
      <c r="A310" s="68">
        <v>0.39</v>
      </c>
      <c r="B310" s="69">
        <f t="shared" si="8"/>
        <v>3.9000000000000003E-3</v>
      </c>
      <c r="C310" s="70">
        <f t="shared" si="9"/>
        <v>7.5000000000000007E-5</v>
      </c>
      <c r="F310" s="71">
        <v>39766</v>
      </c>
      <c r="G310" s="69">
        <v>-6.154191830371375E-4</v>
      </c>
      <c r="H310" s="137">
        <v>-5.1467257385895977E-2</v>
      </c>
      <c r="I310" s="137">
        <v>-5.9206403649413923E-2</v>
      </c>
      <c r="J310" s="137">
        <v>-8.3442025529454872E-2</v>
      </c>
    </row>
    <row r="311" spans="1:10">
      <c r="A311" s="68">
        <v>0.21</v>
      </c>
      <c r="B311" s="69">
        <f t="shared" si="8"/>
        <v>2.0999999999999999E-3</v>
      </c>
      <c r="C311" s="70">
        <f t="shared" si="9"/>
        <v>4.0384615384615382E-5</v>
      </c>
      <c r="F311" s="71">
        <v>39773</v>
      </c>
      <c r="G311" s="69">
        <v>1.6877580407314962E-3</v>
      </c>
      <c r="H311" s="137">
        <v>-0.10640369283591544</v>
      </c>
      <c r="I311" s="137">
        <v>-7.1864721576107016E-2</v>
      </c>
      <c r="J311" s="137">
        <v>-0.1102349408531294</v>
      </c>
    </row>
    <row r="312" spans="1:10">
      <c r="A312" s="68">
        <v>7.0000000000000007E-2</v>
      </c>
      <c r="B312" s="69">
        <f t="shared" si="8"/>
        <v>7.000000000000001E-4</v>
      </c>
      <c r="C312" s="70">
        <f t="shared" si="9"/>
        <v>1.3461538461538463E-5</v>
      </c>
      <c r="F312" s="71">
        <v>39780</v>
      </c>
      <c r="G312" s="69">
        <v>1.9368928717291078E-2</v>
      </c>
      <c r="H312" s="137">
        <v>7.8147684299998993E-2</v>
      </c>
      <c r="I312" s="137">
        <v>9.8905433721310096E-2</v>
      </c>
      <c r="J312" s="137">
        <v>6.6526712420322029E-2</v>
      </c>
    </row>
    <row r="313" spans="1:10">
      <c r="A313" s="68">
        <v>7.0000000000000007E-2</v>
      </c>
      <c r="B313" s="69">
        <f t="shared" si="8"/>
        <v>7.000000000000001E-4</v>
      </c>
      <c r="C313" s="70">
        <f t="shared" si="9"/>
        <v>1.3461538461538463E-5</v>
      </c>
      <c r="F313" s="71">
        <v>39787</v>
      </c>
      <c r="G313" s="69">
        <v>5.476429519592426E-3</v>
      </c>
      <c r="H313" s="137">
        <v>-8.3373362246062621E-2</v>
      </c>
      <c r="I313" s="137">
        <v>-2.841278517687883E-2</v>
      </c>
      <c r="J313" s="137">
        <v>-8.0565351758487599E-2</v>
      </c>
    </row>
    <row r="314" spans="1:10">
      <c r="A314" s="68">
        <v>0.04</v>
      </c>
      <c r="B314" s="69">
        <f t="shared" si="8"/>
        <v>4.0000000000000002E-4</v>
      </c>
      <c r="C314" s="70">
        <f t="shared" si="9"/>
        <v>7.6923076923076919E-6</v>
      </c>
      <c r="F314" s="71">
        <v>39794</v>
      </c>
      <c r="G314" s="69">
        <v>1.3868705998161521E-2</v>
      </c>
      <c r="H314" s="137">
        <v>8.8248110193309748E-2</v>
      </c>
      <c r="I314" s="137">
        <v>8.003642077469E-3</v>
      </c>
      <c r="J314" s="137">
        <v>7.4594569539790642E-2</v>
      </c>
    </row>
    <row r="315" spans="1:10">
      <c r="A315" s="68">
        <v>0.02</v>
      </c>
      <c r="B315" s="69">
        <f t="shared" si="8"/>
        <v>2.0000000000000001E-4</v>
      </c>
      <c r="C315" s="70">
        <f t="shared" si="9"/>
        <v>3.8461538461538459E-6</v>
      </c>
      <c r="F315" s="71">
        <v>39801</v>
      </c>
      <c r="G315" s="69">
        <v>2.5096553140966555E-2</v>
      </c>
      <c r="H315" s="137">
        <v>5.0976170851721812E-2</v>
      </c>
      <c r="I315" s="137">
        <v>6.3588222221064262E-3</v>
      </c>
      <c r="J315" s="137">
        <v>7.003799698100234E-2</v>
      </c>
    </row>
    <row r="316" spans="1:10">
      <c r="A316" s="68">
        <v>0.03</v>
      </c>
      <c r="B316" s="69">
        <f t="shared" si="8"/>
        <v>2.9999999999999997E-4</v>
      </c>
      <c r="C316" s="70">
        <f t="shared" si="9"/>
        <v>5.7692307692307689E-6</v>
      </c>
      <c r="F316" s="71">
        <v>39808</v>
      </c>
      <c r="G316" s="69">
        <v>2.888350211890564E-4</v>
      </c>
      <c r="H316" s="137">
        <v>-1.6305916162936147E-2</v>
      </c>
      <c r="I316" s="137">
        <v>-1.3258692120143327E-2</v>
      </c>
      <c r="J316" s="137">
        <v>-2.9451136753204838E-2</v>
      </c>
    </row>
    <row r="317" spans="1:10">
      <c r="A317" s="68">
        <v>0.02</v>
      </c>
      <c r="B317" s="69">
        <f t="shared" si="8"/>
        <v>2.0000000000000001E-4</v>
      </c>
      <c r="C317" s="70">
        <f t="shared" si="9"/>
        <v>3.8461538461538459E-6</v>
      </c>
      <c r="F317" s="71">
        <v>39815</v>
      </c>
      <c r="G317" s="69">
        <v>-5.3627477540709736E-4</v>
      </c>
      <c r="H317" s="137">
        <v>2.3377482152981244E-2</v>
      </c>
      <c r="I317" s="137">
        <v>5.5202273758281427E-2</v>
      </c>
      <c r="J317" s="137">
        <v>5.622679152664365E-2</v>
      </c>
    </row>
    <row r="318" spans="1:10">
      <c r="A318" s="68">
        <v>0.09</v>
      </c>
      <c r="B318" s="69">
        <f t="shared" si="8"/>
        <v>8.9999999999999998E-4</v>
      </c>
      <c r="C318" s="70">
        <f t="shared" si="9"/>
        <v>1.7307692307692306E-5</v>
      </c>
      <c r="F318" s="71">
        <v>39822</v>
      </c>
      <c r="G318" s="69">
        <v>3.0615927359544759E-3</v>
      </c>
      <c r="H318" s="137">
        <v>-6.666121189031979E-3</v>
      </c>
      <c r="I318" s="137">
        <v>-1.4187108980827505E-2</v>
      </c>
      <c r="J318" s="137">
        <v>9.5674308624912816E-3</v>
      </c>
    </row>
    <row r="319" spans="1:10">
      <c r="A319" s="68">
        <v>0.11</v>
      </c>
      <c r="B319" s="69">
        <f t="shared" si="8"/>
        <v>1.1000000000000001E-3</v>
      </c>
      <c r="C319" s="70">
        <f t="shared" si="9"/>
        <v>2.1153846153846154E-5</v>
      </c>
      <c r="F319" s="71">
        <v>39829</v>
      </c>
      <c r="G319" s="69">
        <v>-5.7719568536395514E-3</v>
      </c>
      <c r="H319" s="137">
        <v>-6.5763348963050125E-2</v>
      </c>
      <c r="I319" s="137">
        <v>-1.5862348342837219E-2</v>
      </c>
      <c r="J319" s="137">
        <v>-5.2661857377509037E-2</v>
      </c>
    </row>
    <row r="320" spans="1:10">
      <c r="A320" s="68">
        <v>0.12</v>
      </c>
      <c r="B320" s="69">
        <f t="shared" si="8"/>
        <v>1.1999999999999999E-3</v>
      </c>
      <c r="C320" s="70">
        <f t="shared" si="9"/>
        <v>2.3076923076923076E-5</v>
      </c>
      <c r="F320" s="71">
        <v>39836</v>
      </c>
      <c r="G320" s="69">
        <v>-1.5930401478724893E-2</v>
      </c>
      <c r="H320" s="137">
        <v>-7.2688577889965217E-2</v>
      </c>
      <c r="I320" s="137">
        <v>-5.7214578623681648E-3</v>
      </c>
      <c r="J320" s="137">
        <v>-4.1591886962557049E-2</v>
      </c>
    </row>
    <row r="321" spans="1:10">
      <c r="A321" s="68">
        <v>0.11</v>
      </c>
      <c r="B321" s="69">
        <f t="shared" si="8"/>
        <v>1.1000000000000001E-3</v>
      </c>
      <c r="C321" s="70">
        <f t="shared" si="9"/>
        <v>2.1153846153846154E-5</v>
      </c>
      <c r="F321" s="71">
        <v>39843</v>
      </c>
      <c r="G321" s="69">
        <v>5.5968782191725215E-4</v>
      </c>
      <c r="H321" s="137">
        <v>2.8146810368657741E-2</v>
      </c>
      <c r="I321" s="137">
        <v>1.5184365807690534E-2</v>
      </c>
      <c r="J321" s="137">
        <v>2.9287103059603418E-2</v>
      </c>
    </row>
    <row r="322" spans="1:10">
      <c r="A322" s="68">
        <v>0.19</v>
      </c>
      <c r="B322" s="69">
        <f t="shared" si="8"/>
        <v>1.9E-3</v>
      </c>
      <c r="C322" s="70">
        <f t="shared" si="9"/>
        <v>3.6538461538461537E-5</v>
      </c>
      <c r="F322" s="71">
        <v>39850</v>
      </c>
      <c r="G322" s="69">
        <v>-8.389973348424145E-4</v>
      </c>
      <c r="H322" s="137">
        <v>3.4821841396270176E-2</v>
      </c>
      <c r="I322" s="137">
        <v>3.5556851057592653E-2</v>
      </c>
      <c r="J322" s="137">
        <v>-1.7520761738390764E-2</v>
      </c>
    </row>
    <row r="323" spans="1:10">
      <c r="A323" s="68">
        <v>0.28999999999999998</v>
      </c>
      <c r="B323" s="69">
        <f t="shared" si="8"/>
        <v>2.8999999999999998E-3</v>
      </c>
      <c r="C323" s="70">
        <f t="shared" si="9"/>
        <v>5.5769230769230765E-5</v>
      </c>
      <c r="F323" s="71">
        <v>39857</v>
      </c>
      <c r="G323" s="69">
        <v>3.0003109522540317E-3</v>
      </c>
      <c r="H323" s="137">
        <v>-2.5735809521300709E-2</v>
      </c>
      <c r="I323" s="137">
        <v>-4.1926581777650719E-2</v>
      </c>
      <c r="J323" s="137">
        <v>1.379978862841072E-2</v>
      </c>
    </row>
    <row r="324" spans="1:10">
      <c r="A324" s="68">
        <v>0.3</v>
      </c>
      <c r="B324" s="69">
        <f t="shared" si="8"/>
        <v>3.0000000000000001E-3</v>
      </c>
      <c r="C324" s="70">
        <f t="shared" si="9"/>
        <v>5.7692307692307691E-5</v>
      </c>
      <c r="F324" s="71">
        <v>39864</v>
      </c>
      <c r="G324" s="69">
        <v>-9.7797450037364394E-3</v>
      </c>
      <c r="H324" s="137">
        <v>-5.1300897553212571E-2</v>
      </c>
      <c r="I324" s="137">
        <v>-7.4734529774577202E-2</v>
      </c>
      <c r="J324" s="137">
        <v>-7.0230855849115897E-2</v>
      </c>
    </row>
    <row r="325" spans="1:10">
      <c r="A325" s="68">
        <v>0.3</v>
      </c>
      <c r="B325" s="69">
        <f t="shared" si="8"/>
        <v>3.0000000000000001E-3</v>
      </c>
      <c r="C325" s="70">
        <f t="shared" si="9"/>
        <v>5.7692307692307691E-5</v>
      </c>
      <c r="F325" s="71">
        <v>39871</v>
      </c>
      <c r="G325" s="69">
        <v>-1.2716585051731148E-2</v>
      </c>
      <c r="H325" s="137">
        <v>-1.336048751948732E-2</v>
      </c>
      <c r="I325" s="137">
        <v>-1.2593984531276416E-2</v>
      </c>
      <c r="J325" s="137">
        <v>-4.2852875800492324E-2</v>
      </c>
    </row>
    <row r="326" spans="1:10">
      <c r="A326" s="68">
        <v>0.28999999999999998</v>
      </c>
      <c r="B326" s="69">
        <f t="shared" ref="B326:B389" si="10">+A326/100</f>
        <v>2.8999999999999998E-3</v>
      </c>
      <c r="C326" s="70">
        <f t="shared" ref="C326:C389" si="11">+B326/52</f>
        <v>5.5769230769230765E-5</v>
      </c>
      <c r="F326" s="71">
        <v>39878</v>
      </c>
      <c r="G326" s="69">
        <v>-3.4924675958964029E-3</v>
      </c>
      <c r="H326" s="137">
        <v>-7.5085965340347241E-2</v>
      </c>
      <c r="I326" s="137">
        <v>-7.9865782029614377E-2</v>
      </c>
      <c r="J326" s="137">
        <v>-6.4533142802064902E-2</v>
      </c>
    </row>
    <row r="327" spans="1:10">
      <c r="A327" s="68">
        <v>0.24</v>
      </c>
      <c r="B327" s="69">
        <f t="shared" si="10"/>
        <v>2.3999999999999998E-3</v>
      </c>
      <c r="C327" s="70">
        <f t="shared" si="11"/>
        <v>4.6153846153846151E-5</v>
      </c>
      <c r="F327" s="71">
        <v>39885</v>
      </c>
      <c r="G327" s="69">
        <v>4.4539482611855611E-3</v>
      </c>
      <c r="H327" s="137">
        <v>1.3714067373776578E-3</v>
      </c>
      <c r="I327" s="137">
        <v>6.327558804454067E-2</v>
      </c>
      <c r="J327" s="137">
        <v>5.776980294811089E-2</v>
      </c>
    </row>
    <row r="328" spans="1:10">
      <c r="A328" s="68">
        <v>0.22</v>
      </c>
      <c r="B328" s="69">
        <f t="shared" si="10"/>
        <v>2.2000000000000001E-3</v>
      </c>
      <c r="C328" s="70">
        <f t="shared" si="11"/>
        <v>4.2307692307692307E-5</v>
      </c>
      <c r="F328" s="71">
        <v>39892</v>
      </c>
      <c r="G328" s="69">
        <v>2.274283146207216E-2</v>
      </c>
      <c r="H328" s="137">
        <v>7.2500463189946546E-2</v>
      </c>
      <c r="I328" s="137">
        <v>6.1880216560742891E-2</v>
      </c>
      <c r="J328" s="137">
        <v>7.7931779469058687E-2</v>
      </c>
    </row>
    <row r="329" spans="1:10">
      <c r="A329" s="68">
        <v>0.22</v>
      </c>
      <c r="B329" s="69">
        <f t="shared" si="10"/>
        <v>2.2000000000000001E-3</v>
      </c>
      <c r="C329" s="70">
        <f t="shared" si="11"/>
        <v>4.2307692307692307E-5</v>
      </c>
      <c r="F329" s="71">
        <v>39899</v>
      </c>
      <c r="G329" s="69">
        <v>-6.1996720661171905E-3</v>
      </c>
      <c r="H329" s="137">
        <v>-1.439591546020115E-2</v>
      </c>
      <c r="I329" s="137">
        <v>1.6161135859863434E-2</v>
      </c>
      <c r="J329" s="137">
        <v>6.4341113053613092E-2</v>
      </c>
    </row>
    <row r="330" spans="1:10">
      <c r="A330" s="68">
        <v>0.18</v>
      </c>
      <c r="B330" s="69">
        <f t="shared" si="10"/>
        <v>1.8E-3</v>
      </c>
      <c r="C330" s="70">
        <f t="shared" si="11"/>
        <v>3.4615384615384612E-5</v>
      </c>
      <c r="F330" s="71">
        <v>39906</v>
      </c>
      <c r="G330" s="69">
        <v>-9.5015055777354044E-4</v>
      </c>
      <c r="H330" s="137">
        <v>2.0109816357748309E-2</v>
      </c>
      <c r="I330" s="137">
        <v>2.7978105794440069E-2</v>
      </c>
      <c r="J330" s="137">
        <v>1.7898945033699192E-2</v>
      </c>
    </row>
    <row r="331" spans="1:10">
      <c r="A331" s="68">
        <v>0.21</v>
      </c>
      <c r="B331" s="69">
        <f t="shared" si="10"/>
        <v>2.0999999999999999E-3</v>
      </c>
      <c r="C331" s="70">
        <f t="shared" si="11"/>
        <v>4.0384615384615382E-5</v>
      </c>
      <c r="F331" s="71">
        <v>39913</v>
      </c>
      <c r="G331" s="69">
        <v>-4.5307842122690155E-4</v>
      </c>
      <c r="H331" s="137">
        <v>2.7500238278493905E-3</v>
      </c>
      <c r="I331" s="137">
        <v>-6.5465618842000849E-3</v>
      </c>
      <c r="J331" s="137">
        <v>2.0855797933651003E-2</v>
      </c>
    </row>
    <row r="332" spans="1:10">
      <c r="A332" s="68">
        <v>0.19</v>
      </c>
      <c r="B332" s="69">
        <f t="shared" si="10"/>
        <v>1.9E-3</v>
      </c>
      <c r="C332" s="70">
        <f t="shared" si="11"/>
        <v>3.6538461538461537E-5</v>
      </c>
      <c r="F332" s="71">
        <v>39920</v>
      </c>
      <c r="G332" s="69">
        <v>7.8555214043770655E-3</v>
      </c>
      <c r="H332" s="137">
        <v>2.0831682984978454E-2</v>
      </c>
      <c r="I332" s="137">
        <v>6.1455362390310814E-3</v>
      </c>
      <c r="J332" s="137">
        <v>4.0459992901473972E-3</v>
      </c>
    </row>
    <row r="333" spans="1:10">
      <c r="A333" s="68">
        <v>0.15</v>
      </c>
      <c r="B333" s="69">
        <f t="shared" si="10"/>
        <v>1.5E-3</v>
      </c>
      <c r="C333" s="70">
        <f t="shared" si="11"/>
        <v>2.8846153846153845E-5</v>
      </c>
      <c r="F333" s="71">
        <v>39927</v>
      </c>
      <c r="G333" s="69">
        <v>8.7736626131385302E-4</v>
      </c>
      <c r="H333" s="137">
        <v>7.9511980122807541E-3</v>
      </c>
      <c r="I333" s="137">
        <v>-1.709841636174431E-2</v>
      </c>
      <c r="J333" s="137">
        <v>1.1953158921719656E-2</v>
      </c>
    </row>
    <row r="334" spans="1:10">
      <c r="A334" s="68">
        <v>0.13</v>
      </c>
      <c r="B334" s="69">
        <f t="shared" si="10"/>
        <v>1.2999999999999999E-3</v>
      </c>
      <c r="C334" s="70">
        <f t="shared" si="11"/>
        <v>2.4999999999999998E-5</v>
      </c>
      <c r="F334" s="71">
        <v>39934</v>
      </c>
      <c r="G334" s="69">
        <v>3.0942865719136088E-3</v>
      </c>
      <c r="H334" s="137">
        <v>3.1055826477422603E-2</v>
      </c>
      <c r="I334" s="137">
        <v>1.513189676370545E-2</v>
      </c>
      <c r="J334" s="137">
        <v>2.4028535116216939E-2</v>
      </c>
    </row>
    <row r="335" spans="1:10">
      <c r="A335" s="68">
        <v>0.13</v>
      </c>
      <c r="B335" s="69">
        <f t="shared" si="10"/>
        <v>1.2999999999999999E-3</v>
      </c>
      <c r="C335" s="70">
        <f t="shared" si="11"/>
        <v>2.4999999999999998E-5</v>
      </c>
      <c r="F335" s="71">
        <v>39941</v>
      </c>
      <c r="G335" s="69">
        <v>7.0074826542463114E-3</v>
      </c>
      <c r="H335" s="137">
        <v>5.263767687659858E-2</v>
      </c>
      <c r="I335" s="137">
        <v>4.4984868713552817E-3</v>
      </c>
      <c r="J335" s="137">
        <v>5.3680966008327592E-2</v>
      </c>
    </row>
    <row r="336" spans="1:10">
      <c r="A336" s="68">
        <v>0.19</v>
      </c>
      <c r="B336" s="69">
        <f t="shared" si="10"/>
        <v>1.9E-3</v>
      </c>
      <c r="C336" s="70">
        <f t="shared" si="11"/>
        <v>3.6538461538461537E-5</v>
      </c>
      <c r="F336" s="71">
        <v>39948</v>
      </c>
      <c r="G336" s="69">
        <v>8.8923981263878318E-3</v>
      </c>
      <c r="H336" s="137">
        <v>1.061186925030861E-2</v>
      </c>
      <c r="I336" s="137">
        <v>-5.3378665754688123E-2</v>
      </c>
      <c r="J336" s="137">
        <v>-1.747560283130889E-2</v>
      </c>
    </row>
    <row r="337" spans="1:10">
      <c r="A337" s="68">
        <v>0.18</v>
      </c>
      <c r="B337" s="69">
        <f t="shared" si="10"/>
        <v>1.8E-3</v>
      </c>
      <c r="C337" s="70">
        <f t="shared" si="11"/>
        <v>3.4615384615384612E-5</v>
      </c>
      <c r="F337" s="71">
        <v>39955</v>
      </c>
      <c r="G337" s="69">
        <v>1.605828568790373E-3</v>
      </c>
      <c r="H337" s="137">
        <v>3.7184779234860528E-2</v>
      </c>
      <c r="I337" s="137">
        <v>1.8630787110237204E-2</v>
      </c>
      <c r="J337" s="137">
        <v>2.8482451300390184E-2</v>
      </c>
    </row>
    <row r="338" spans="1:10">
      <c r="A338" s="68">
        <v>0.18</v>
      </c>
      <c r="B338" s="69">
        <f t="shared" si="10"/>
        <v>1.8E-3</v>
      </c>
      <c r="C338" s="70">
        <f t="shared" si="11"/>
        <v>3.4615384615384612E-5</v>
      </c>
      <c r="F338" s="71">
        <v>39962</v>
      </c>
      <c r="G338" s="69">
        <v>3.9198334433761571E-3</v>
      </c>
      <c r="H338" s="137">
        <v>2.2136500927316002E-2</v>
      </c>
      <c r="I338" s="137">
        <v>5.0966320420475025E-2</v>
      </c>
      <c r="J338" s="137">
        <v>3.4174028653347503E-2</v>
      </c>
    </row>
    <row r="339" spans="1:10">
      <c r="A339" s="68">
        <v>0.16</v>
      </c>
      <c r="B339" s="69">
        <f t="shared" si="10"/>
        <v>1.6000000000000001E-3</v>
      </c>
      <c r="C339" s="70">
        <f t="shared" si="11"/>
        <v>3.0769230769230768E-5</v>
      </c>
      <c r="F339" s="71">
        <v>39969</v>
      </c>
      <c r="G339" s="69">
        <v>-4.5140394856239977E-3</v>
      </c>
      <c r="H339" s="137">
        <v>-3.1057444736876983E-2</v>
      </c>
      <c r="I339" s="137">
        <v>4.0158036072420146E-3</v>
      </c>
      <c r="J339" s="137">
        <v>3.6370708459853116E-2</v>
      </c>
    </row>
    <row r="340" spans="1:10">
      <c r="A340" s="68">
        <v>0.15</v>
      </c>
      <c r="B340" s="69">
        <f t="shared" si="10"/>
        <v>1.5E-3</v>
      </c>
      <c r="C340" s="70">
        <f t="shared" si="11"/>
        <v>2.8846153846153845E-5</v>
      </c>
      <c r="F340" s="71">
        <v>39976</v>
      </c>
      <c r="G340" s="69">
        <v>4.2192970055796966E-5</v>
      </c>
      <c r="H340" s="137">
        <v>1.6353482068372448E-3</v>
      </c>
      <c r="I340" s="137">
        <v>2.6621702884406521E-2</v>
      </c>
      <c r="J340" s="137">
        <v>-1.2117884807329789E-2</v>
      </c>
    </row>
    <row r="341" spans="1:10">
      <c r="A341" s="68">
        <v>0.19</v>
      </c>
      <c r="B341" s="69">
        <f t="shared" si="10"/>
        <v>1.9E-3</v>
      </c>
      <c r="C341" s="70">
        <f t="shared" si="11"/>
        <v>3.6538461538461537E-5</v>
      </c>
      <c r="F341" s="71">
        <v>39983</v>
      </c>
      <c r="G341" s="69">
        <v>1.865885102244142E-3</v>
      </c>
      <c r="H341" s="137">
        <v>-1.1059854065361896E-2</v>
      </c>
      <c r="I341" s="137">
        <v>-2.2934091908905354E-2</v>
      </c>
      <c r="J341" s="137">
        <v>-1.6394274862821395E-2</v>
      </c>
    </row>
    <row r="342" spans="1:10">
      <c r="A342" s="68">
        <v>0.17</v>
      </c>
      <c r="B342" s="69">
        <f t="shared" si="10"/>
        <v>1.7000000000000001E-3</v>
      </c>
      <c r="C342" s="70">
        <f t="shared" si="11"/>
        <v>3.2692307692307693E-5</v>
      </c>
      <c r="F342" s="71">
        <v>39990</v>
      </c>
      <c r="G342" s="69">
        <v>1.053458520159342E-2</v>
      </c>
      <c r="H342" s="137">
        <v>7.7100354937710541E-3</v>
      </c>
      <c r="I342" s="137">
        <v>2.3893750709792452E-2</v>
      </c>
      <c r="J342" s="137">
        <v>1.2859600542862436E-2</v>
      </c>
    </row>
    <row r="343" spans="1:10">
      <c r="A343" s="68">
        <v>0.19</v>
      </c>
      <c r="B343" s="69">
        <f t="shared" si="10"/>
        <v>1.9E-3</v>
      </c>
      <c r="C343" s="70">
        <f t="shared" si="11"/>
        <v>3.6538461538461537E-5</v>
      </c>
      <c r="F343" s="71">
        <v>39997</v>
      </c>
      <c r="G343" s="69">
        <v>3.2212416521748516E-3</v>
      </c>
      <c r="H343" s="137">
        <v>-4.0930524118521208E-3</v>
      </c>
      <c r="I343" s="137">
        <v>-8.0513794572084265E-3</v>
      </c>
      <c r="J343" s="137">
        <v>-2.3153519648549701E-2</v>
      </c>
    </row>
    <row r="344" spans="1:10">
      <c r="A344" s="68">
        <v>0.18</v>
      </c>
      <c r="B344" s="69">
        <f t="shared" si="10"/>
        <v>1.8E-3</v>
      </c>
      <c r="C344" s="70">
        <f t="shared" si="11"/>
        <v>3.4615384615384612E-5</v>
      </c>
      <c r="F344" s="71">
        <v>40004</v>
      </c>
      <c r="G344" s="69">
        <v>7.7293222690994236E-3</v>
      </c>
      <c r="H344" s="137">
        <v>-2.6072658322978125E-2</v>
      </c>
      <c r="I344" s="137">
        <v>-2.0405150256340671E-2</v>
      </c>
      <c r="J344" s="137">
        <v>-1.642182702427546E-2</v>
      </c>
    </row>
    <row r="345" spans="1:10">
      <c r="A345" s="68">
        <v>0.19</v>
      </c>
      <c r="B345" s="69">
        <f t="shared" si="10"/>
        <v>1.9E-3</v>
      </c>
      <c r="C345" s="70">
        <f t="shared" si="11"/>
        <v>3.6538461538461537E-5</v>
      </c>
      <c r="F345" s="71">
        <v>40011</v>
      </c>
      <c r="G345" s="69">
        <v>-1.7164090900127465E-3</v>
      </c>
      <c r="H345" s="137">
        <v>4.7070316101736641E-2</v>
      </c>
      <c r="I345" s="137">
        <v>4.7959370529763012E-2</v>
      </c>
      <c r="J345" s="137">
        <v>7.0570519134508916E-2</v>
      </c>
    </row>
    <row r="346" spans="1:10">
      <c r="A346" s="68">
        <v>0.18</v>
      </c>
      <c r="B346" s="69">
        <f t="shared" si="10"/>
        <v>1.8E-3</v>
      </c>
      <c r="C346" s="70">
        <f t="shared" si="11"/>
        <v>3.4615384615384612E-5</v>
      </c>
      <c r="F346" s="71">
        <v>40018</v>
      </c>
      <c r="G346" s="69">
        <v>3.4617314714194439E-3</v>
      </c>
      <c r="H346" s="137">
        <v>1.8529409676920187E-2</v>
      </c>
      <c r="I346" s="137">
        <v>4.4652050909347873E-2</v>
      </c>
      <c r="J346" s="137">
        <v>3.9803826262625228E-2</v>
      </c>
    </row>
    <row r="347" spans="1:10">
      <c r="A347" s="68">
        <v>0.19</v>
      </c>
      <c r="B347" s="69">
        <f t="shared" si="10"/>
        <v>1.9E-3</v>
      </c>
      <c r="C347" s="70">
        <f t="shared" si="11"/>
        <v>3.6538461538461537E-5</v>
      </c>
      <c r="F347" s="71">
        <v>40025</v>
      </c>
      <c r="G347" s="69">
        <v>9.5467458816525068E-3</v>
      </c>
      <c r="H347" s="137">
        <v>4.458292213387575E-3</v>
      </c>
      <c r="I347" s="137">
        <v>1.3865066125750079E-2</v>
      </c>
      <c r="J347" s="137">
        <v>6.9218494570674497E-3</v>
      </c>
    </row>
    <row r="348" spans="1:10">
      <c r="A348" s="68">
        <v>0.19</v>
      </c>
      <c r="B348" s="69">
        <f t="shared" si="10"/>
        <v>1.9E-3</v>
      </c>
      <c r="C348" s="70">
        <f t="shared" si="11"/>
        <v>3.6538461538461537E-5</v>
      </c>
      <c r="F348" s="71">
        <v>40032</v>
      </c>
      <c r="G348" s="69">
        <v>-2.7235332018115139E-3</v>
      </c>
      <c r="H348" s="137">
        <v>7.5772391252875862E-3</v>
      </c>
      <c r="I348" s="137">
        <v>-4.2168267288636343E-3</v>
      </c>
      <c r="J348" s="137">
        <v>-1.0651770196330873E-2</v>
      </c>
    </row>
    <row r="349" spans="1:10">
      <c r="A349" s="68">
        <v>0.18</v>
      </c>
      <c r="B349" s="69">
        <f t="shared" si="10"/>
        <v>1.8E-3</v>
      </c>
      <c r="C349" s="70">
        <f t="shared" si="11"/>
        <v>3.4615384615384612E-5</v>
      </c>
      <c r="F349" s="71">
        <v>40039</v>
      </c>
      <c r="G349" s="69">
        <v>8.6200755540198955E-3</v>
      </c>
      <c r="H349" s="137">
        <v>-4.0780143385464243E-4</v>
      </c>
      <c r="I349" s="137">
        <v>-4.1389416308271641E-3</v>
      </c>
      <c r="J349" s="137">
        <v>6.778039898992067E-3</v>
      </c>
    </row>
    <row r="350" spans="1:10">
      <c r="A350" s="68">
        <v>0.18</v>
      </c>
      <c r="B350" s="69">
        <f t="shared" si="10"/>
        <v>1.8E-3</v>
      </c>
      <c r="C350" s="70">
        <f t="shared" si="11"/>
        <v>3.4615384615384612E-5</v>
      </c>
      <c r="F350" s="71">
        <v>40046</v>
      </c>
      <c r="G350" s="69">
        <v>2.1811919808727978E-3</v>
      </c>
      <c r="H350" s="137">
        <v>2.043087113628762E-2</v>
      </c>
      <c r="I350" s="137">
        <v>2.0004446784196887E-2</v>
      </c>
      <c r="J350" s="137">
        <v>-3.5860660306012253E-2</v>
      </c>
    </row>
    <row r="351" spans="1:10">
      <c r="A351" s="68">
        <v>0.17</v>
      </c>
      <c r="B351" s="69">
        <f t="shared" si="10"/>
        <v>1.7000000000000001E-3</v>
      </c>
      <c r="C351" s="70">
        <f t="shared" si="11"/>
        <v>3.2692307692307693E-5</v>
      </c>
      <c r="F351" s="71">
        <v>40053</v>
      </c>
      <c r="G351" s="69">
        <v>8.0811513520432244E-3</v>
      </c>
      <c r="H351" s="137">
        <v>7.5107404299934056E-3</v>
      </c>
      <c r="I351" s="137">
        <v>-1.3067736667713071E-2</v>
      </c>
      <c r="J351" s="137">
        <v>3.4099434706388786E-2</v>
      </c>
    </row>
    <row r="352" spans="1:10">
      <c r="A352" s="68">
        <v>0.16</v>
      </c>
      <c r="B352" s="69">
        <f t="shared" si="10"/>
        <v>1.6000000000000001E-3</v>
      </c>
      <c r="C352" s="70">
        <f t="shared" si="11"/>
        <v>3.0769230769230768E-5</v>
      </c>
      <c r="F352" s="71">
        <v>40060</v>
      </c>
      <c r="G352" s="69">
        <v>-2.7898641265470918E-4</v>
      </c>
      <c r="H352" s="137">
        <v>-1.1589085912013108E-2</v>
      </c>
      <c r="I352" s="137">
        <v>-1.0897717114944069E-2</v>
      </c>
      <c r="J352" s="137">
        <v>1.0741760852988259E-2</v>
      </c>
    </row>
    <row r="353" spans="1:10">
      <c r="A353" s="68">
        <v>0.14000000000000001</v>
      </c>
      <c r="B353" s="69">
        <f t="shared" si="10"/>
        <v>1.4000000000000002E-3</v>
      </c>
      <c r="C353" s="70">
        <f t="shared" si="11"/>
        <v>2.6923076923076927E-5</v>
      </c>
      <c r="F353" s="71">
        <v>40067</v>
      </c>
      <c r="G353" s="69">
        <v>1.1883586738753716E-2</v>
      </c>
      <c r="H353" s="137">
        <v>6.8845580924546318E-2</v>
      </c>
      <c r="I353" s="137">
        <v>2.3024364835587861E-2</v>
      </c>
      <c r="J353" s="137">
        <v>4.3598286941441328E-2</v>
      </c>
    </row>
    <row r="354" spans="1:10">
      <c r="A354" s="68">
        <v>0.14000000000000001</v>
      </c>
      <c r="B354" s="69">
        <f t="shared" si="10"/>
        <v>1.4000000000000002E-3</v>
      </c>
      <c r="C354" s="70">
        <f t="shared" si="11"/>
        <v>2.6923076923076927E-5</v>
      </c>
      <c r="F354" s="71">
        <v>40074</v>
      </c>
      <c r="G354" s="69">
        <v>1.8865798280130602E-3</v>
      </c>
      <c r="H354" s="137">
        <v>1.3868348753525044E-2</v>
      </c>
      <c r="I354" s="137">
        <v>3.0530971749189267E-2</v>
      </c>
      <c r="J354" s="137">
        <v>1.7288542454163773E-2</v>
      </c>
    </row>
    <row r="355" spans="1:10">
      <c r="A355" s="68">
        <v>0.11</v>
      </c>
      <c r="B355" s="69">
        <f t="shared" si="10"/>
        <v>1.1000000000000001E-3</v>
      </c>
      <c r="C355" s="70">
        <f t="shared" si="11"/>
        <v>2.1153846153846154E-5</v>
      </c>
      <c r="F355" s="71">
        <v>40081</v>
      </c>
      <c r="G355" s="69">
        <v>2.0417000754852995E-3</v>
      </c>
      <c r="H355" s="137">
        <v>-1.9226220962197709E-2</v>
      </c>
      <c r="I355" s="137">
        <v>-1.5683062031426543E-2</v>
      </c>
      <c r="J355" s="137">
        <v>3.4074051749487439E-4</v>
      </c>
    </row>
    <row r="356" spans="1:10">
      <c r="A356" s="68">
        <v>0.11</v>
      </c>
      <c r="B356" s="69">
        <f t="shared" si="10"/>
        <v>1.1000000000000001E-3</v>
      </c>
      <c r="C356" s="70">
        <f t="shared" si="11"/>
        <v>2.1153846153846154E-5</v>
      </c>
      <c r="F356" s="71">
        <v>40088</v>
      </c>
      <c r="G356" s="69">
        <v>2.6027014105627342E-3</v>
      </c>
      <c r="H356" s="137">
        <v>-3.3412352081966737E-4</v>
      </c>
      <c r="I356" s="137">
        <v>-1.6960145453864497E-2</v>
      </c>
      <c r="J356" s="137">
        <v>1.0615220949263447E-2</v>
      </c>
    </row>
    <row r="357" spans="1:10">
      <c r="A357" s="68">
        <v>0.12</v>
      </c>
      <c r="B357" s="69">
        <f t="shared" si="10"/>
        <v>1.1999999999999999E-3</v>
      </c>
      <c r="C357" s="70">
        <f t="shared" si="11"/>
        <v>2.3076923076923076E-5</v>
      </c>
      <c r="F357" s="71">
        <v>40095</v>
      </c>
      <c r="G357" s="69">
        <v>3.8616924145384152E-3</v>
      </c>
      <c r="H357" s="137">
        <v>2.5414413042644236E-2</v>
      </c>
      <c r="I357" s="137">
        <v>4.3876383614380919E-2</v>
      </c>
      <c r="J357" s="137">
        <v>1.0444193725279731E-2</v>
      </c>
    </row>
    <row r="358" spans="1:10">
      <c r="A358" s="68">
        <v>0.08</v>
      </c>
      <c r="B358" s="69">
        <f t="shared" si="10"/>
        <v>8.0000000000000004E-4</v>
      </c>
      <c r="C358" s="70">
        <f t="shared" si="11"/>
        <v>1.5384615384615384E-5</v>
      </c>
      <c r="F358" s="71">
        <v>40102</v>
      </c>
      <c r="G358" s="69">
        <v>-2.1006921429532438E-3</v>
      </c>
      <c r="H358" s="137">
        <v>6.5118870139033809E-4</v>
      </c>
      <c r="I358" s="137">
        <v>2.3551435125060898E-2</v>
      </c>
      <c r="J358" s="137">
        <v>3.6942629461784608E-2</v>
      </c>
    </row>
    <row r="359" spans="1:10">
      <c r="A359" s="68">
        <v>7.0000000000000007E-2</v>
      </c>
      <c r="B359" s="69">
        <f t="shared" si="10"/>
        <v>7.000000000000001E-4</v>
      </c>
      <c r="C359" s="70">
        <f t="shared" si="11"/>
        <v>1.3461538461538463E-5</v>
      </c>
      <c r="F359" s="71">
        <v>40109</v>
      </c>
      <c r="G359" s="69">
        <v>3.558818204113594E-4</v>
      </c>
      <c r="H359" s="137">
        <v>3.0861794037523246E-3</v>
      </c>
      <c r="I359" s="137">
        <v>-1.4416242765181256E-2</v>
      </c>
      <c r="J359" s="137">
        <v>1.2591921081512511E-2</v>
      </c>
    </row>
    <row r="360" spans="1:10">
      <c r="A360" s="68">
        <v>7.0000000000000007E-2</v>
      </c>
      <c r="B360" s="69">
        <f t="shared" si="10"/>
        <v>7.000000000000001E-4</v>
      </c>
      <c r="C360" s="70">
        <f t="shared" si="11"/>
        <v>1.3461538461538463E-5</v>
      </c>
      <c r="F360" s="71">
        <v>40116</v>
      </c>
      <c r="G360" s="69">
        <v>-6.3824369978528986E-4</v>
      </c>
      <c r="H360" s="137">
        <v>-2.7349002059549682E-2</v>
      </c>
      <c r="I360" s="137">
        <v>-3.6009094359491164E-2</v>
      </c>
      <c r="J360" s="137">
        <v>-2.4710255358259034E-2</v>
      </c>
    </row>
    <row r="361" spans="1:10">
      <c r="A361" s="68">
        <v>7.0000000000000007E-2</v>
      </c>
      <c r="B361" s="69">
        <f t="shared" si="10"/>
        <v>7.000000000000001E-4</v>
      </c>
      <c r="C361" s="70">
        <f t="shared" si="11"/>
        <v>1.3461538461538463E-5</v>
      </c>
      <c r="F361" s="71">
        <v>40123</v>
      </c>
      <c r="G361" s="69">
        <v>1.5690229413373293E-3</v>
      </c>
      <c r="H361" s="137">
        <v>2.5237902041499286E-2</v>
      </c>
      <c r="I361" s="137">
        <v>3.1342024797523835E-2</v>
      </c>
      <c r="J361" s="137">
        <v>1.8699123959435508E-2</v>
      </c>
    </row>
    <row r="362" spans="1:10">
      <c r="A362" s="68">
        <v>0.05</v>
      </c>
      <c r="B362" s="69">
        <f t="shared" si="10"/>
        <v>5.0000000000000001E-4</v>
      </c>
      <c r="C362" s="70">
        <f t="shared" si="11"/>
        <v>9.6153846153846157E-6</v>
      </c>
      <c r="F362" s="71">
        <v>40130</v>
      </c>
      <c r="G362" s="69">
        <v>5.1737130235056748E-3</v>
      </c>
      <c r="H362" s="137">
        <v>2.8033364969614716E-2</v>
      </c>
      <c r="I362" s="137">
        <v>2.2151945559424357E-2</v>
      </c>
      <c r="J362" s="137">
        <v>2.2248024594152035E-2</v>
      </c>
    </row>
    <row r="363" spans="1:10">
      <c r="A363" s="68">
        <v>7.0000000000000007E-2</v>
      </c>
      <c r="B363" s="69">
        <f t="shared" si="10"/>
        <v>7.000000000000001E-4</v>
      </c>
      <c r="C363" s="70">
        <f t="shared" si="11"/>
        <v>1.3461538461538463E-5</v>
      </c>
      <c r="F363" s="71">
        <v>40137</v>
      </c>
      <c r="G363" s="69">
        <v>5.3320213965635408E-3</v>
      </c>
      <c r="H363" s="137">
        <v>2.7537043037464694E-3</v>
      </c>
      <c r="I363" s="137">
        <v>2.5982247216724758E-3</v>
      </c>
      <c r="J363" s="137">
        <v>-2.334389692313758E-2</v>
      </c>
    </row>
    <row r="364" spans="1:10">
      <c r="A364" s="68">
        <v>0.04</v>
      </c>
      <c r="B364" s="69">
        <f t="shared" si="10"/>
        <v>4.0000000000000002E-4</v>
      </c>
      <c r="C364" s="70">
        <f t="shared" si="11"/>
        <v>7.6923076923076919E-6</v>
      </c>
      <c r="F364" s="71">
        <v>40144</v>
      </c>
      <c r="G364" s="69">
        <v>8.1498589411421445E-3</v>
      </c>
      <c r="H364" s="137">
        <v>5.1805829817789632E-3</v>
      </c>
      <c r="I364" s="137">
        <v>1.0145179294008454E-2</v>
      </c>
      <c r="J364" s="137">
        <v>-2.5701930171675231E-2</v>
      </c>
    </row>
    <row r="365" spans="1:10">
      <c r="A365" s="68">
        <v>0.05</v>
      </c>
      <c r="B365" s="69">
        <f t="shared" si="10"/>
        <v>5.0000000000000001E-4</v>
      </c>
      <c r="C365" s="70">
        <f t="shared" si="11"/>
        <v>9.6153846153846157E-6</v>
      </c>
      <c r="F365" s="71">
        <v>40151</v>
      </c>
      <c r="G365" s="69">
        <v>-5.0288957979764412E-3</v>
      </c>
      <c r="H365" s="137">
        <v>1.1731480269714017E-2</v>
      </c>
      <c r="I365" s="137">
        <v>2.4793853447334434E-2</v>
      </c>
      <c r="J365" s="137">
        <v>3.5741838377751703E-2</v>
      </c>
    </row>
    <row r="366" spans="1:10">
      <c r="A366" s="68">
        <v>0.06</v>
      </c>
      <c r="B366" s="69">
        <f t="shared" si="10"/>
        <v>5.9999999999999995E-4</v>
      </c>
      <c r="C366" s="70">
        <f t="shared" si="11"/>
        <v>1.1538461538461538E-5</v>
      </c>
      <c r="F366" s="71">
        <v>40158</v>
      </c>
      <c r="G366" s="69">
        <v>-3.0878250317494587E-3</v>
      </c>
      <c r="H366" s="137">
        <v>-2.1952522423879413E-2</v>
      </c>
      <c r="I366" s="137">
        <v>2.0839175591435641E-2</v>
      </c>
      <c r="J366" s="137">
        <v>-4.204281757759617E-3</v>
      </c>
    </row>
    <row r="367" spans="1:10">
      <c r="A367" s="68">
        <v>0.03</v>
      </c>
      <c r="B367" s="69">
        <f t="shared" si="10"/>
        <v>2.9999999999999997E-4</v>
      </c>
      <c r="C367" s="70">
        <f t="shared" si="11"/>
        <v>5.7692307692307689E-6</v>
      </c>
      <c r="F367" s="71">
        <v>40165</v>
      </c>
      <c r="G367" s="69">
        <v>-3.6638804279405055E-3</v>
      </c>
      <c r="H367" s="137">
        <v>-1.3845681318011081E-2</v>
      </c>
      <c r="I367" s="137">
        <v>1.6350630886184516E-2</v>
      </c>
      <c r="J367" s="137">
        <v>-3.5760941749165024E-4</v>
      </c>
    </row>
    <row r="368" spans="1:10">
      <c r="A368" s="68">
        <v>0.04</v>
      </c>
      <c r="B368" s="69">
        <f t="shared" si="10"/>
        <v>4.0000000000000002E-4</v>
      </c>
      <c r="C368" s="70">
        <f t="shared" si="11"/>
        <v>7.6923076923076919E-6</v>
      </c>
      <c r="F368" s="71">
        <v>40172</v>
      </c>
      <c r="G368" s="69">
        <v>-7.9186651471327956E-3</v>
      </c>
      <c r="H368" s="137">
        <v>1.8115582999033659E-2</v>
      </c>
      <c r="I368" s="137">
        <v>1.9417226465467466E-2</v>
      </c>
      <c r="J368" s="137">
        <v>1.0126209998154809E-2</v>
      </c>
    </row>
    <row r="369" spans="1:10">
      <c r="A369" s="68">
        <v>7.0000000000000007E-2</v>
      </c>
      <c r="B369" s="69">
        <f t="shared" si="10"/>
        <v>7.000000000000001E-4</v>
      </c>
      <c r="C369" s="70">
        <f t="shared" si="11"/>
        <v>1.3461538461538463E-5</v>
      </c>
      <c r="F369" s="71">
        <v>40179</v>
      </c>
      <c r="G369" s="69">
        <v>-7.152046648021879E-4</v>
      </c>
      <c r="H369" s="137">
        <v>1.8304940663860268E-2</v>
      </c>
      <c r="I369" s="137">
        <v>-3.7341066998763171E-3</v>
      </c>
      <c r="J369" s="137">
        <v>2.7735093988059137E-2</v>
      </c>
    </row>
    <row r="370" spans="1:10">
      <c r="A370" s="68">
        <v>0.08</v>
      </c>
      <c r="B370" s="69">
        <f t="shared" si="10"/>
        <v>8.0000000000000004E-4</v>
      </c>
      <c r="C370" s="70">
        <f t="shared" si="11"/>
        <v>1.5384615384615384E-5</v>
      </c>
      <c r="F370" s="71">
        <v>40186</v>
      </c>
      <c r="G370" s="69">
        <v>4.0616178251047198E-3</v>
      </c>
      <c r="H370" s="137">
        <v>-3.577558012688116E-3</v>
      </c>
      <c r="I370" s="137">
        <v>1.8069089571224862E-3</v>
      </c>
      <c r="J370" s="137">
        <v>4.2770274293411223E-2</v>
      </c>
    </row>
    <row r="371" spans="1:10">
      <c r="A371" s="68">
        <v>0.06</v>
      </c>
      <c r="B371" s="69">
        <f t="shared" si="10"/>
        <v>5.9999999999999995E-4</v>
      </c>
      <c r="C371" s="70">
        <f t="shared" si="11"/>
        <v>1.1538461538461538E-5</v>
      </c>
      <c r="F371" s="71">
        <v>40193</v>
      </c>
      <c r="G371" s="69">
        <v>8.788519466334202E-3</v>
      </c>
      <c r="H371" s="137">
        <v>-8.1104137016219037E-4</v>
      </c>
      <c r="I371" s="137">
        <v>3.8067179185493792E-3</v>
      </c>
      <c r="J371" s="137">
        <v>-2.0241993550396773E-2</v>
      </c>
    </row>
    <row r="372" spans="1:10">
      <c r="A372" s="68">
        <v>0.05</v>
      </c>
      <c r="B372" s="69">
        <f t="shared" si="10"/>
        <v>5.0000000000000001E-4</v>
      </c>
      <c r="C372" s="70">
        <f t="shared" si="11"/>
        <v>9.6153846153846157E-6</v>
      </c>
      <c r="F372" s="71">
        <v>40200</v>
      </c>
      <c r="G372" s="69">
        <v>-4.5030076171640853E-3</v>
      </c>
      <c r="H372" s="137">
        <v>-2.1307847562253329E-2</v>
      </c>
      <c r="I372" s="137">
        <v>-2.5126620032959211E-2</v>
      </c>
      <c r="J372" s="137">
        <v>-3.5966764845295325E-2</v>
      </c>
    </row>
    <row r="373" spans="1:10">
      <c r="A373" s="68">
        <v>0.06</v>
      </c>
      <c r="B373" s="69">
        <f t="shared" si="10"/>
        <v>5.9999999999999995E-4</v>
      </c>
      <c r="C373" s="70">
        <f t="shared" si="11"/>
        <v>1.1538461538461538E-5</v>
      </c>
      <c r="F373" s="71">
        <v>40207</v>
      </c>
      <c r="G373" s="69">
        <v>-7.9449316887427368E-4</v>
      </c>
      <c r="H373" s="137">
        <v>-2.3478153817532259E-2</v>
      </c>
      <c r="I373" s="137">
        <v>-1.8155856992329678E-2</v>
      </c>
      <c r="J373" s="137">
        <v>-4.3471471022453821E-2</v>
      </c>
    </row>
    <row r="374" spans="1:10">
      <c r="A374" s="68">
        <v>7.0000000000000007E-2</v>
      </c>
      <c r="B374" s="69">
        <f t="shared" si="10"/>
        <v>7.000000000000001E-4</v>
      </c>
      <c r="C374" s="70">
        <f t="shared" si="11"/>
        <v>1.3461538461538463E-5</v>
      </c>
      <c r="F374" s="71">
        <v>40214</v>
      </c>
      <c r="G374" s="69">
        <v>-2.2095210315142104E-3</v>
      </c>
      <c r="H374" s="137">
        <v>-4.4237098298904605E-2</v>
      </c>
      <c r="I374" s="137">
        <v>-1.4661086171750978E-2</v>
      </c>
      <c r="J374" s="137">
        <v>-3.37063314609252E-2</v>
      </c>
    </row>
    <row r="375" spans="1:10">
      <c r="A375" s="68">
        <v>0.1</v>
      </c>
      <c r="B375" s="69">
        <f t="shared" si="10"/>
        <v>1E-3</v>
      </c>
      <c r="C375" s="70">
        <f t="shared" si="11"/>
        <v>1.9230769230769231E-5</v>
      </c>
      <c r="F375" s="71">
        <v>40221</v>
      </c>
      <c r="G375" s="69">
        <v>-3.8791217659533321E-3</v>
      </c>
      <c r="H375" s="137">
        <v>1.1691071577600643E-2</v>
      </c>
      <c r="I375" s="137">
        <v>1.1280081429844822E-2</v>
      </c>
      <c r="J375" s="137">
        <v>2.6200849808777005E-2</v>
      </c>
    </row>
    <row r="376" spans="1:10">
      <c r="A376" s="68">
        <v>0.11</v>
      </c>
      <c r="B376" s="69">
        <f t="shared" si="10"/>
        <v>1.1000000000000001E-3</v>
      </c>
      <c r="C376" s="70">
        <f t="shared" si="11"/>
        <v>2.1153846153846154E-5</v>
      </c>
      <c r="F376" s="71">
        <v>40228</v>
      </c>
      <c r="G376" s="69">
        <v>-1.7742309243843277E-3</v>
      </c>
      <c r="H376" s="137">
        <v>1.4934133488338195E-2</v>
      </c>
      <c r="I376" s="137">
        <v>3.3342810128545779E-2</v>
      </c>
      <c r="J376" s="137">
        <v>1.1162348614066727E-2</v>
      </c>
    </row>
    <row r="377" spans="1:10">
      <c r="A377" s="68">
        <v>0.1</v>
      </c>
      <c r="B377" s="69">
        <f t="shared" si="10"/>
        <v>1E-3</v>
      </c>
      <c r="C377" s="70">
        <f t="shared" si="11"/>
        <v>1.9230769230769231E-5</v>
      </c>
      <c r="F377" s="71">
        <v>40235</v>
      </c>
      <c r="G377" s="69">
        <v>8.8252958151695138E-3</v>
      </c>
      <c r="H377" s="137">
        <v>-8.3340389756627006E-6</v>
      </c>
      <c r="I377" s="137">
        <v>-1.2890303608851288E-2</v>
      </c>
      <c r="J377" s="137">
        <v>2.1700790662548861E-2</v>
      </c>
    </row>
    <row r="378" spans="1:10">
      <c r="A378" s="68">
        <v>0.12</v>
      </c>
      <c r="B378" s="69">
        <f t="shared" si="10"/>
        <v>1.1999999999999999E-3</v>
      </c>
      <c r="C378" s="70">
        <f t="shared" si="11"/>
        <v>2.3076923076923076E-5</v>
      </c>
      <c r="F378" s="71">
        <v>40242</v>
      </c>
      <c r="G378" s="69">
        <v>2.3252690796813015E-3</v>
      </c>
      <c r="H378" s="137">
        <v>2.5355034847505946E-2</v>
      </c>
      <c r="I378" s="137">
        <v>3.2915670631087864E-2</v>
      </c>
      <c r="J378" s="137">
        <v>2.9011449262466859E-2</v>
      </c>
    </row>
    <row r="379" spans="1:10">
      <c r="A379" s="68">
        <v>0.14000000000000001</v>
      </c>
      <c r="B379" s="69">
        <f t="shared" si="10"/>
        <v>1.4000000000000002E-3</v>
      </c>
      <c r="C379" s="70">
        <f t="shared" si="11"/>
        <v>2.6923076923076927E-5</v>
      </c>
      <c r="F379" s="71">
        <v>40249</v>
      </c>
      <c r="G379" s="69">
        <v>6.8869615388806991E-5</v>
      </c>
      <c r="H379" s="137">
        <v>1.224302112273133E-2</v>
      </c>
      <c r="I379" s="137">
        <v>1.1761142893070694E-2</v>
      </c>
      <c r="J379" s="137">
        <v>5.4505275828443675E-3</v>
      </c>
    </row>
    <row r="380" spans="1:10">
      <c r="A380" s="68">
        <v>0.16</v>
      </c>
      <c r="B380" s="69">
        <f t="shared" si="10"/>
        <v>1.6000000000000001E-3</v>
      </c>
      <c r="C380" s="70">
        <f t="shared" si="11"/>
        <v>3.0769230769230768E-5</v>
      </c>
      <c r="F380" s="71">
        <v>40256</v>
      </c>
      <c r="G380" s="69">
        <v>2.2684196130580967E-3</v>
      </c>
      <c r="H380" s="137">
        <v>-1.185746878620275E-2</v>
      </c>
      <c r="I380" s="137">
        <v>6.0920215402197079E-3</v>
      </c>
      <c r="J380" s="137">
        <v>3.8377990668946906E-3</v>
      </c>
    </row>
    <row r="381" spans="1:10">
      <c r="A381" s="68">
        <v>0.16</v>
      </c>
      <c r="B381" s="69">
        <f t="shared" si="10"/>
        <v>1.6000000000000001E-3</v>
      </c>
      <c r="C381" s="70">
        <f t="shared" si="11"/>
        <v>3.0769230769230768E-5</v>
      </c>
      <c r="F381" s="71">
        <v>40263</v>
      </c>
      <c r="G381" s="69">
        <v>-9.74904687820893E-3</v>
      </c>
      <c r="H381" s="137">
        <v>-8.0712314532567914E-3</v>
      </c>
      <c r="I381" s="137">
        <v>-1.422975776885228E-2</v>
      </c>
      <c r="J381" s="137">
        <v>-1.0799529562539368E-2</v>
      </c>
    </row>
    <row r="382" spans="1:10">
      <c r="A382" s="68">
        <v>0.14000000000000001</v>
      </c>
      <c r="B382" s="69">
        <f t="shared" si="10"/>
        <v>1.4000000000000002E-3</v>
      </c>
      <c r="C382" s="70">
        <f t="shared" si="11"/>
        <v>2.6923076923076927E-5</v>
      </c>
      <c r="F382" s="71">
        <v>40270</v>
      </c>
      <c r="G382" s="69">
        <v>4.2969942431928644E-3</v>
      </c>
      <c r="H382" s="137">
        <v>2.9321046843419324E-2</v>
      </c>
      <c r="I382" s="137">
        <v>2.584405818760831E-2</v>
      </c>
      <c r="J382" s="137">
        <v>3.041530504806627E-2</v>
      </c>
    </row>
    <row r="383" spans="1:10">
      <c r="A383" s="68">
        <v>0.16</v>
      </c>
      <c r="B383" s="69">
        <f t="shared" si="10"/>
        <v>1.6000000000000001E-3</v>
      </c>
      <c r="C383" s="70">
        <f t="shared" si="11"/>
        <v>3.0769230769230768E-5</v>
      </c>
      <c r="F383" s="71">
        <v>40277</v>
      </c>
      <c r="G383" s="69">
        <v>3.4369425895364891E-4</v>
      </c>
      <c r="H383" s="137">
        <v>4.3592614078724421E-3</v>
      </c>
      <c r="I383" s="137">
        <v>4.948814634466038E-3</v>
      </c>
      <c r="J383" s="137">
        <v>2.5619704998887136E-2</v>
      </c>
    </row>
    <row r="384" spans="1:10">
      <c r="A384" s="68">
        <v>0.17</v>
      </c>
      <c r="B384" s="69">
        <f t="shared" si="10"/>
        <v>1.7000000000000001E-3</v>
      </c>
      <c r="C384" s="70">
        <f t="shared" si="11"/>
        <v>3.2692307692307693E-5</v>
      </c>
      <c r="F384" s="71">
        <v>40284</v>
      </c>
      <c r="G384" s="69">
        <v>4.6109562359437266E-3</v>
      </c>
      <c r="H384" s="137">
        <v>-4.1559158066174469E-3</v>
      </c>
      <c r="I384" s="137">
        <v>-1.1134226476437307E-2</v>
      </c>
      <c r="J384" s="137">
        <v>-9.3063363639388184E-3</v>
      </c>
    </row>
    <row r="385" spans="1:10">
      <c r="A385" s="68">
        <v>0.16</v>
      </c>
      <c r="B385" s="69">
        <f t="shared" si="10"/>
        <v>1.6000000000000001E-3</v>
      </c>
      <c r="C385" s="70">
        <f t="shared" si="11"/>
        <v>3.0769230769230768E-5</v>
      </c>
      <c r="F385" s="71">
        <v>40291</v>
      </c>
      <c r="G385" s="69">
        <v>-5.7409272406693272E-4</v>
      </c>
      <c r="H385" s="137">
        <v>-2.4471356555439642E-2</v>
      </c>
      <c r="I385" s="137">
        <v>2.1529185564445181E-2</v>
      </c>
      <c r="J385" s="137">
        <v>-4.6347962907386069E-3</v>
      </c>
    </row>
    <row r="386" spans="1:10">
      <c r="A386" s="68">
        <v>0.16</v>
      </c>
      <c r="B386" s="69">
        <f t="shared" si="10"/>
        <v>1.6000000000000001E-3</v>
      </c>
      <c r="C386" s="70">
        <f t="shared" si="11"/>
        <v>3.0769230769230768E-5</v>
      </c>
      <c r="F386" s="71">
        <v>40298</v>
      </c>
      <c r="G386" s="69">
        <v>2.5029995541333543E-3</v>
      </c>
      <c r="H386" s="137">
        <v>-3.9956716528326441E-2</v>
      </c>
      <c r="I386" s="137">
        <v>-2.1884341238360489E-2</v>
      </c>
      <c r="J386" s="137">
        <v>-1.2725006025875483E-2</v>
      </c>
    </row>
    <row r="387" spans="1:10">
      <c r="A387" s="68">
        <v>0.16</v>
      </c>
      <c r="B387" s="69">
        <f t="shared" si="10"/>
        <v>1.6000000000000001E-3</v>
      </c>
      <c r="C387" s="70">
        <f t="shared" si="11"/>
        <v>3.0769230769230768E-5</v>
      </c>
      <c r="F387" s="71">
        <v>40305</v>
      </c>
      <c r="G387" s="69">
        <v>-4.4522031184599173E-3</v>
      </c>
      <c r="H387" s="137">
        <v>-0.11177356857395043</v>
      </c>
      <c r="I387" s="137">
        <v>-5.9588861545511365E-2</v>
      </c>
      <c r="J387" s="137">
        <v>-6.7385025329956064E-2</v>
      </c>
    </row>
    <row r="388" spans="1:10">
      <c r="A388" s="68">
        <v>0.14000000000000001</v>
      </c>
      <c r="B388" s="69">
        <f t="shared" si="10"/>
        <v>1.4000000000000002E-3</v>
      </c>
      <c r="C388" s="70">
        <f t="shared" si="11"/>
        <v>2.6923076923076927E-5</v>
      </c>
      <c r="F388" s="71">
        <v>40312</v>
      </c>
      <c r="G388" s="69">
        <v>-2.9720000929219E-3</v>
      </c>
      <c r="H388" s="137">
        <v>2.0454609633146464E-2</v>
      </c>
      <c r="I388" s="137">
        <v>3.4134890937285722E-2</v>
      </c>
      <c r="J388" s="137">
        <v>2.9835144835768556E-2</v>
      </c>
    </row>
    <row r="389" spans="1:10">
      <c r="A389" s="68">
        <v>0.16</v>
      </c>
      <c r="B389" s="69">
        <f t="shared" si="10"/>
        <v>1.6000000000000001E-3</v>
      </c>
      <c r="C389" s="70">
        <f t="shared" si="11"/>
        <v>3.0769230769230768E-5</v>
      </c>
      <c r="F389" s="71">
        <v>40319</v>
      </c>
      <c r="G389" s="69">
        <v>6.3292788297642233E-3</v>
      </c>
      <c r="H389" s="137">
        <v>-3.5440115268367267E-2</v>
      </c>
      <c r="I389" s="137">
        <v>-5.333989416830659E-2</v>
      </c>
      <c r="J389" s="137">
        <v>-9.1323164040914409E-2</v>
      </c>
    </row>
    <row r="390" spans="1:10">
      <c r="A390" s="68">
        <v>0.17</v>
      </c>
      <c r="B390" s="69">
        <f t="shared" ref="B390:B453" si="12">+A390/100</f>
        <v>1.7000000000000001E-3</v>
      </c>
      <c r="C390" s="70">
        <f t="shared" ref="C390:C453" si="13">+B390/52</f>
        <v>3.2692307692307693E-5</v>
      </c>
      <c r="F390" s="71">
        <v>40326</v>
      </c>
      <c r="G390" s="69">
        <v>-5.3448371100336635E-3</v>
      </c>
      <c r="H390" s="137">
        <v>-2.6333533567783323E-3</v>
      </c>
      <c r="I390" s="137">
        <v>1.2907493747192323E-2</v>
      </c>
      <c r="J390" s="137">
        <v>1.9600458180033933E-2</v>
      </c>
    </row>
    <row r="391" spans="1:10">
      <c r="A391" s="68">
        <v>0.17</v>
      </c>
      <c r="B391" s="69">
        <f t="shared" si="12"/>
        <v>1.7000000000000001E-3</v>
      </c>
      <c r="C391" s="70">
        <f t="shared" si="13"/>
        <v>3.2692307692307693E-5</v>
      </c>
      <c r="F391" s="71">
        <v>40333</v>
      </c>
      <c r="G391" s="69">
        <v>-2.4708744289279405E-4</v>
      </c>
      <c r="H391" s="137">
        <v>-1.5214037720436465E-2</v>
      </c>
      <c r="I391" s="137">
        <v>-7.4146484777865597E-3</v>
      </c>
      <c r="J391" s="137">
        <v>-1.2960929892891918E-2</v>
      </c>
    </row>
    <row r="392" spans="1:10">
      <c r="A392" s="68">
        <v>0.15</v>
      </c>
      <c r="B392" s="69">
        <f t="shared" si="12"/>
        <v>1.5E-3</v>
      </c>
      <c r="C392" s="70">
        <f t="shared" si="13"/>
        <v>2.8846153846153845E-5</v>
      </c>
      <c r="F392" s="71">
        <v>40340</v>
      </c>
      <c r="G392" s="69">
        <v>1.9295759429563263E-3</v>
      </c>
      <c r="H392" s="137">
        <v>2.4083689224004275E-2</v>
      </c>
      <c r="I392" s="137">
        <v>4.037044800907362E-2</v>
      </c>
      <c r="J392" s="137">
        <v>1.7613865195502985E-2</v>
      </c>
    </row>
    <row r="393" spans="1:10">
      <c r="A393" s="68">
        <v>0.1</v>
      </c>
      <c r="B393" s="69">
        <f t="shared" si="12"/>
        <v>1E-3</v>
      </c>
      <c r="C393" s="70">
        <f t="shared" si="13"/>
        <v>1.9230769230769231E-5</v>
      </c>
      <c r="F393" s="71">
        <v>40347</v>
      </c>
      <c r="G393" s="69">
        <v>6.1812212646029921E-3</v>
      </c>
      <c r="H393" s="137">
        <v>3.7874336101184541E-2</v>
      </c>
      <c r="I393" s="137">
        <v>3.1186822489399989E-2</v>
      </c>
      <c r="J393" s="137">
        <v>5.3134671950841574E-2</v>
      </c>
    </row>
    <row r="394" spans="1:10">
      <c r="A394" s="68">
        <v>0.09</v>
      </c>
      <c r="B394" s="69">
        <f t="shared" si="12"/>
        <v>8.9999999999999998E-4</v>
      </c>
      <c r="C394" s="70">
        <f t="shared" si="13"/>
        <v>1.7307692307692306E-5</v>
      </c>
      <c r="F394" s="71">
        <v>40354</v>
      </c>
      <c r="G394" s="69">
        <v>3.4879852510809957E-3</v>
      </c>
      <c r="H394" s="137">
        <v>-2.608667014155602E-2</v>
      </c>
      <c r="I394" s="137">
        <v>-2.3982591969960953E-2</v>
      </c>
      <c r="J394" s="137">
        <v>-1.0040647651701731E-2</v>
      </c>
    </row>
    <row r="395" spans="1:10">
      <c r="A395" s="68">
        <v>0.13</v>
      </c>
      <c r="B395" s="69">
        <f t="shared" si="12"/>
        <v>1.2999999999999999E-3</v>
      </c>
      <c r="C395" s="70">
        <f t="shared" si="13"/>
        <v>2.4999999999999998E-5</v>
      </c>
      <c r="F395" s="71">
        <v>40361</v>
      </c>
      <c r="G395" s="69">
        <v>5.5230192690737855E-3</v>
      </c>
      <c r="H395" s="137">
        <v>2.4291408284691021E-3</v>
      </c>
      <c r="I395" s="137">
        <v>-2.7650944895017716E-2</v>
      </c>
      <c r="J395" s="137">
        <v>-1.909862988577778E-2</v>
      </c>
    </row>
    <row r="396" spans="1:10">
      <c r="A396" s="68">
        <v>0.17</v>
      </c>
      <c r="B396" s="69">
        <f t="shared" si="12"/>
        <v>1.7000000000000001E-3</v>
      </c>
      <c r="C396" s="70">
        <f t="shared" si="13"/>
        <v>3.2692307692307693E-5</v>
      </c>
      <c r="F396" s="71">
        <v>40368</v>
      </c>
      <c r="G396" s="69">
        <v>3.0060718195291962E-3</v>
      </c>
      <c r="H396" s="137">
        <v>4.200421871507979E-2</v>
      </c>
      <c r="I396" s="137">
        <v>5.5424801150174299E-2</v>
      </c>
      <c r="J396" s="137">
        <v>4.0548357103602772E-2</v>
      </c>
    </row>
    <row r="397" spans="1:10">
      <c r="A397" s="68">
        <v>0.16</v>
      </c>
      <c r="B397" s="69">
        <f t="shared" si="12"/>
        <v>1.6000000000000001E-3</v>
      </c>
      <c r="C397" s="70">
        <f t="shared" si="13"/>
        <v>3.0769230769230768E-5</v>
      </c>
      <c r="F397" s="71">
        <v>40375</v>
      </c>
      <c r="G397" s="69">
        <v>8.2226013472376791E-3</v>
      </c>
      <c r="H397" s="137">
        <v>2.0281033205686215E-2</v>
      </c>
      <c r="I397" s="137">
        <v>-2.1642389530380394E-2</v>
      </c>
      <c r="J397" s="137">
        <v>1.0218455390080613E-2</v>
      </c>
    </row>
    <row r="398" spans="1:10">
      <c r="A398" s="68">
        <v>0.15</v>
      </c>
      <c r="B398" s="69">
        <f t="shared" si="12"/>
        <v>1.5E-3</v>
      </c>
      <c r="C398" s="70">
        <f t="shared" si="13"/>
        <v>2.8846153846153845E-5</v>
      </c>
      <c r="F398" s="71">
        <v>40382</v>
      </c>
      <c r="G398" s="69">
        <v>2.6012672490399263E-3</v>
      </c>
      <c r="H398" s="137">
        <v>1.0482304720169691E-2</v>
      </c>
      <c r="I398" s="137">
        <v>3.8381843327701101E-2</v>
      </c>
      <c r="J398" s="137">
        <v>2.6708253400192838E-2</v>
      </c>
    </row>
    <row r="399" spans="1:10">
      <c r="A399" s="68">
        <v>0.16</v>
      </c>
      <c r="B399" s="69">
        <f t="shared" si="12"/>
        <v>1.6000000000000001E-3</v>
      </c>
      <c r="C399" s="70">
        <f t="shared" si="13"/>
        <v>3.0769230769230768E-5</v>
      </c>
      <c r="F399" s="71">
        <v>40389</v>
      </c>
      <c r="G399" s="69">
        <v>6.214334958585554E-3</v>
      </c>
      <c r="H399" s="137">
        <v>2.8739552544776104E-2</v>
      </c>
      <c r="I399" s="137">
        <v>-7.2246174324942323E-3</v>
      </c>
      <c r="J399" s="137">
        <v>4.2301864530001265E-3</v>
      </c>
    </row>
    <row r="400" spans="1:10">
      <c r="A400" s="68">
        <v>0.15</v>
      </c>
      <c r="B400" s="69">
        <f t="shared" si="12"/>
        <v>1.5E-3</v>
      </c>
      <c r="C400" s="70">
        <f t="shared" si="13"/>
        <v>2.8846153846153845E-5</v>
      </c>
      <c r="F400" s="71">
        <v>40396</v>
      </c>
      <c r="G400" s="69">
        <v>8.0834429331456091E-3</v>
      </c>
      <c r="H400" s="137">
        <v>3.0302459026010791E-2</v>
      </c>
      <c r="I400" s="137">
        <v>2.3578425724829894E-2</v>
      </c>
      <c r="J400" s="137">
        <v>2.3097820701298701E-2</v>
      </c>
    </row>
    <row r="401" spans="1:10">
      <c r="A401" s="68">
        <v>0.16</v>
      </c>
      <c r="B401" s="69">
        <f t="shared" si="12"/>
        <v>1.6000000000000001E-3</v>
      </c>
      <c r="C401" s="70">
        <f t="shared" si="13"/>
        <v>3.0769230769230768E-5</v>
      </c>
      <c r="F401" s="71">
        <v>40403</v>
      </c>
      <c r="G401" s="69">
        <v>-2.9496548847125375E-3</v>
      </c>
      <c r="H401" s="137">
        <v>-3.8124460223563125E-2</v>
      </c>
      <c r="I401" s="137">
        <v>-2.046906787828506E-2</v>
      </c>
      <c r="J401" s="137">
        <v>-3.021970236268226E-2</v>
      </c>
    </row>
    <row r="402" spans="1:10">
      <c r="A402" s="68">
        <v>0.15</v>
      </c>
      <c r="B402" s="69">
        <f t="shared" si="12"/>
        <v>1.5E-3</v>
      </c>
      <c r="C402" s="70">
        <f t="shared" si="13"/>
        <v>2.8846153846153845E-5</v>
      </c>
      <c r="F402" s="71">
        <v>40410</v>
      </c>
      <c r="G402" s="69">
        <v>4.1455924260263869E-3</v>
      </c>
      <c r="H402" s="137">
        <v>-2.1536145574855288E-2</v>
      </c>
      <c r="I402" s="137">
        <v>1.3597009613287758E-3</v>
      </c>
      <c r="J402" s="137">
        <v>-9.3281248821623919E-3</v>
      </c>
    </row>
    <row r="403" spans="1:10">
      <c r="A403" s="68">
        <v>0.16</v>
      </c>
      <c r="B403" s="69">
        <f t="shared" si="12"/>
        <v>1.6000000000000001E-3</v>
      </c>
      <c r="C403" s="70">
        <f t="shared" si="13"/>
        <v>3.0769230769230768E-5</v>
      </c>
      <c r="F403" s="71">
        <v>40417</v>
      </c>
      <c r="G403" s="69">
        <v>-9.2201890540806919E-4</v>
      </c>
      <c r="H403" s="137">
        <v>2.2445323378911228E-2</v>
      </c>
      <c r="I403" s="137">
        <v>1.6820390949595723E-2</v>
      </c>
      <c r="J403" s="137">
        <v>9.5373053123705195E-3</v>
      </c>
    </row>
    <row r="404" spans="1:10">
      <c r="A404" s="68">
        <v>0.16</v>
      </c>
      <c r="B404" s="69">
        <f t="shared" si="12"/>
        <v>1.6000000000000001E-3</v>
      </c>
      <c r="C404" s="70">
        <f t="shared" si="13"/>
        <v>3.0769230769230768E-5</v>
      </c>
      <c r="F404" s="71">
        <v>40424</v>
      </c>
      <c r="G404" s="69">
        <v>1.1076194068854997E-3</v>
      </c>
      <c r="H404" s="137">
        <v>2.5970010618077022E-2</v>
      </c>
      <c r="I404" s="137">
        <v>1.915233230549631E-2</v>
      </c>
      <c r="J404" s="137">
        <v>4.3251891835792332E-2</v>
      </c>
    </row>
    <row r="405" spans="1:10">
      <c r="A405" s="68">
        <v>0.14000000000000001</v>
      </c>
      <c r="B405" s="69">
        <f t="shared" si="12"/>
        <v>1.4000000000000002E-3</v>
      </c>
      <c r="C405" s="70">
        <f t="shared" si="13"/>
        <v>2.6923076923076927E-5</v>
      </c>
      <c r="F405" s="71">
        <v>40431</v>
      </c>
      <c r="G405" s="69">
        <v>-1.7889029170993971E-3</v>
      </c>
      <c r="H405" s="137">
        <v>7.7444632284449037E-3</v>
      </c>
      <c r="I405" s="137">
        <v>1.4342871599517582E-3</v>
      </c>
      <c r="J405" s="137">
        <v>1.854271835691931E-2</v>
      </c>
    </row>
    <row r="406" spans="1:10">
      <c r="A406" s="68">
        <v>0.14000000000000001</v>
      </c>
      <c r="B406" s="69">
        <f t="shared" si="12"/>
        <v>1.4000000000000002E-3</v>
      </c>
      <c r="C406" s="70">
        <f t="shared" si="13"/>
        <v>2.6923076923076927E-5</v>
      </c>
      <c r="F406" s="71">
        <v>40438</v>
      </c>
      <c r="G406" s="69">
        <v>2.3432614745055934E-3</v>
      </c>
      <c r="H406" s="137">
        <v>7.1817386275550817E-3</v>
      </c>
      <c r="I406" s="137">
        <v>-3.5856406568972165E-3</v>
      </c>
      <c r="J406" s="137">
        <v>1.0651736536458354E-2</v>
      </c>
    </row>
    <row r="407" spans="1:10">
      <c r="A407" s="68">
        <v>0.15</v>
      </c>
      <c r="B407" s="69">
        <f t="shared" si="12"/>
        <v>1.5E-3</v>
      </c>
      <c r="C407" s="70">
        <f t="shared" si="13"/>
        <v>2.8846153846153845E-5</v>
      </c>
      <c r="F407" s="71">
        <v>40445</v>
      </c>
      <c r="G407" s="69">
        <v>1.0810090770559916E-2</v>
      </c>
      <c r="H407" s="137">
        <v>2.0249680986363077E-2</v>
      </c>
      <c r="I407" s="137">
        <v>2.4071478191525341E-2</v>
      </c>
      <c r="J407" s="137">
        <v>2.8611232154436717E-3</v>
      </c>
    </row>
    <row r="408" spans="1:10">
      <c r="A408" s="68">
        <v>0.16</v>
      </c>
      <c r="B408" s="69">
        <f t="shared" si="12"/>
        <v>1.6000000000000001E-3</v>
      </c>
      <c r="C408" s="70">
        <f t="shared" si="13"/>
        <v>3.0769230769230768E-5</v>
      </c>
      <c r="F408" s="71">
        <v>40452</v>
      </c>
      <c r="G408" s="69">
        <v>5.5501570906326472E-3</v>
      </c>
      <c r="H408" s="137">
        <v>2.5896215597393741E-3</v>
      </c>
      <c r="I408" s="137">
        <v>1.2412814375129247E-2</v>
      </c>
      <c r="J408" s="137">
        <v>7.1627765175230999E-3</v>
      </c>
    </row>
    <row r="409" spans="1:10">
      <c r="A409" s="68">
        <v>0.16</v>
      </c>
      <c r="B409" s="69">
        <f t="shared" si="12"/>
        <v>1.6000000000000001E-3</v>
      </c>
      <c r="C409" s="70">
        <f t="shared" si="13"/>
        <v>3.0769230769230768E-5</v>
      </c>
      <c r="F409" s="71">
        <v>40459</v>
      </c>
      <c r="G409" s="69">
        <v>1.0746657061692895E-2</v>
      </c>
      <c r="H409" s="137">
        <v>4.0795353863036884E-2</v>
      </c>
      <c r="I409" s="137">
        <v>6.7339517759168431E-3</v>
      </c>
      <c r="J409" s="137">
        <v>9.9801269295783403E-3</v>
      </c>
    </row>
    <row r="410" spans="1:10">
      <c r="A410" s="68">
        <v>0.13</v>
      </c>
      <c r="B410" s="69">
        <f t="shared" si="12"/>
        <v>1.2999999999999999E-3</v>
      </c>
      <c r="C410" s="70">
        <f t="shared" si="13"/>
        <v>2.4999999999999998E-5</v>
      </c>
      <c r="F410" s="71">
        <v>40466</v>
      </c>
      <c r="G410" s="69">
        <v>-1.6350885820258167E-3</v>
      </c>
      <c r="H410" s="137">
        <v>1.7037055280958075E-2</v>
      </c>
      <c r="I410" s="137">
        <v>7.2154916588810965E-3</v>
      </c>
      <c r="J410" s="137">
        <v>4.6370966245394413E-3</v>
      </c>
    </row>
    <row r="411" spans="1:10">
      <c r="A411" s="68">
        <v>0.14000000000000001</v>
      </c>
      <c r="B411" s="69">
        <f t="shared" si="12"/>
        <v>1.4000000000000002E-3</v>
      </c>
      <c r="C411" s="70">
        <f t="shared" si="13"/>
        <v>2.6923076923076927E-5</v>
      </c>
      <c r="F411" s="71">
        <v>40473</v>
      </c>
      <c r="G411" s="69">
        <v>6.4310210884097735E-4</v>
      </c>
      <c r="H411" s="137">
        <v>2.150993125591286E-3</v>
      </c>
      <c r="I411" s="137">
        <v>-8.5452401309107429E-4</v>
      </c>
      <c r="J411" s="137">
        <v>-1.9779180843769238E-3</v>
      </c>
    </row>
    <row r="412" spans="1:10">
      <c r="A412" s="68">
        <v>0.14000000000000001</v>
      </c>
      <c r="B412" s="69">
        <f t="shared" si="12"/>
        <v>1.4000000000000002E-3</v>
      </c>
      <c r="C412" s="70">
        <f t="shared" si="13"/>
        <v>2.6923076923076927E-5</v>
      </c>
      <c r="F412" s="71">
        <v>40480</v>
      </c>
      <c r="G412" s="69">
        <v>-1.0095822591586776E-3</v>
      </c>
      <c r="H412" s="137">
        <v>1.9501890306423349E-2</v>
      </c>
      <c r="I412" s="137">
        <v>8.1331759886000016E-3</v>
      </c>
      <c r="J412" s="137">
        <v>5.4640565791852968E-4</v>
      </c>
    </row>
    <row r="413" spans="1:10">
      <c r="A413" s="68">
        <v>0.13</v>
      </c>
      <c r="B413" s="69">
        <f t="shared" si="12"/>
        <v>1.2999999999999999E-3</v>
      </c>
      <c r="C413" s="70">
        <f t="shared" si="13"/>
        <v>2.4999999999999998E-5</v>
      </c>
      <c r="F413" s="71">
        <v>40487</v>
      </c>
      <c r="G413" s="69">
        <v>1.0342663305043147E-2</v>
      </c>
      <c r="H413" s="137">
        <v>1.1678557347431083E-2</v>
      </c>
      <c r="I413" s="137">
        <v>1.5209637266334402E-2</v>
      </c>
      <c r="J413" s="137">
        <v>4.5075239452565335E-2</v>
      </c>
    </row>
    <row r="414" spans="1:10">
      <c r="A414" s="68">
        <v>0.13</v>
      </c>
      <c r="B414" s="69">
        <f t="shared" si="12"/>
        <v>1.2999999999999999E-3</v>
      </c>
      <c r="C414" s="70">
        <f t="shared" si="13"/>
        <v>2.4999999999999998E-5</v>
      </c>
      <c r="F414" s="71">
        <v>40494</v>
      </c>
      <c r="G414" s="69">
        <v>-1.6961840148086084E-2</v>
      </c>
      <c r="H414" s="137">
        <v>-2.8303234248816776E-2</v>
      </c>
      <c r="I414" s="137">
        <v>-1.9895258134971602E-2</v>
      </c>
      <c r="J414" s="137">
        <v>-1.1653520071899447E-2</v>
      </c>
    </row>
    <row r="415" spans="1:10">
      <c r="A415" s="68">
        <v>0.13</v>
      </c>
      <c r="B415" s="69">
        <f t="shared" si="12"/>
        <v>1.2999999999999999E-3</v>
      </c>
      <c r="C415" s="70">
        <f t="shared" si="13"/>
        <v>2.4999999999999998E-5</v>
      </c>
      <c r="F415" s="71">
        <v>40501</v>
      </c>
      <c r="G415" s="69">
        <v>-5.7735775575632649E-3</v>
      </c>
      <c r="H415" s="137">
        <v>-9.854054287909926E-3</v>
      </c>
      <c r="I415" s="137">
        <v>-4.8122067758851177E-3</v>
      </c>
      <c r="J415" s="137">
        <v>-2.7073610985205738E-2</v>
      </c>
    </row>
    <row r="416" spans="1:10">
      <c r="A416" s="68">
        <v>0.14000000000000001</v>
      </c>
      <c r="B416" s="69">
        <f t="shared" si="12"/>
        <v>1.4000000000000002E-3</v>
      </c>
      <c r="C416" s="70">
        <f t="shared" si="13"/>
        <v>2.6923076923076927E-5</v>
      </c>
      <c r="F416" s="71">
        <v>40508</v>
      </c>
      <c r="G416" s="69">
        <v>-3.5910801225520856E-3</v>
      </c>
      <c r="H416" s="137">
        <v>-4.0840285203486683E-2</v>
      </c>
      <c r="I416" s="137">
        <v>6.3382781824135889E-4</v>
      </c>
      <c r="J416" s="137">
        <v>-1.3643433843822607E-2</v>
      </c>
    </row>
    <row r="417" spans="1:10">
      <c r="A417" s="68">
        <v>0.16</v>
      </c>
      <c r="B417" s="69">
        <f t="shared" si="12"/>
        <v>1.6000000000000001E-3</v>
      </c>
      <c r="C417" s="70">
        <f t="shared" si="13"/>
        <v>3.0769230769230768E-5</v>
      </c>
      <c r="F417" s="71">
        <v>40515</v>
      </c>
      <c r="G417" s="69">
        <v>-3.8373363189258369E-3</v>
      </c>
      <c r="H417" s="137">
        <v>1.1082969256211556E-3</v>
      </c>
      <c r="I417" s="137">
        <v>1.4727750014143797E-2</v>
      </c>
      <c r="J417" s="137">
        <v>1.9975193647785085E-2</v>
      </c>
    </row>
    <row r="418" spans="1:10">
      <c r="A418" s="68">
        <v>0.16</v>
      </c>
      <c r="B418" s="69">
        <f t="shared" si="12"/>
        <v>1.6000000000000001E-3</v>
      </c>
      <c r="C418" s="70">
        <f t="shared" si="13"/>
        <v>3.0769230769230768E-5</v>
      </c>
      <c r="F418" s="71">
        <v>40522</v>
      </c>
      <c r="G418" s="69">
        <v>-6.3808564106759402E-3</v>
      </c>
      <c r="H418" s="137">
        <v>-3.0641505357444179E-3</v>
      </c>
      <c r="I418" s="137">
        <v>-7.5602189268018814E-3</v>
      </c>
      <c r="J418" s="137">
        <v>-2.1810425677864384E-2</v>
      </c>
    </row>
    <row r="419" spans="1:10">
      <c r="A419" s="68">
        <v>0.14000000000000001</v>
      </c>
      <c r="B419" s="69">
        <f t="shared" si="12"/>
        <v>1.4000000000000002E-3</v>
      </c>
      <c r="C419" s="70">
        <f t="shared" si="13"/>
        <v>2.6923076923076927E-5</v>
      </c>
      <c r="F419" s="71">
        <v>40529</v>
      </c>
      <c r="G419" s="69">
        <v>-3.8566477299627026E-4</v>
      </c>
      <c r="H419" s="137">
        <v>-7.5428478603745694E-3</v>
      </c>
      <c r="I419" s="137">
        <v>3.1641754842057297E-3</v>
      </c>
      <c r="J419" s="137">
        <v>-8.1453107438615256E-3</v>
      </c>
    </row>
    <row r="420" spans="1:10">
      <c r="A420" s="68">
        <v>0.14000000000000001</v>
      </c>
      <c r="B420" s="69">
        <f t="shared" si="12"/>
        <v>1.4000000000000002E-3</v>
      </c>
      <c r="C420" s="70">
        <f t="shared" si="13"/>
        <v>2.6923076923076927E-5</v>
      </c>
      <c r="F420" s="71">
        <v>40536</v>
      </c>
      <c r="G420" s="69">
        <v>1.7595577617507117E-3</v>
      </c>
      <c r="H420" s="137">
        <v>1.5821196702916061E-2</v>
      </c>
      <c r="I420" s="137">
        <v>1.2145386352977015E-2</v>
      </c>
      <c r="J420" s="137">
        <v>1.6427220596610342E-3</v>
      </c>
    </row>
    <row r="421" spans="1:10">
      <c r="A421" s="68">
        <v>0.14000000000000001</v>
      </c>
      <c r="B421" s="69">
        <f t="shared" si="12"/>
        <v>1.4000000000000002E-3</v>
      </c>
      <c r="C421" s="70">
        <f t="shared" si="13"/>
        <v>2.6923076923076927E-5</v>
      </c>
      <c r="F421" s="71">
        <v>40543</v>
      </c>
      <c r="G421" s="69">
        <v>8.5401318051843023E-3</v>
      </c>
      <c r="H421" s="137">
        <v>-2.409206090250695E-3</v>
      </c>
      <c r="I421" s="137">
        <v>4.6762209247158152E-3</v>
      </c>
      <c r="J421" s="137">
        <v>1.6045297417834194E-2</v>
      </c>
    </row>
    <row r="422" spans="1:10">
      <c r="A422" s="68">
        <v>0.14000000000000001</v>
      </c>
      <c r="B422" s="69">
        <f t="shared" si="12"/>
        <v>1.4000000000000002E-3</v>
      </c>
      <c r="C422" s="70">
        <f t="shared" si="13"/>
        <v>2.6923076923076927E-5</v>
      </c>
      <c r="F422" s="71">
        <v>40550</v>
      </c>
      <c r="G422" s="69">
        <v>-4.2884971830774591E-3</v>
      </c>
      <c r="H422" s="137">
        <v>-5.9659941891101673E-3</v>
      </c>
      <c r="I422" s="137">
        <v>-7.4499165693309418E-3</v>
      </c>
      <c r="J422" s="137">
        <v>2.2391723813235882E-4</v>
      </c>
    </row>
    <row r="423" spans="1:10">
      <c r="A423" s="68">
        <v>0.14000000000000001</v>
      </c>
      <c r="B423" s="69">
        <f t="shared" si="12"/>
        <v>1.4000000000000002E-3</v>
      </c>
      <c r="C423" s="70">
        <f t="shared" si="13"/>
        <v>2.6923076923076927E-5</v>
      </c>
      <c r="F423" s="71">
        <v>40557</v>
      </c>
      <c r="G423" s="69">
        <v>5.3155173072527854E-3</v>
      </c>
      <c r="H423" s="137">
        <v>7.2017496778155809E-3</v>
      </c>
      <c r="I423" s="137">
        <v>6.3919170821486078E-3</v>
      </c>
      <c r="J423" s="137">
        <v>6.7333059407243933E-4</v>
      </c>
    </row>
    <row r="424" spans="1:10">
      <c r="A424" s="68">
        <v>0.15</v>
      </c>
      <c r="B424" s="69">
        <f t="shared" si="12"/>
        <v>1.5E-3</v>
      </c>
      <c r="C424" s="70">
        <f t="shared" si="13"/>
        <v>2.8846153846153845E-5</v>
      </c>
      <c r="F424" s="71">
        <v>40564</v>
      </c>
      <c r="G424" s="69">
        <v>-2.4244841887322011E-3</v>
      </c>
      <c r="H424" s="137">
        <v>2.3202770517549896E-2</v>
      </c>
      <c r="I424" s="137">
        <v>2.515228068581659E-4</v>
      </c>
      <c r="J424" s="137">
        <v>-9.8693819011782657E-3</v>
      </c>
    </row>
    <row r="425" spans="1:10">
      <c r="A425" s="68">
        <v>0.16</v>
      </c>
      <c r="B425" s="69">
        <f t="shared" si="12"/>
        <v>1.6000000000000001E-3</v>
      </c>
      <c r="C425" s="70">
        <f t="shared" si="13"/>
        <v>3.0769230769230768E-5</v>
      </c>
      <c r="F425" s="71">
        <v>40571</v>
      </c>
      <c r="G425" s="69">
        <v>5.0331693307628742E-3</v>
      </c>
      <c r="H425" s="137">
        <v>1.7579074265370628E-3</v>
      </c>
      <c r="I425" s="137">
        <v>4.1416321360070469E-3</v>
      </c>
      <c r="J425" s="137">
        <v>-3.5472636719055355E-4</v>
      </c>
    </row>
    <row r="426" spans="1:10">
      <c r="A426" s="68">
        <v>0.16</v>
      </c>
      <c r="B426" s="69">
        <f t="shared" si="12"/>
        <v>1.6000000000000001E-3</v>
      </c>
      <c r="C426" s="70">
        <f t="shared" si="13"/>
        <v>3.0769230769230768E-5</v>
      </c>
      <c r="F426" s="71">
        <v>40578</v>
      </c>
      <c r="G426" s="69">
        <v>-5.1162576168847793E-3</v>
      </c>
      <c r="H426" s="137">
        <v>1.9246044219347582E-2</v>
      </c>
      <c r="I426" s="137">
        <v>2.2592692733409213E-2</v>
      </c>
      <c r="J426" s="137">
        <v>1.3921015360232804E-2</v>
      </c>
    </row>
    <row r="427" spans="1:10">
      <c r="A427" s="68">
        <v>0.15</v>
      </c>
      <c r="B427" s="69">
        <f t="shared" si="12"/>
        <v>1.5E-3</v>
      </c>
      <c r="C427" s="70">
        <f t="shared" si="13"/>
        <v>2.8846153846153845E-5</v>
      </c>
      <c r="F427" s="71">
        <v>40585</v>
      </c>
      <c r="G427" s="69">
        <v>-2.6199182624178537E-3</v>
      </c>
      <c r="H427" s="137">
        <v>1.6891231718747429E-2</v>
      </c>
      <c r="I427" s="137">
        <v>9.8920676044684727E-3</v>
      </c>
      <c r="J427" s="137">
        <v>-3.6721421898384475E-2</v>
      </c>
    </row>
    <row r="428" spans="1:10">
      <c r="A428" s="68">
        <v>0.14000000000000001</v>
      </c>
      <c r="B428" s="69">
        <f t="shared" si="12"/>
        <v>1.4000000000000002E-3</v>
      </c>
      <c r="C428" s="70">
        <f t="shared" si="13"/>
        <v>2.6923076923076927E-5</v>
      </c>
      <c r="F428" s="71">
        <v>40592</v>
      </c>
      <c r="G428" s="69">
        <v>4.8949459889002711E-3</v>
      </c>
      <c r="H428" s="137">
        <v>1.2085967175967471E-2</v>
      </c>
      <c r="I428" s="137">
        <v>3.0120801969337185E-4</v>
      </c>
      <c r="J428" s="137">
        <v>2.8999063883239629E-2</v>
      </c>
    </row>
    <row r="429" spans="1:10">
      <c r="A429" s="68">
        <v>0.11</v>
      </c>
      <c r="B429" s="69">
        <f t="shared" si="12"/>
        <v>1.1000000000000001E-3</v>
      </c>
      <c r="C429" s="70">
        <f t="shared" si="13"/>
        <v>2.1153846153846154E-5</v>
      </c>
      <c r="F429" s="71">
        <v>40599</v>
      </c>
      <c r="G429" s="69">
        <v>7.7152196654062082E-3</v>
      </c>
      <c r="H429" s="137">
        <v>-8.1247901197551518E-3</v>
      </c>
      <c r="I429" s="137">
        <v>-2.5821380143047691E-3</v>
      </c>
      <c r="J429" s="137">
        <v>-1.3652341333413916E-2</v>
      </c>
    </row>
    <row r="430" spans="1:10">
      <c r="A430" s="68">
        <v>0.13</v>
      </c>
      <c r="B430" s="69">
        <f t="shared" si="12"/>
        <v>1.2999999999999999E-3</v>
      </c>
      <c r="C430" s="70">
        <f t="shared" si="13"/>
        <v>2.4999999999999998E-5</v>
      </c>
      <c r="F430" s="71">
        <v>40606</v>
      </c>
      <c r="G430" s="69">
        <v>-3.7075271849298946E-4</v>
      </c>
      <c r="H430" s="137">
        <v>1.8307229428473536E-2</v>
      </c>
      <c r="I430" s="137">
        <v>7.2380995938370416E-3</v>
      </c>
      <c r="J430" s="137">
        <v>1.9756095340487154E-2</v>
      </c>
    </row>
    <row r="431" spans="1:10">
      <c r="A431" s="68">
        <v>0.13</v>
      </c>
      <c r="B431" s="69">
        <f t="shared" si="12"/>
        <v>1.2999999999999999E-3</v>
      </c>
      <c r="C431" s="70">
        <f t="shared" si="13"/>
        <v>2.4999999999999998E-5</v>
      </c>
      <c r="F431" s="71">
        <v>40613</v>
      </c>
      <c r="G431" s="69">
        <v>-8.0212731138496526E-4</v>
      </c>
      <c r="H431" s="137">
        <v>-2.3512899003014905E-2</v>
      </c>
      <c r="I431" s="137">
        <v>-1.2532821178255202E-2</v>
      </c>
      <c r="J431" s="137">
        <v>-2.4615306215225643E-2</v>
      </c>
    </row>
    <row r="432" spans="1:10">
      <c r="A432" s="68">
        <v>0.1</v>
      </c>
      <c r="B432" s="69">
        <f t="shared" si="12"/>
        <v>1E-3</v>
      </c>
      <c r="C432" s="70">
        <f t="shared" si="13"/>
        <v>1.9230769230769231E-5</v>
      </c>
      <c r="F432" s="71">
        <v>40620</v>
      </c>
      <c r="G432" s="69">
        <v>9.7861511654415024E-3</v>
      </c>
      <c r="H432" s="137">
        <v>5.8700151180506059E-3</v>
      </c>
      <c r="I432" s="137">
        <v>-1.1242550779355053E-2</v>
      </c>
      <c r="J432" s="137">
        <v>-1.3547127209136482E-2</v>
      </c>
    </row>
    <row r="433" spans="1:10">
      <c r="A433" s="68">
        <v>0.09</v>
      </c>
      <c r="B433" s="69">
        <f t="shared" si="12"/>
        <v>8.9999999999999998E-4</v>
      </c>
      <c r="C433" s="70">
        <f t="shared" si="13"/>
        <v>1.7307692307692306E-5</v>
      </c>
      <c r="F433" s="71">
        <v>40627</v>
      </c>
      <c r="G433" s="69">
        <v>-3.6685821349426301E-3</v>
      </c>
      <c r="H433" s="137">
        <v>2.1447641778401402E-2</v>
      </c>
      <c r="I433" s="137">
        <v>1.8664911135819293E-2</v>
      </c>
      <c r="J433" s="137">
        <v>4.6032036467592387E-2</v>
      </c>
    </row>
    <row r="434" spans="1:10">
      <c r="A434" s="68">
        <v>0.09</v>
      </c>
      <c r="B434" s="69">
        <f t="shared" si="12"/>
        <v>8.9999999999999998E-4</v>
      </c>
      <c r="C434" s="70">
        <f t="shared" si="13"/>
        <v>1.7307692307692306E-5</v>
      </c>
      <c r="F434" s="71">
        <v>40634</v>
      </c>
      <c r="G434" s="69">
        <v>-2.5114504517633075E-3</v>
      </c>
      <c r="H434" s="137">
        <v>1.9791435477091304E-2</v>
      </c>
      <c r="I434" s="137">
        <v>2.7167508011310328E-2</v>
      </c>
      <c r="J434" s="137">
        <v>1.4592056034075197E-2</v>
      </c>
    </row>
    <row r="435" spans="1:10">
      <c r="A435" s="68">
        <v>0.09</v>
      </c>
      <c r="B435" s="69">
        <f t="shared" si="12"/>
        <v>8.9999999999999998E-4</v>
      </c>
      <c r="C435" s="70">
        <f t="shared" si="13"/>
        <v>1.7307692307692306E-5</v>
      </c>
      <c r="F435" s="71">
        <v>40641</v>
      </c>
      <c r="G435" s="69">
        <v>-3.4499215890067209E-3</v>
      </c>
      <c r="H435" s="137">
        <v>1.6901575267301572E-2</v>
      </c>
      <c r="I435" s="137">
        <v>-1.018232723796517E-2</v>
      </c>
      <c r="J435" s="137">
        <v>1.2604225510319967E-2</v>
      </c>
    </row>
    <row r="436" spans="1:10">
      <c r="A436" s="68">
        <v>0.05</v>
      </c>
      <c r="B436" s="69">
        <f t="shared" si="12"/>
        <v>5.0000000000000001E-4</v>
      </c>
      <c r="C436" s="70">
        <f t="shared" si="13"/>
        <v>9.6153846153846157E-6</v>
      </c>
      <c r="F436" s="71">
        <v>40648</v>
      </c>
      <c r="G436" s="69">
        <v>8.8437027678938337E-3</v>
      </c>
      <c r="H436" s="137">
        <v>1.733684201184612E-3</v>
      </c>
      <c r="I436" s="137">
        <v>7.381453943081102E-4</v>
      </c>
      <c r="J436" s="137">
        <v>9.4741540696863052E-4</v>
      </c>
    </row>
    <row r="437" spans="1:10">
      <c r="A437" s="68">
        <v>0.06</v>
      </c>
      <c r="B437" s="69">
        <f t="shared" si="12"/>
        <v>5.9999999999999995E-4</v>
      </c>
      <c r="C437" s="70">
        <f t="shared" si="13"/>
        <v>1.1538461538461538E-5</v>
      </c>
      <c r="F437" s="71">
        <v>40655</v>
      </c>
      <c r="G437" s="69">
        <v>6.2052552045039379E-3</v>
      </c>
      <c r="H437" s="137">
        <v>1.7611304226950123E-2</v>
      </c>
      <c r="I437" s="137">
        <v>1.2093783187682925E-2</v>
      </c>
      <c r="J437" s="137">
        <v>2.4490936462617026E-2</v>
      </c>
    </row>
    <row r="438" spans="1:10">
      <c r="A438" s="68">
        <v>0.06</v>
      </c>
      <c r="B438" s="69">
        <f t="shared" si="12"/>
        <v>5.9999999999999995E-4</v>
      </c>
      <c r="C438" s="70">
        <f t="shared" si="13"/>
        <v>1.1538461538461538E-5</v>
      </c>
      <c r="F438" s="71">
        <v>40662</v>
      </c>
      <c r="G438" s="69">
        <v>8.5299553646656246E-3</v>
      </c>
      <c r="H438" s="137">
        <v>2.9899280546729523E-2</v>
      </c>
      <c r="I438" s="137">
        <v>2.0786210143540138E-2</v>
      </c>
      <c r="J438" s="137">
        <v>-1.1563605412520122E-2</v>
      </c>
    </row>
    <row r="439" spans="1:10">
      <c r="A439" s="68">
        <v>0.06</v>
      </c>
      <c r="B439" s="69">
        <f t="shared" si="12"/>
        <v>5.9999999999999995E-4</v>
      </c>
      <c r="C439" s="70">
        <f t="shared" si="13"/>
        <v>1.1538461538461538E-5</v>
      </c>
      <c r="F439" s="71">
        <v>40669</v>
      </c>
      <c r="G439" s="69">
        <v>3.0204996347871979E-3</v>
      </c>
      <c r="H439" s="137">
        <v>-2.0868322525981763E-2</v>
      </c>
      <c r="I439" s="137">
        <v>-8.8143236079554852E-3</v>
      </c>
      <c r="J439" s="137">
        <v>-4.1674388677818289E-3</v>
      </c>
    </row>
    <row r="440" spans="1:10">
      <c r="A440" s="68">
        <v>0.03</v>
      </c>
      <c r="B440" s="69">
        <f t="shared" si="12"/>
        <v>2.9999999999999997E-4</v>
      </c>
      <c r="C440" s="70">
        <f t="shared" si="13"/>
        <v>5.7692307692307689E-6</v>
      </c>
      <c r="F440" s="71">
        <v>40676</v>
      </c>
      <c r="G440" s="69">
        <v>-3.3493113581674078E-3</v>
      </c>
      <c r="H440" s="137">
        <v>-1.6268685700185932E-2</v>
      </c>
      <c r="I440" s="137">
        <v>1.5698251340693203E-3</v>
      </c>
      <c r="J440" s="137">
        <v>-3.8585664671187871E-3</v>
      </c>
    </row>
    <row r="441" spans="1:10">
      <c r="A441" s="68">
        <v>0.03</v>
      </c>
      <c r="B441" s="69">
        <f t="shared" si="12"/>
        <v>2.9999999999999997E-4</v>
      </c>
      <c r="C441" s="70">
        <f t="shared" si="13"/>
        <v>5.7692307692307689E-6</v>
      </c>
      <c r="F441" s="71">
        <v>40683</v>
      </c>
      <c r="G441" s="69">
        <v>-5.3496408285868516E-4</v>
      </c>
      <c r="H441" s="137">
        <v>1.4838445056152756E-3</v>
      </c>
      <c r="I441" s="137">
        <v>1.0448394062105331E-2</v>
      </c>
      <c r="J441" s="137">
        <v>4.9658924013558639E-3</v>
      </c>
    </row>
    <row r="442" spans="1:10">
      <c r="A442" s="68">
        <v>0.05</v>
      </c>
      <c r="B442" s="69">
        <f t="shared" si="12"/>
        <v>5.0000000000000001E-4</v>
      </c>
      <c r="C442" s="70">
        <f t="shared" si="13"/>
        <v>9.6153846153846157E-6</v>
      </c>
      <c r="F442" s="71">
        <v>40690</v>
      </c>
      <c r="G442" s="69">
        <v>-4.055031938555432E-4</v>
      </c>
      <c r="H442" s="137">
        <v>4.2674711941938486E-3</v>
      </c>
      <c r="I442" s="137">
        <v>1.9345045182108133E-3</v>
      </c>
      <c r="J442" s="137">
        <v>-5.1253654445243572E-3</v>
      </c>
    </row>
    <row r="443" spans="1:10">
      <c r="A443" s="68">
        <v>0.06</v>
      </c>
      <c r="B443" s="69">
        <f t="shared" si="12"/>
        <v>5.9999999999999995E-4</v>
      </c>
      <c r="C443" s="70">
        <f t="shared" si="13"/>
        <v>1.1538461538461538E-5</v>
      </c>
      <c r="F443" s="71">
        <v>40697</v>
      </c>
      <c r="G443" s="69">
        <v>7.7939064563679857E-3</v>
      </c>
      <c r="H443" s="137">
        <v>-2.1255679344826155E-3</v>
      </c>
      <c r="I443" s="137">
        <v>-2.0351850097219768E-2</v>
      </c>
      <c r="J443" s="137">
        <v>-1.3262145697791205E-2</v>
      </c>
    </row>
    <row r="444" spans="1:10">
      <c r="A444" s="68">
        <v>0.05</v>
      </c>
      <c r="B444" s="69">
        <f t="shared" si="12"/>
        <v>5.0000000000000001E-4</v>
      </c>
      <c r="C444" s="70">
        <f t="shared" si="13"/>
        <v>9.6153846153846157E-6</v>
      </c>
      <c r="F444" s="71">
        <v>40704</v>
      </c>
      <c r="G444" s="69">
        <v>-1.0598147803248803E-3</v>
      </c>
      <c r="H444" s="137">
        <v>-2.1457879559111367E-2</v>
      </c>
      <c r="I444" s="137">
        <v>-1.8844254936953908E-2</v>
      </c>
      <c r="J444" s="137">
        <v>-8.665489466790164E-3</v>
      </c>
    </row>
    <row r="445" spans="1:10">
      <c r="A445" s="68">
        <v>0.05</v>
      </c>
      <c r="B445" s="69">
        <f t="shared" si="12"/>
        <v>5.0000000000000001E-4</v>
      </c>
      <c r="C445" s="70">
        <f t="shared" si="13"/>
        <v>9.6153846153846157E-6</v>
      </c>
      <c r="F445" s="71">
        <v>40711</v>
      </c>
      <c r="G445" s="69">
        <v>-7.9959417127312355E-4</v>
      </c>
      <c r="H445" s="137">
        <v>-1.0738594610946195E-2</v>
      </c>
      <c r="I445" s="137">
        <v>3.2522940901800156E-3</v>
      </c>
      <c r="J445" s="137">
        <v>-2.0515970680366806E-2</v>
      </c>
    </row>
    <row r="446" spans="1:10">
      <c r="A446" s="68">
        <v>0.05</v>
      </c>
      <c r="B446" s="69">
        <f t="shared" si="12"/>
        <v>5.0000000000000001E-4</v>
      </c>
      <c r="C446" s="70">
        <f t="shared" si="13"/>
        <v>9.6153846153846157E-6</v>
      </c>
      <c r="F446" s="71">
        <v>40718</v>
      </c>
      <c r="G446" s="69">
        <v>4.7949128644627059E-4</v>
      </c>
      <c r="H446" s="137">
        <v>-2.3948987527532085E-2</v>
      </c>
      <c r="I446" s="137">
        <v>1.145175977659809E-2</v>
      </c>
      <c r="J446" s="137">
        <v>-6.7511248687460116E-3</v>
      </c>
    </row>
    <row r="447" spans="1:10">
      <c r="A447" s="68">
        <v>0.02</v>
      </c>
      <c r="B447" s="69">
        <f t="shared" si="12"/>
        <v>2.0000000000000001E-4</v>
      </c>
      <c r="C447" s="70">
        <f t="shared" si="13"/>
        <v>3.8461538461538459E-6</v>
      </c>
      <c r="F447" s="71">
        <v>40725</v>
      </c>
      <c r="G447" s="69">
        <v>-2.1788060038412591E-3</v>
      </c>
      <c r="H447" s="137">
        <v>5.7079891827028141E-2</v>
      </c>
      <c r="I447" s="137">
        <v>3.8187917299424015E-2</v>
      </c>
      <c r="J447" s="137">
        <v>3.7505075502620791E-2</v>
      </c>
    </row>
    <row r="448" spans="1:10">
      <c r="A448" s="68">
        <v>0.02</v>
      </c>
      <c r="B448" s="69">
        <f t="shared" si="12"/>
        <v>2.0000000000000001E-4</v>
      </c>
      <c r="C448" s="70">
        <f t="shared" si="13"/>
        <v>3.8461538461538459E-6</v>
      </c>
      <c r="F448" s="71">
        <v>40732</v>
      </c>
      <c r="G448" s="69">
        <v>4.8672400307448703E-3</v>
      </c>
      <c r="H448" s="137">
        <v>-2.3033687696948846E-2</v>
      </c>
      <c r="I448" s="137">
        <v>-6.0045037601591461E-3</v>
      </c>
      <c r="J448" s="137">
        <v>1.791158248449335E-2</v>
      </c>
    </row>
    <row r="449" spans="1:10">
      <c r="A449" s="68">
        <v>0.02</v>
      </c>
      <c r="B449" s="69">
        <f t="shared" si="12"/>
        <v>2.0000000000000001E-4</v>
      </c>
      <c r="C449" s="70">
        <f t="shared" si="13"/>
        <v>3.8461538461538459E-6</v>
      </c>
      <c r="F449" s="71">
        <v>40739</v>
      </c>
      <c r="G449" s="69">
        <v>2.1213357643966222E-3</v>
      </c>
      <c r="H449" s="137">
        <v>-2.5207380578909054E-2</v>
      </c>
      <c r="I449" s="137">
        <v>-7.6080345612983156E-3</v>
      </c>
      <c r="J449" s="137">
        <v>-2.4189625145865618E-2</v>
      </c>
    </row>
    <row r="450" spans="1:10">
      <c r="A450" s="68">
        <v>0.02</v>
      </c>
      <c r="B450" s="69">
        <f t="shared" si="12"/>
        <v>2.0000000000000001E-4</v>
      </c>
      <c r="C450" s="70">
        <f t="shared" si="13"/>
        <v>3.8461538461538459E-6</v>
      </c>
      <c r="F450" s="71">
        <v>40746</v>
      </c>
      <c r="G450" s="69">
        <v>4.9448294932014384E-3</v>
      </c>
      <c r="H450" s="137">
        <v>3.8842176260435499E-2</v>
      </c>
      <c r="I450" s="137">
        <v>1.0212160358767609E-2</v>
      </c>
      <c r="J450" s="137">
        <v>2.1115214712371006E-2</v>
      </c>
    </row>
    <row r="451" spans="1:10">
      <c r="A451" s="68">
        <v>0.03</v>
      </c>
      <c r="B451" s="69">
        <f t="shared" si="12"/>
        <v>2.9999999999999997E-4</v>
      </c>
      <c r="C451" s="70">
        <f t="shared" si="13"/>
        <v>5.7692307692307689E-6</v>
      </c>
      <c r="F451" s="71">
        <v>40753</v>
      </c>
      <c r="G451" s="69">
        <v>4.6322796040164814E-3</v>
      </c>
      <c r="H451" s="137">
        <v>-1.7372539290398226E-2</v>
      </c>
      <c r="I451" s="137">
        <v>-2.2104488826222225E-2</v>
      </c>
      <c r="J451" s="137">
        <v>-4.4629514104605385E-3</v>
      </c>
    </row>
    <row r="452" spans="1:10">
      <c r="A452" s="68">
        <v>7.0000000000000007E-2</v>
      </c>
      <c r="B452" s="69">
        <f t="shared" si="12"/>
        <v>7.000000000000001E-4</v>
      </c>
      <c r="C452" s="70">
        <f t="shared" si="13"/>
        <v>1.3461538461538463E-5</v>
      </c>
      <c r="F452" s="71">
        <v>40760</v>
      </c>
      <c r="G452" s="69">
        <v>-3.454658829628273E-3</v>
      </c>
      <c r="H452" s="137">
        <v>-6.6494721824374756E-2</v>
      </c>
      <c r="I452" s="137">
        <v>-5.4522692769615855E-2</v>
      </c>
      <c r="J452" s="137">
        <v>-6.9014862636831653E-2</v>
      </c>
    </row>
    <row r="453" spans="1:10">
      <c r="A453" s="68">
        <v>0.04</v>
      </c>
      <c r="B453" s="69">
        <f t="shared" si="12"/>
        <v>4.0000000000000002E-4</v>
      </c>
      <c r="C453" s="70">
        <f t="shared" si="13"/>
        <v>7.6923076923076919E-6</v>
      </c>
      <c r="F453" s="71">
        <v>40767</v>
      </c>
      <c r="G453" s="69">
        <v>8.8278053337750694E-3</v>
      </c>
      <c r="H453" s="137">
        <v>2.8670208868328481E-3</v>
      </c>
      <c r="I453" s="137">
        <v>1.9685207756065179E-2</v>
      </c>
      <c r="J453" s="137">
        <v>-2.3926010872437845E-2</v>
      </c>
    </row>
    <row r="454" spans="1:10">
      <c r="A454" s="68">
        <v>0.03</v>
      </c>
      <c r="B454" s="69">
        <f t="shared" ref="B454:B517" si="14">+A454/100</f>
        <v>2.9999999999999997E-4</v>
      </c>
      <c r="C454" s="70">
        <f t="shared" ref="C454:C517" si="15">+B454/52</f>
        <v>5.7692307692307689E-6</v>
      </c>
      <c r="F454" s="71">
        <v>40774</v>
      </c>
      <c r="G454" s="69">
        <v>3.5427106869007634E-3</v>
      </c>
      <c r="H454" s="137">
        <v>-2.9758903467797498E-2</v>
      </c>
      <c r="I454" s="137">
        <v>-1.4773325618228512E-2</v>
      </c>
      <c r="J454" s="137">
        <v>9.4791194008543849E-4</v>
      </c>
    </row>
    <row r="455" spans="1:10">
      <c r="A455" s="68">
        <v>0.02</v>
      </c>
      <c r="B455" s="69">
        <f t="shared" si="14"/>
        <v>2.0000000000000001E-4</v>
      </c>
      <c r="C455" s="70">
        <f t="shared" si="15"/>
        <v>3.8461538461538459E-6</v>
      </c>
      <c r="F455" s="71">
        <v>40781</v>
      </c>
      <c r="G455" s="69">
        <v>-5.3504459189114249E-3</v>
      </c>
      <c r="H455" s="137">
        <v>9.0193295884470302E-3</v>
      </c>
      <c r="I455" s="137">
        <v>3.8310470940254027E-2</v>
      </c>
      <c r="J455" s="137">
        <v>2.9782621044786087E-2</v>
      </c>
    </row>
    <row r="456" spans="1:10">
      <c r="A456" s="68">
        <v>0.01</v>
      </c>
      <c r="B456" s="69">
        <f t="shared" si="14"/>
        <v>1E-4</v>
      </c>
      <c r="C456" s="70">
        <f t="shared" si="15"/>
        <v>1.923076923076923E-6</v>
      </c>
      <c r="F456" s="71">
        <v>40788</v>
      </c>
      <c r="G456" s="69">
        <v>6.3850854471989155E-3</v>
      </c>
      <c r="H456" s="137">
        <v>2.5234182734733174E-2</v>
      </c>
      <c r="I456" s="137">
        <v>1.5623126563096666E-2</v>
      </c>
      <c r="J456" s="137">
        <v>1.5677654318146425E-2</v>
      </c>
    </row>
    <row r="457" spans="1:10">
      <c r="A457" s="68">
        <v>0.02</v>
      </c>
      <c r="B457" s="69">
        <f t="shared" si="14"/>
        <v>2.0000000000000001E-4</v>
      </c>
      <c r="C457" s="70">
        <f t="shared" si="15"/>
        <v>3.8461538461538459E-6</v>
      </c>
      <c r="F457" s="71">
        <v>40795</v>
      </c>
      <c r="G457" s="69">
        <v>-4.7949196793509209E-3</v>
      </c>
      <c r="H457" s="137">
        <v>-4.001399365502406E-2</v>
      </c>
      <c r="I457" s="137">
        <v>-1.9352294668927919E-2</v>
      </c>
      <c r="J457" s="137">
        <v>1.1799159448010639E-2</v>
      </c>
    </row>
    <row r="458" spans="1:10">
      <c r="A458" s="68">
        <v>0.02</v>
      </c>
      <c r="B458" s="69">
        <f t="shared" si="14"/>
        <v>2.0000000000000001E-4</v>
      </c>
      <c r="C458" s="70">
        <f t="shared" si="15"/>
        <v>3.8461538461538459E-6</v>
      </c>
      <c r="F458" s="71">
        <v>40802</v>
      </c>
      <c r="G458" s="69">
        <v>-3.8862777666882832E-4</v>
      </c>
      <c r="H458" s="137">
        <v>1.2021935883400085E-2</v>
      </c>
      <c r="I458" s="137">
        <v>2.8605840602339585E-2</v>
      </c>
      <c r="J458" s="137">
        <v>-1.5682843452582518E-2</v>
      </c>
    </row>
    <row r="459" spans="1:10">
      <c r="A459" s="68">
        <v>0.01</v>
      </c>
      <c r="B459" s="69">
        <f t="shared" si="14"/>
        <v>1E-4</v>
      </c>
      <c r="C459" s="70">
        <f t="shared" si="15"/>
        <v>1.923076923076923E-6</v>
      </c>
      <c r="F459" s="71">
        <v>40809</v>
      </c>
      <c r="G459" s="69">
        <v>-8.6687315272306054E-4</v>
      </c>
      <c r="H459" s="137">
        <v>-4.374434590635512E-2</v>
      </c>
      <c r="I459" s="137">
        <v>-4.0169686300203199E-2</v>
      </c>
      <c r="J459" s="137">
        <v>-6.5836017080462064E-2</v>
      </c>
    </row>
    <row r="460" spans="1:10">
      <c r="A460" s="68">
        <v>0.01</v>
      </c>
      <c r="B460" s="69">
        <f t="shared" si="14"/>
        <v>1E-4</v>
      </c>
      <c r="C460" s="70">
        <f t="shared" si="15"/>
        <v>1.923076923076923E-6</v>
      </c>
      <c r="F460" s="71">
        <v>40816</v>
      </c>
      <c r="G460" s="69">
        <v>-4.6928037882848555E-3</v>
      </c>
      <c r="H460" s="137">
        <v>4.5520073896475978E-2</v>
      </c>
      <c r="I460" s="137">
        <v>1.288128934509567E-2</v>
      </c>
      <c r="J460" s="137">
        <v>1.080466309070453E-2</v>
      </c>
    </row>
    <row r="461" spans="1:10">
      <c r="A461" s="68">
        <v>0.02</v>
      </c>
      <c r="B461" s="69">
        <f t="shared" si="14"/>
        <v>2.0000000000000001E-4</v>
      </c>
      <c r="C461" s="70">
        <f t="shared" si="15"/>
        <v>3.8461538461538459E-6</v>
      </c>
      <c r="F461" s="71">
        <v>40823</v>
      </c>
      <c r="G461" s="69">
        <v>-2.3095292588040817E-3</v>
      </c>
      <c r="H461" s="137">
        <v>1.2567160242807268E-2</v>
      </c>
      <c r="I461" s="137">
        <v>-2.5944187424666609E-3</v>
      </c>
      <c r="J461" s="137">
        <v>4.1391326717338727E-4</v>
      </c>
    </row>
    <row r="462" spans="1:10">
      <c r="A462" s="68">
        <v>0.01</v>
      </c>
      <c r="B462" s="69">
        <f t="shared" si="14"/>
        <v>1E-4</v>
      </c>
      <c r="C462" s="70">
        <f t="shared" si="15"/>
        <v>1.923076923076923E-6</v>
      </c>
      <c r="F462" s="71">
        <v>40830</v>
      </c>
      <c r="G462" s="69">
        <v>3.1234877071553858E-3</v>
      </c>
      <c r="H462" s="137">
        <v>2.7037745665968706E-2</v>
      </c>
      <c r="I462" s="137">
        <v>3.5590082953476869E-2</v>
      </c>
      <c r="J462" s="137">
        <v>3.0031890110364612E-2</v>
      </c>
    </row>
    <row r="463" spans="1:10">
      <c r="A463" s="68">
        <v>0.02</v>
      </c>
      <c r="B463" s="69">
        <f t="shared" si="14"/>
        <v>2.0000000000000001E-4</v>
      </c>
      <c r="C463" s="70">
        <f t="shared" si="15"/>
        <v>3.8461538461538459E-6</v>
      </c>
      <c r="F463" s="71">
        <v>40837</v>
      </c>
      <c r="G463" s="69">
        <v>5.6319096668534727E-3</v>
      </c>
      <c r="H463" s="137">
        <v>1.1143162741013176E-2</v>
      </c>
      <c r="I463" s="137">
        <v>3.1003731956879197E-2</v>
      </c>
      <c r="J463" s="137">
        <v>6.739160280262748E-3</v>
      </c>
    </row>
    <row r="464" spans="1:10">
      <c r="A464" s="68">
        <v>0.03</v>
      </c>
      <c r="B464" s="69">
        <f t="shared" si="14"/>
        <v>2.9999999999999997E-4</v>
      </c>
      <c r="C464" s="70">
        <f t="shared" si="15"/>
        <v>5.7692307692307689E-6</v>
      </c>
      <c r="F464" s="71">
        <v>40844</v>
      </c>
      <c r="G464" s="69">
        <v>7.5684260455490095E-3</v>
      </c>
      <c r="H464" s="137">
        <v>1.1465681537567723E-2</v>
      </c>
      <c r="I464" s="137">
        <v>8.7930421053221755E-3</v>
      </c>
      <c r="J464" s="137">
        <v>5.3802303864113471E-2</v>
      </c>
    </row>
    <row r="465" spans="1:10">
      <c r="A465" s="68">
        <v>0.02</v>
      </c>
      <c r="B465" s="69">
        <f t="shared" si="14"/>
        <v>2.0000000000000001E-4</v>
      </c>
      <c r="C465" s="70">
        <f t="shared" si="15"/>
        <v>3.8461538461538459E-6</v>
      </c>
      <c r="F465" s="71">
        <v>40851</v>
      </c>
      <c r="G465" s="69">
        <v>-2.5213915772335348E-3</v>
      </c>
      <c r="H465" s="137">
        <v>-3.5844468450147826E-2</v>
      </c>
      <c r="I465" s="137">
        <v>-7.9380080938990325E-3</v>
      </c>
      <c r="J465" s="137">
        <v>-2.2320418579138544E-2</v>
      </c>
    </row>
    <row r="466" spans="1:10">
      <c r="A466" s="68">
        <v>0.01</v>
      </c>
      <c r="B466" s="69">
        <f t="shared" si="14"/>
        <v>1E-4</v>
      </c>
      <c r="C466" s="70">
        <f t="shared" si="15"/>
        <v>1.923076923076923E-6</v>
      </c>
      <c r="F466" s="71">
        <v>40858</v>
      </c>
      <c r="G466" s="69">
        <v>-1.147282971390396E-3</v>
      </c>
      <c r="H466" s="137">
        <v>3.4090438639853317E-3</v>
      </c>
      <c r="I466" s="137">
        <v>1.3332569997346827E-3</v>
      </c>
      <c r="J466" s="137">
        <v>1.9989358776785495E-3</v>
      </c>
    </row>
    <row r="467" spans="1:10">
      <c r="A467" s="68">
        <v>0.01</v>
      </c>
      <c r="B467" s="69">
        <f t="shared" si="14"/>
        <v>1E-4</v>
      </c>
      <c r="C467" s="70">
        <f t="shared" si="15"/>
        <v>1.923076923076923E-6</v>
      </c>
      <c r="F467" s="71">
        <v>40865</v>
      </c>
      <c r="G467" s="69">
        <v>-5.3041647563840024E-3</v>
      </c>
      <c r="H467" s="137">
        <v>-2.7205962437115972E-2</v>
      </c>
      <c r="I467" s="137">
        <v>-1.0646131409138761E-2</v>
      </c>
      <c r="J467" s="137">
        <v>-1.7802246810856119E-2</v>
      </c>
    </row>
    <row r="468" spans="1:10">
      <c r="A468" s="68">
        <v>0.01</v>
      </c>
      <c r="B468" s="69">
        <f t="shared" si="14"/>
        <v>1E-4</v>
      </c>
      <c r="C468" s="70">
        <f t="shared" si="15"/>
        <v>1.923076923076923E-6</v>
      </c>
      <c r="F468" s="71">
        <v>40872</v>
      </c>
      <c r="G468" s="69">
        <v>-1.0292553582391162E-2</v>
      </c>
      <c r="H468" s="137">
        <v>-5.5621266142943465E-2</v>
      </c>
      <c r="I468" s="137">
        <v>-3.2299389686410981E-2</v>
      </c>
      <c r="J468" s="137">
        <v>-3.4432255495619707E-2</v>
      </c>
    </row>
    <row r="469" spans="1:10">
      <c r="A469" s="68">
        <v>0.02</v>
      </c>
      <c r="B469" s="69">
        <f t="shared" si="14"/>
        <v>2.0000000000000001E-4</v>
      </c>
      <c r="C469" s="70">
        <f t="shared" si="15"/>
        <v>3.8461538461538459E-6</v>
      </c>
      <c r="F469" s="71">
        <v>40879</v>
      </c>
      <c r="G469" s="69">
        <v>9.8571442388141941E-3</v>
      </c>
      <c r="H469" s="137">
        <v>3.8473631768103513E-2</v>
      </c>
      <c r="I469" s="137">
        <v>5.5040777050219952E-2</v>
      </c>
      <c r="J469" s="137">
        <v>6.5650812891747359E-2</v>
      </c>
    </row>
    <row r="470" spans="1:10">
      <c r="A470" s="68">
        <v>0.02</v>
      </c>
      <c r="B470" s="69">
        <f t="shared" si="14"/>
        <v>2.0000000000000001E-4</v>
      </c>
      <c r="C470" s="70">
        <f t="shared" si="15"/>
        <v>3.8461538461538459E-6</v>
      </c>
      <c r="F470" s="71">
        <v>40886</v>
      </c>
      <c r="G470" s="69">
        <v>1.918577005699928E-3</v>
      </c>
      <c r="H470" s="137">
        <v>-6.3395464206606085E-3</v>
      </c>
      <c r="I470" s="137">
        <v>-8.7817106648394603E-4</v>
      </c>
      <c r="J470" s="137">
        <v>-1.2435625795672957E-2</v>
      </c>
    </row>
    <row r="471" spans="1:10">
      <c r="A471" s="68">
        <v>0.01</v>
      </c>
      <c r="B471" s="69">
        <f t="shared" si="14"/>
        <v>1E-4</v>
      </c>
      <c r="C471" s="70">
        <f t="shared" si="15"/>
        <v>1.923076923076923E-6</v>
      </c>
      <c r="F471" s="71">
        <v>40893</v>
      </c>
      <c r="G471" s="69">
        <v>1.6562608657220371E-3</v>
      </c>
      <c r="H471" s="137">
        <v>-2.4567436691228305E-2</v>
      </c>
      <c r="I471" s="137">
        <v>-1.1902614154513044E-3</v>
      </c>
      <c r="J471" s="137">
        <v>1.6350110061664892E-3</v>
      </c>
    </row>
    <row r="472" spans="1:10">
      <c r="A472" s="68">
        <v>0.01</v>
      </c>
      <c r="B472" s="69">
        <f t="shared" si="14"/>
        <v>1E-4</v>
      </c>
      <c r="C472" s="70">
        <f t="shared" si="15"/>
        <v>1.923076923076923E-6</v>
      </c>
      <c r="F472" s="71">
        <v>40900</v>
      </c>
      <c r="G472" s="69">
        <v>-2.752992847553936E-3</v>
      </c>
      <c r="H472" s="137">
        <v>2.1447269882487054E-2</v>
      </c>
      <c r="I472" s="137">
        <v>3.7499977485643383E-2</v>
      </c>
      <c r="J472" s="137">
        <v>8.8503126800565483E-3</v>
      </c>
    </row>
    <row r="473" spans="1:10">
      <c r="A473" s="68">
        <v>0.01</v>
      </c>
      <c r="B473" s="69">
        <f t="shared" si="14"/>
        <v>1E-4</v>
      </c>
      <c r="C473" s="70">
        <f t="shared" si="15"/>
        <v>1.923076923076923E-6</v>
      </c>
      <c r="F473" s="71">
        <v>40907</v>
      </c>
      <c r="G473" s="69">
        <v>7.4385887296965353E-3</v>
      </c>
      <c r="H473" s="137">
        <v>3.6287134810744836E-3</v>
      </c>
      <c r="I473" s="137">
        <v>4.1215119756006094E-3</v>
      </c>
      <c r="J473" s="137">
        <v>7.0658003638280125E-3</v>
      </c>
    </row>
    <row r="474" spans="1:10">
      <c r="A474" s="68">
        <v>0.02</v>
      </c>
      <c r="B474" s="69">
        <f t="shared" si="14"/>
        <v>2.0000000000000001E-4</v>
      </c>
      <c r="C474" s="70">
        <f t="shared" si="15"/>
        <v>3.8461538461538459E-6</v>
      </c>
      <c r="F474" s="71">
        <v>40914</v>
      </c>
      <c r="G474" s="69">
        <v>-3.7091936404764019E-3</v>
      </c>
      <c r="H474" s="137">
        <v>-2.1911567884661327E-2</v>
      </c>
      <c r="I474" s="137">
        <v>-1.0960820963385161E-2</v>
      </c>
      <c r="J474" s="137">
        <v>-1.1208927818547327E-3</v>
      </c>
    </row>
    <row r="475" spans="1:10">
      <c r="A475" s="68">
        <v>0.02</v>
      </c>
      <c r="B475" s="69">
        <f t="shared" si="14"/>
        <v>2.0000000000000001E-4</v>
      </c>
      <c r="C475" s="70">
        <f t="shared" si="15"/>
        <v>3.8461538461538459E-6</v>
      </c>
      <c r="F475" s="71">
        <v>40921</v>
      </c>
      <c r="G475" s="69">
        <v>6.0341838673521019E-3</v>
      </c>
      <c r="H475" s="137">
        <v>2.4794356888663696E-3</v>
      </c>
      <c r="I475" s="137">
        <v>-5.4194414450819042E-3</v>
      </c>
      <c r="J475" s="137">
        <v>9.1115073021848982E-3</v>
      </c>
    </row>
    <row r="476" spans="1:10">
      <c r="A476" s="68">
        <v>0.02</v>
      </c>
      <c r="B476" s="69">
        <f t="shared" si="14"/>
        <v>2.0000000000000001E-4</v>
      </c>
      <c r="C476" s="70">
        <f t="shared" si="15"/>
        <v>3.8461538461538459E-6</v>
      </c>
      <c r="F476" s="71">
        <v>40928</v>
      </c>
      <c r="G476" s="69">
        <v>5.9924641108815725E-5</v>
      </c>
      <c r="H476" s="137">
        <v>1.7103037373011276E-2</v>
      </c>
      <c r="I476" s="137">
        <v>4.6399165661619229E-3</v>
      </c>
      <c r="J476" s="137">
        <v>5.1737314017539313E-3</v>
      </c>
    </row>
    <row r="477" spans="1:10">
      <c r="A477" s="68">
        <v>0.04</v>
      </c>
      <c r="B477" s="69">
        <f t="shared" si="14"/>
        <v>4.0000000000000002E-4</v>
      </c>
      <c r="C477" s="70">
        <f t="shared" si="15"/>
        <v>7.6923076923076919E-6</v>
      </c>
      <c r="F477" s="71">
        <v>40935</v>
      </c>
      <c r="G477" s="69">
        <v>8.7650552564566102E-3</v>
      </c>
      <c r="H477" s="137">
        <v>1.8740534434403301E-2</v>
      </c>
      <c r="I477" s="137">
        <v>9.5785760395468052E-3</v>
      </c>
      <c r="J477" s="137">
        <v>2.2956305677687035E-2</v>
      </c>
    </row>
    <row r="478" spans="1:10">
      <c r="A478" s="68">
        <v>0.05</v>
      </c>
      <c r="B478" s="69">
        <f t="shared" si="14"/>
        <v>5.0000000000000001E-4</v>
      </c>
      <c r="C478" s="70">
        <f t="shared" si="15"/>
        <v>9.6153846153846157E-6</v>
      </c>
      <c r="F478" s="71">
        <v>40942</v>
      </c>
      <c r="G478" s="69">
        <v>2.1187636874952565E-3</v>
      </c>
      <c r="H478" s="137">
        <v>2.9925925555883717E-2</v>
      </c>
      <c r="I478" s="137">
        <v>8.836387246146972E-3</v>
      </c>
      <c r="J478" s="137">
        <v>7.5210737440476192E-3</v>
      </c>
    </row>
    <row r="479" spans="1:10">
      <c r="A479" s="68">
        <v>7.0000000000000007E-2</v>
      </c>
      <c r="B479" s="69">
        <f t="shared" si="14"/>
        <v>7.000000000000001E-4</v>
      </c>
      <c r="C479" s="70">
        <f t="shared" si="15"/>
        <v>1.3461538461538463E-5</v>
      </c>
      <c r="F479" s="71">
        <v>40949</v>
      </c>
      <c r="G479" s="69">
        <v>-2.0168364354306722E-4</v>
      </c>
      <c r="H479" s="137">
        <v>-9.2104831759545723E-3</v>
      </c>
      <c r="I479" s="137">
        <v>3.016819804016933E-4</v>
      </c>
      <c r="J479" s="137">
        <v>1.1568420516111975E-2</v>
      </c>
    </row>
    <row r="480" spans="1:10">
      <c r="A480" s="68">
        <v>0.09</v>
      </c>
      <c r="B480" s="69">
        <f t="shared" si="14"/>
        <v>8.9999999999999998E-4</v>
      </c>
      <c r="C480" s="70">
        <f t="shared" si="15"/>
        <v>1.7307692307692306E-5</v>
      </c>
      <c r="F480" s="71">
        <v>40956</v>
      </c>
      <c r="G480" s="69">
        <v>-2.4832710655124362E-3</v>
      </c>
      <c r="H480" s="137">
        <v>1.4187086102934421E-2</v>
      </c>
      <c r="I480" s="137">
        <v>3.6605524942807306E-3</v>
      </c>
      <c r="J480" s="137">
        <v>4.2320254641260305E-3</v>
      </c>
    </row>
    <row r="481" spans="1:10">
      <c r="A481" s="68">
        <v>0.11</v>
      </c>
      <c r="B481" s="69">
        <f t="shared" si="14"/>
        <v>1.1000000000000001E-3</v>
      </c>
      <c r="C481" s="70">
        <f t="shared" si="15"/>
        <v>2.1153846153846154E-5</v>
      </c>
      <c r="F481" s="71">
        <v>40963</v>
      </c>
      <c r="G481" s="69">
        <v>3.1695179457290746E-3</v>
      </c>
      <c r="H481" s="137">
        <v>1.4578444534567549E-2</v>
      </c>
      <c r="I481" s="137">
        <v>6.893063279801658E-3</v>
      </c>
      <c r="J481" s="137">
        <v>-2.5209695903173558E-3</v>
      </c>
    </row>
    <row r="482" spans="1:10">
      <c r="A482" s="68">
        <v>0.09</v>
      </c>
      <c r="B482" s="69">
        <f t="shared" si="14"/>
        <v>8.9999999999999998E-4</v>
      </c>
      <c r="C482" s="70">
        <f t="shared" si="15"/>
        <v>1.7307692307692306E-5</v>
      </c>
      <c r="F482" s="71">
        <v>40970</v>
      </c>
      <c r="G482" s="69">
        <v>1.4585378397645274E-3</v>
      </c>
      <c r="H482" s="137">
        <v>7.0500993266985603E-3</v>
      </c>
      <c r="I482" s="137">
        <v>2.9408584598173467E-3</v>
      </c>
      <c r="J482" s="137">
        <v>6.7009027865994556E-3</v>
      </c>
    </row>
    <row r="483" spans="1:10">
      <c r="A483" s="68">
        <v>0.09</v>
      </c>
      <c r="B483" s="69">
        <f t="shared" si="14"/>
        <v>8.9999999999999998E-4</v>
      </c>
      <c r="C483" s="70">
        <f t="shared" si="15"/>
        <v>1.7307692307692306E-5</v>
      </c>
      <c r="F483" s="71">
        <v>40977</v>
      </c>
      <c r="G483" s="69">
        <v>-5.9083072305622462E-3</v>
      </c>
      <c r="H483" s="137">
        <v>-1.8118395553732843E-2</v>
      </c>
      <c r="I483" s="137">
        <v>7.3028046779651124E-3</v>
      </c>
      <c r="J483" s="137">
        <v>2.1762436944183951E-4</v>
      </c>
    </row>
    <row r="484" spans="1:10">
      <c r="A484" s="68">
        <v>0.08</v>
      </c>
      <c r="B484" s="69">
        <f t="shared" si="14"/>
        <v>8.0000000000000004E-4</v>
      </c>
      <c r="C484" s="70">
        <f t="shared" si="15"/>
        <v>1.5384615384615384E-5</v>
      </c>
      <c r="F484" s="71">
        <v>40984</v>
      </c>
      <c r="G484" s="69">
        <v>-5.6329199991337836E-3</v>
      </c>
      <c r="H484" s="137">
        <v>6.6585441246298539E-3</v>
      </c>
      <c r="I484" s="137">
        <v>-4.8973301226653354E-3</v>
      </c>
      <c r="J484" s="137">
        <v>1.4765997841764271E-2</v>
      </c>
    </row>
    <row r="485" spans="1:10">
      <c r="A485" s="68">
        <v>0.09</v>
      </c>
      <c r="B485" s="69">
        <f t="shared" si="14"/>
        <v>8.9999999999999998E-4</v>
      </c>
      <c r="C485" s="70">
        <f t="shared" si="15"/>
        <v>1.7307692307692306E-5</v>
      </c>
      <c r="F485" s="71">
        <v>40991</v>
      </c>
      <c r="G485" s="69">
        <v>3.233044631196615E-3</v>
      </c>
      <c r="H485" s="137">
        <v>-3.50192629764998E-3</v>
      </c>
      <c r="I485" s="137">
        <v>-6.857877478245753E-3</v>
      </c>
      <c r="J485" s="137">
        <v>-6.4679727306215119E-3</v>
      </c>
    </row>
    <row r="486" spans="1:10">
      <c r="A486" s="68">
        <v>0.09</v>
      </c>
      <c r="B486" s="69">
        <f t="shared" si="14"/>
        <v>8.9999999999999998E-4</v>
      </c>
      <c r="C486" s="70">
        <f t="shared" si="15"/>
        <v>1.7307692307692306E-5</v>
      </c>
      <c r="F486" s="71">
        <v>40998</v>
      </c>
      <c r="G486" s="69">
        <v>2.1909031361121022E-3</v>
      </c>
      <c r="H486" s="137">
        <v>9.5594972693171935E-4</v>
      </c>
      <c r="I486" s="137">
        <v>6.7645685569727512E-3</v>
      </c>
      <c r="J486" s="137">
        <v>1.324713904961819E-3</v>
      </c>
    </row>
    <row r="487" spans="1:10">
      <c r="A487" s="68">
        <v>0.08</v>
      </c>
      <c r="B487" s="69">
        <f t="shared" si="14"/>
        <v>8.0000000000000004E-4</v>
      </c>
      <c r="C487" s="70">
        <f t="shared" si="15"/>
        <v>1.5384615384615384E-5</v>
      </c>
      <c r="F487" s="71">
        <v>41005</v>
      </c>
      <c r="G487" s="69">
        <v>1.5604626732130565E-4</v>
      </c>
      <c r="H487" s="137">
        <v>-2.9781587901176194E-2</v>
      </c>
      <c r="I487" s="137">
        <v>5.7130463794933068E-3</v>
      </c>
      <c r="J487" s="137">
        <v>2.0428362695580848E-3</v>
      </c>
    </row>
    <row r="488" spans="1:10">
      <c r="A488" s="68">
        <v>0.08</v>
      </c>
      <c r="B488" s="69">
        <f t="shared" si="14"/>
        <v>8.0000000000000004E-4</v>
      </c>
      <c r="C488" s="70">
        <f t="shared" si="15"/>
        <v>1.5384615384615384E-5</v>
      </c>
      <c r="F488" s="71">
        <v>41012</v>
      </c>
      <c r="G488" s="69">
        <v>3.1862178217579203E-3</v>
      </c>
      <c r="H488" s="137">
        <v>-5.4523052947762663E-5</v>
      </c>
      <c r="I488" s="137">
        <v>-1.5271136222393223E-2</v>
      </c>
      <c r="J488" s="137">
        <v>2.5901427805212913E-4</v>
      </c>
    </row>
    <row r="489" spans="1:10">
      <c r="A489" s="68">
        <v>0.09</v>
      </c>
      <c r="B489" s="69">
        <f t="shared" si="14"/>
        <v>8.9999999999999998E-4</v>
      </c>
      <c r="C489" s="70">
        <f t="shared" si="15"/>
        <v>1.7307692307692306E-5</v>
      </c>
      <c r="F489" s="71">
        <v>41019</v>
      </c>
      <c r="G489" s="69">
        <v>1.0843476672557312E-3</v>
      </c>
      <c r="H489" s="137">
        <v>2.6180552246406322E-2</v>
      </c>
      <c r="I489" s="137">
        <v>1.7052190593233041E-2</v>
      </c>
      <c r="J489" s="137">
        <v>-6.0010454834899887E-4</v>
      </c>
    </row>
    <row r="490" spans="1:10">
      <c r="A490" s="68">
        <v>0.08</v>
      </c>
      <c r="B490" s="69">
        <f t="shared" si="14"/>
        <v>8.0000000000000004E-4</v>
      </c>
      <c r="C490" s="70">
        <f t="shared" si="15"/>
        <v>1.5384615384615384E-5</v>
      </c>
      <c r="F490" s="71">
        <v>41026</v>
      </c>
      <c r="G490" s="69">
        <v>4.8611884882415139E-3</v>
      </c>
      <c r="H490" s="137">
        <v>1.6511243271480017E-2</v>
      </c>
      <c r="I490" s="137">
        <v>1.8736233384179575E-2</v>
      </c>
      <c r="J490" s="137">
        <v>1.1436027932016488E-3</v>
      </c>
    </row>
    <row r="491" spans="1:10">
      <c r="A491" s="68">
        <v>0.09</v>
      </c>
      <c r="B491" s="69">
        <f t="shared" si="14"/>
        <v>8.9999999999999998E-4</v>
      </c>
      <c r="C491" s="70">
        <f t="shared" si="15"/>
        <v>1.7307692307692306E-5</v>
      </c>
      <c r="F491" s="71">
        <v>41033</v>
      </c>
      <c r="G491" s="69">
        <v>1.1497863952453561E-3</v>
      </c>
      <c r="H491" s="137">
        <v>-1.5844523903943853E-2</v>
      </c>
      <c r="I491" s="137">
        <v>-8.9781552536224822E-3</v>
      </c>
      <c r="J491" s="137">
        <v>2.4037327105096989E-4</v>
      </c>
    </row>
    <row r="492" spans="1:10">
      <c r="A492" s="68">
        <v>0.09</v>
      </c>
      <c r="B492" s="69">
        <f t="shared" si="14"/>
        <v>8.9999999999999998E-4</v>
      </c>
      <c r="C492" s="70">
        <f t="shared" si="15"/>
        <v>1.7307692307692306E-5</v>
      </c>
      <c r="F492" s="71">
        <v>41040</v>
      </c>
      <c r="G492" s="69">
        <v>-1.5639562409382139E-3</v>
      </c>
      <c r="H492" s="137">
        <v>-1.7909868922114224E-3</v>
      </c>
      <c r="I492" s="137">
        <v>3.9370259385183726E-3</v>
      </c>
      <c r="J492" s="137">
        <v>-1.5282894692608759E-2</v>
      </c>
    </row>
    <row r="493" spans="1:10">
      <c r="A493" s="68">
        <v>0.1</v>
      </c>
      <c r="B493" s="69">
        <f t="shared" si="14"/>
        <v>1E-3</v>
      </c>
      <c r="C493" s="70">
        <f t="shared" si="15"/>
        <v>1.9230769230769231E-5</v>
      </c>
      <c r="F493" s="71">
        <v>41047</v>
      </c>
      <c r="G493" s="69">
        <v>-3.4324749554715457E-3</v>
      </c>
      <c r="H493" s="137">
        <v>-5.0036827061877474E-2</v>
      </c>
      <c r="I493" s="137">
        <v>-3.9165452993901409E-2</v>
      </c>
      <c r="J493" s="137">
        <v>-3.9431306505730193E-2</v>
      </c>
    </row>
    <row r="494" spans="1:10">
      <c r="A494" s="68">
        <v>0.09</v>
      </c>
      <c r="B494" s="69">
        <f t="shared" si="14"/>
        <v>8.9999999999999998E-4</v>
      </c>
      <c r="C494" s="70">
        <f t="shared" si="15"/>
        <v>1.7307692307692306E-5</v>
      </c>
      <c r="F494" s="71">
        <v>41054</v>
      </c>
      <c r="G494" s="69">
        <v>-2.647018645339636E-3</v>
      </c>
      <c r="H494" s="137">
        <v>-1.6085154333182895E-3</v>
      </c>
      <c r="I494" s="137">
        <v>1.4951424128518397E-2</v>
      </c>
      <c r="J494" s="137">
        <v>-2.7504516832814558E-3</v>
      </c>
    </row>
    <row r="495" spans="1:10">
      <c r="A495" s="68">
        <v>0.09</v>
      </c>
      <c r="B495" s="69">
        <f t="shared" si="14"/>
        <v>8.9999999999999998E-4</v>
      </c>
      <c r="C495" s="70">
        <f t="shared" si="15"/>
        <v>1.7307692307692306E-5</v>
      </c>
      <c r="F495" s="71">
        <v>41061</v>
      </c>
      <c r="G495" s="69">
        <v>6.5040939288271002E-3</v>
      </c>
      <c r="H495" s="137">
        <v>-4.2218484040105385E-2</v>
      </c>
      <c r="I495" s="137">
        <v>-2.1401199765998882E-2</v>
      </c>
      <c r="J495" s="137">
        <v>7.2507105168193482E-3</v>
      </c>
    </row>
    <row r="496" spans="1:10">
      <c r="A496" s="68">
        <v>0.08</v>
      </c>
      <c r="B496" s="69">
        <f t="shared" si="14"/>
        <v>8.0000000000000004E-4</v>
      </c>
      <c r="C496" s="70">
        <f t="shared" si="15"/>
        <v>1.5384615384615384E-5</v>
      </c>
      <c r="F496" s="71">
        <v>41068</v>
      </c>
      <c r="G496" s="69">
        <v>-4.2852154465804222E-3</v>
      </c>
      <c r="H496" s="137">
        <v>3.3386981648301201E-2</v>
      </c>
      <c r="I496" s="137">
        <v>2.2498404988017588E-2</v>
      </c>
      <c r="J496" s="137">
        <v>-3.4208089898018828E-3</v>
      </c>
    </row>
    <row r="497" spans="1:10">
      <c r="A497" s="68">
        <v>0.09</v>
      </c>
      <c r="B497" s="69">
        <f t="shared" si="14"/>
        <v>8.9999999999999998E-4</v>
      </c>
      <c r="C497" s="70">
        <f t="shared" si="15"/>
        <v>1.7307692307692306E-5</v>
      </c>
      <c r="F497" s="71">
        <v>41075</v>
      </c>
      <c r="G497" s="69">
        <v>1.9731098171993319E-3</v>
      </c>
      <c r="H497" s="137">
        <v>8.4716956411285196E-3</v>
      </c>
      <c r="I497" s="137">
        <v>1.1690597467529011E-2</v>
      </c>
      <c r="J497" s="137">
        <v>2.1967759694653061E-2</v>
      </c>
    </row>
    <row r="498" spans="1:10">
      <c r="A498" s="68">
        <v>0.1</v>
      </c>
      <c r="B498" s="69">
        <f t="shared" si="14"/>
        <v>1E-3</v>
      </c>
      <c r="C498" s="70">
        <f t="shared" si="15"/>
        <v>1.9230769230769231E-5</v>
      </c>
      <c r="F498" s="71">
        <v>41082</v>
      </c>
      <c r="G498" s="69">
        <v>-5.6038965923675005E-4</v>
      </c>
      <c r="H498" s="137">
        <v>5.4366850216408991E-4</v>
      </c>
      <c r="I498" s="137">
        <v>-1.0703450030308346E-2</v>
      </c>
      <c r="J498" s="137">
        <v>-8.8253885003885951E-3</v>
      </c>
    </row>
    <row r="499" spans="1:10">
      <c r="A499" s="68">
        <v>0.09</v>
      </c>
      <c r="B499" s="69">
        <f t="shared" si="14"/>
        <v>8.9999999999999998E-4</v>
      </c>
      <c r="C499" s="70">
        <f t="shared" si="15"/>
        <v>1.7307692307692306E-5</v>
      </c>
      <c r="F499" s="71">
        <v>41089</v>
      </c>
      <c r="G499" s="69">
        <v>4.7164614471272032E-3</v>
      </c>
      <c r="H499" s="137">
        <v>3.9660287883736108E-2</v>
      </c>
      <c r="I499" s="137">
        <v>2.231189696166664E-2</v>
      </c>
      <c r="J499" s="137">
        <v>2.5404470345501376E-2</v>
      </c>
    </row>
    <row r="500" spans="1:10">
      <c r="A500" s="68">
        <v>0.09</v>
      </c>
      <c r="B500" s="69">
        <f t="shared" si="14"/>
        <v>8.9999999999999998E-4</v>
      </c>
      <c r="C500" s="70">
        <f t="shared" si="15"/>
        <v>1.7307692307692306E-5</v>
      </c>
      <c r="F500" s="71">
        <v>41096</v>
      </c>
      <c r="G500" s="69">
        <v>2.1590391130163434E-3</v>
      </c>
      <c r="H500" s="137">
        <v>-1.9122035709195358E-2</v>
      </c>
      <c r="I500" s="137">
        <v>6.8608585032196995E-3</v>
      </c>
      <c r="J500" s="137">
        <v>2.1467752380743409E-2</v>
      </c>
    </row>
    <row r="501" spans="1:10">
      <c r="A501" s="68">
        <v>0.09</v>
      </c>
      <c r="B501" s="69">
        <f t="shared" si="14"/>
        <v>8.9999999999999998E-4</v>
      </c>
      <c r="C501" s="70">
        <f t="shared" si="15"/>
        <v>1.7307692307692306E-5</v>
      </c>
      <c r="F501" s="71">
        <v>41103</v>
      </c>
      <c r="G501" s="69">
        <v>3.903990225392871E-3</v>
      </c>
      <c r="H501" s="137">
        <v>1.4871496945190566E-2</v>
      </c>
      <c r="I501" s="137">
        <v>1.7128212923915087E-2</v>
      </c>
      <c r="J501" s="137">
        <v>4.298198734882846E-3</v>
      </c>
    </row>
    <row r="502" spans="1:10">
      <c r="A502" s="68">
        <v>0.1</v>
      </c>
      <c r="B502" s="69">
        <f t="shared" si="14"/>
        <v>1E-3</v>
      </c>
      <c r="C502" s="70">
        <f t="shared" si="15"/>
        <v>1.9230769230769231E-5</v>
      </c>
      <c r="F502" s="71">
        <v>41110</v>
      </c>
      <c r="G502" s="69">
        <v>4.936814291666888E-3</v>
      </c>
      <c r="H502" s="137">
        <v>-2.5171715848391847E-2</v>
      </c>
      <c r="I502" s="137">
        <v>1.023093900348677E-2</v>
      </c>
      <c r="J502" s="137">
        <v>2.1809825786904612E-2</v>
      </c>
    </row>
    <row r="503" spans="1:10">
      <c r="A503" s="68">
        <v>0.09</v>
      </c>
      <c r="B503" s="69">
        <f t="shared" si="14"/>
        <v>8.9999999999999998E-4</v>
      </c>
      <c r="C503" s="70">
        <f t="shared" si="15"/>
        <v>1.7307692307692306E-5</v>
      </c>
      <c r="F503" s="71">
        <v>41117</v>
      </c>
      <c r="G503" s="69">
        <v>-3.3118376638323967E-4</v>
      </c>
      <c r="H503" s="137">
        <v>9.5080616464555158E-3</v>
      </c>
      <c r="I503" s="137">
        <v>1.3283309021729368E-2</v>
      </c>
      <c r="J503" s="137">
        <v>-1.2862507738706256E-3</v>
      </c>
    </row>
    <row r="504" spans="1:10">
      <c r="A504" s="68">
        <v>0.1</v>
      </c>
      <c r="B504" s="69">
        <f t="shared" si="14"/>
        <v>1E-3</v>
      </c>
      <c r="C504" s="70">
        <f t="shared" si="15"/>
        <v>1.9230769230769231E-5</v>
      </c>
      <c r="F504" s="71">
        <v>41124</v>
      </c>
      <c r="G504" s="69">
        <v>1.3218769195480426E-3</v>
      </c>
      <c r="H504" s="137">
        <v>6.7741771786801889E-3</v>
      </c>
      <c r="I504" s="137">
        <v>-3.4129978506912146E-3</v>
      </c>
      <c r="J504" s="137">
        <v>9.4106016290110769E-3</v>
      </c>
    </row>
    <row r="505" spans="1:10">
      <c r="A505" s="68">
        <v>0.1</v>
      </c>
      <c r="B505" s="69">
        <f t="shared" si="14"/>
        <v>1E-3</v>
      </c>
      <c r="C505" s="70">
        <f t="shared" si="15"/>
        <v>1.9230769230769231E-5</v>
      </c>
      <c r="F505" s="71">
        <v>41131</v>
      </c>
      <c r="G505" s="69">
        <v>1.1355078549763723E-3</v>
      </c>
      <c r="H505" s="137">
        <v>5.4554048936768101E-3</v>
      </c>
      <c r="I505" s="137">
        <v>-7.1465514687891049E-3</v>
      </c>
      <c r="J505" s="137">
        <v>-5.5483139302338466E-3</v>
      </c>
    </row>
    <row r="506" spans="1:10">
      <c r="A506" s="68">
        <v>0.11</v>
      </c>
      <c r="B506" s="69">
        <f t="shared" si="14"/>
        <v>1.1000000000000001E-3</v>
      </c>
      <c r="C506" s="70">
        <f t="shared" si="15"/>
        <v>2.1153846153846154E-5</v>
      </c>
      <c r="F506" s="71">
        <v>41138</v>
      </c>
      <c r="G506" s="69">
        <v>-6.6957721319040094E-3</v>
      </c>
      <c r="H506" s="137">
        <v>2.9068720898016889E-2</v>
      </c>
      <c r="I506" s="137">
        <v>-6.397580825497442E-4</v>
      </c>
      <c r="J506" s="137">
        <v>9.01399191083283E-3</v>
      </c>
    </row>
    <row r="507" spans="1:10">
      <c r="A507" s="68">
        <v>0.1</v>
      </c>
      <c r="B507" s="69">
        <f t="shared" si="14"/>
        <v>1E-3</v>
      </c>
      <c r="C507" s="70">
        <f t="shared" si="15"/>
        <v>1.9230769230769231E-5</v>
      </c>
      <c r="F507" s="71">
        <v>41145</v>
      </c>
      <c r="G507" s="69">
        <v>7.6250174115724545E-3</v>
      </c>
      <c r="H507" s="137">
        <v>3.5555326608866589E-3</v>
      </c>
      <c r="I507" s="137">
        <v>-8.7476755882186924E-3</v>
      </c>
      <c r="J507" s="137">
        <v>1.1277334396715093E-2</v>
      </c>
    </row>
    <row r="508" spans="1:10">
      <c r="A508" s="68">
        <v>0.11</v>
      </c>
      <c r="B508" s="69">
        <f t="shared" si="14"/>
        <v>1.1000000000000001E-3</v>
      </c>
      <c r="C508" s="70">
        <f t="shared" si="15"/>
        <v>2.1153846153846154E-5</v>
      </c>
      <c r="F508" s="71">
        <v>41152</v>
      </c>
      <c r="G508" s="69">
        <v>4.3678323703453059E-3</v>
      </c>
      <c r="H508" s="137">
        <v>-3.0071799740944336E-3</v>
      </c>
      <c r="I508" s="137">
        <v>-4.9587716063994574E-3</v>
      </c>
      <c r="J508" s="137">
        <v>3.6656086241008811E-3</v>
      </c>
    </row>
    <row r="509" spans="1:10">
      <c r="A509" s="68">
        <v>0.1</v>
      </c>
      <c r="B509" s="69">
        <f t="shared" si="14"/>
        <v>1E-3</v>
      </c>
      <c r="C509" s="70">
        <f t="shared" si="15"/>
        <v>1.9230769230769231E-5</v>
      </c>
      <c r="F509" s="71">
        <v>41159</v>
      </c>
      <c r="G509" s="69">
        <v>2.5402867350355646E-3</v>
      </c>
      <c r="H509" s="137">
        <v>3.0859592852287256E-2</v>
      </c>
      <c r="I509" s="137">
        <v>1.8367425050257728E-2</v>
      </c>
      <c r="J509" s="137">
        <v>6.5958958099594381E-3</v>
      </c>
    </row>
    <row r="510" spans="1:10">
      <c r="A510" s="68">
        <v>0.11</v>
      </c>
      <c r="B510" s="69">
        <f t="shared" si="14"/>
        <v>1.1000000000000001E-3</v>
      </c>
      <c r="C510" s="70">
        <f t="shared" si="15"/>
        <v>2.1153846153846154E-5</v>
      </c>
      <c r="F510" s="71">
        <v>41166</v>
      </c>
      <c r="G510" s="69">
        <v>7.1461655582391744E-4</v>
      </c>
      <c r="H510" s="137">
        <v>2.2370920016219518E-2</v>
      </c>
      <c r="I510" s="137">
        <v>2.7018485250354493E-3</v>
      </c>
      <c r="J510" s="137">
        <v>1.1168324801671257E-2</v>
      </c>
    </row>
    <row r="511" spans="1:10">
      <c r="A511" s="68">
        <v>0.1</v>
      </c>
      <c r="B511" s="69">
        <f t="shared" si="14"/>
        <v>1E-3</v>
      </c>
      <c r="C511" s="70">
        <f t="shared" si="15"/>
        <v>1.9230769230769231E-5</v>
      </c>
      <c r="F511" s="71">
        <v>41173</v>
      </c>
      <c r="G511" s="69">
        <v>2.5935742694789192E-3</v>
      </c>
      <c r="H511" s="137">
        <v>9.832476280860012E-3</v>
      </c>
      <c r="I511" s="137">
        <v>-5.9276285216830525E-3</v>
      </c>
      <c r="J511" s="137">
        <v>3.5942090987235217E-3</v>
      </c>
    </row>
    <row r="512" spans="1:10">
      <c r="A512" s="68">
        <v>0.11</v>
      </c>
      <c r="B512" s="69">
        <f t="shared" si="14"/>
        <v>1.1000000000000001E-3</v>
      </c>
      <c r="C512" s="70">
        <f t="shared" si="15"/>
        <v>2.1153846153846154E-5</v>
      </c>
      <c r="F512" s="71">
        <v>41180</v>
      </c>
      <c r="G512" s="69">
        <v>1.4195050910877473E-3</v>
      </c>
      <c r="H512" s="137">
        <v>-2.4703416521863097E-2</v>
      </c>
      <c r="I512" s="137">
        <v>3.5969364978836837E-3</v>
      </c>
      <c r="J512" s="137">
        <v>-1.3504375741218311E-3</v>
      </c>
    </row>
    <row r="513" spans="1:10">
      <c r="A513" s="68">
        <v>0.1</v>
      </c>
      <c r="B513" s="69">
        <f t="shared" si="14"/>
        <v>1E-3</v>
      </c>
      <c r="C513" s="70">
        <f t="shared" si="15"/>
        <v>1.9230769230769231E-5</v>
      </c>
      <c r="F513" s="71">
        <v>41187</v>
      </c>
      <c r="G513" s="69">
        <v>-1.5154287923744187E-4</v>
      </c>
      <c r="H513" s="137">
        <v>2.9094065868131312E-2</v>
      </c>
      <c r="I513" s="137">
        <v>2.000118589183919E-2</v>
      </c>
      <c r="J513" s="137">
        <v>3.5112531924066104E-3</v>
      </c>
    </row>
    <row r="514" spans="1:10">
      <c r="A514" s="68">
        <v>0.1</v>
      </c>
      <c r="B514" s="69">
        <f t="shared" si="14"/>
        <v>1E-3</v>
      </c>
      <c r="C514" s="70">
        <f t="shared" si="15"/>
        <v>1.9230769230769231E-5</v>
      </c>
      <c r="F514" s="71">
        <v>41194</v>
      </c>
      <c r="G514" s="69">
        <v>1.8175296733452064E-3</v>
      </c>
      <c r="H514" s="137">
        <v>-2.2013873641462404E-2</v>
      </c>
      <c r="I514" s="137">
        <v>-1.8494464343325901E-2</v>
      </c>
      <c r="J514" s="137">
        <v>-5.7779909170826756E-3</v>
      </c>
    </row>
    <row r="515" spans="1:10">
      <c r="A515" s="68">
        <v>0.1</v>
      </c>
      <c r="B515" s="69">
        <f t="shared" si="14"/>
        <v>1E-3</v>
      </c>
      <c r="C515" s="70">
        <f t="shared" si="15"/>
        <v>1.9230769230769231E-5</v>
      </c>
      <c r="F515" s="71">
        <v>41201</v>
      </c>
      <c r="G515" s="69">
        <v>-1.5855973976427922E-3</v>
      </c>
      <c r="H515" s="137">
        <v>1.3787100444482267E-2</v>
      </c>
      <c r="I515" s="137">
        <v>8.0238085470773542E-3</v>
      </c>
      <c r="J515" s="137">
        <v>1.1804026474114835E-2</v>
      </c>
    </row>
    <row r="516" spans="1:10">
      <c r="A516" s="68">
        <v>0.1</v>
      </c>
      <c r="B516" s="69">
        <f t="shared" si="14"/>
        <v>1E-3</v>
      </c>
      <c r="C516" s="70">
        <f t="shared" si="15"/>
        <v>1.9230769230769231E-5</v>
      </c>
      <c r="F516" s="71">
        <v>41208</v>
      </c>
      <c r="G516" s="69">
        <v>-2.4751453454677067E-3</v>
      </c>
      <c r="H516" s="137">
        <v>-8.0873194134700194E-3</v>
      </c>
      <c r="I516" s="137">
        <v>-5.847255847857496E-3</v>
      </c>
      <c r="J516" s="137">
        <v>-9.4156378033956479E-3</v>
      </c>
    </row>
    <row r="517" spans="1:10">
      <c r="A517" s="68">
        <v>0.11</v>
      </c>
      <c r="B517" s="69">
        <f t="shared" si="14"/>
        <v>1.1000000000000001E-3</v>
      </c>
      <c r="C517" s="70">
        <f t="shared" si="15"/>
        <v>2.1153846153846154E-5</v>
      </c>
      <c r="F517" s="71">
        <v>41215</v>
      </c>
      <c r="G517" s="69">
        <v>-8.6620648229078924E-4</v>
      </c>
      <c r="H517" s="137">
        <v>-2.435336525037433E-3</v>
      </c>
      <c r="I517" s="137">
        <v>-2.611575977863686E-3</v>
      </c>
      <c r="J517" s="137">
        <v>8.2402471000746925E-3</v>
      </c>
    </row>
    <row r="518" spans="1:10">
      <c r="A518" s="68">
        <v>0.11</v>
      </c>
      <c r="B518" s="69">
        <f t="shared" ref="B518:B581" si="16">+A518/100</f>
        <v>1.1000000000000001E-3</v>
      </c>
      <c r="C518" s="70">
        <f t="shared" ref="C518:C581" si="17">+B518/52</f>
        <v>2.1153846153846154E-5</v>
      </c>
      <c r="F518" s="71">
        <v>41222</v>
      </c>
      <c r="G518" s="69">
        <v>1.4889344558113838E-3</v>
      </c>
      <c r="H518" s="137">
        <v>-3.39254181962962E-2</v>
      </c>
      <c r="I518" s="137">
        <v>-2.4638466455546033E-2</v>
      </c>
      <c r="J518" s="137">
        <v>-6.4010322871788485E-3</v>
      </c>
    </row>
    <row r="519" spans="1:10">
      <c r="A519" s="68">
        <v>0.1</v>
      </c>
      <c r="B519" s="69">
        <f t="shared" si="16"/>
        <v>1E-3</v>
      </c>
      <c r="C519" s="70">
        <f t="shared" si="17"/>
        <v>1.9230769230769231E-5</v>
      </c>
      <c r="F519" s="71">
        <v>41229</v>
      </c>
      <c r="G519" s="69">
        <v>-4.059103386047108E-3</v>
      </c>
      <c r="H519" s="137">
        <v>-1.4922257437131766E-2</v>
      </c>
      <c r="I519" s="137">
        <v>-9.6876691181958189E-3</v>
      </c>
      <c r="J519" s="137">
        <v>-1.3202943765351517E-2</v>
      </c>
    </row>
    <row r="520" spans="1:10">
      <c r="A520" s="68">
        <v>0.09</v>
      </c>
      <c r="B520" s="69">
        <f t="shared" si="16"/>
        <v>8.9999999999999998E-4</v>
      </c>
      <c r="C520" s="70">
        <f t="shared" si="17"/>
        <v>1.7307692307692306E-5</v>
      </c>
      <c r="F520" s="71">
        <v>41236</v>
      </c>
      <c r="G520" s="69">
        <v>9.7378715214697237E-4</v>
      </c>
      <c r="H520" s="137">
        <v>4.3505412896260323E-2</v>
      </c>
      <c r="I520" s="137">
        <v>1.7299476561750519E-2</v>
      </c>
      <c r="J520" s="137">
        <v>2.2760675887557445E-2</v>
      </c>
    </row>
    <row r="521" spans="1:10">
      <c r="A521" s="68">
        <v>0.09</v>
      </c>
      <c r="B521" s="69">
        <f t="shared" si="16"/>
        <v>8.9999999999999998E-4</v>
      </c>
      <c r="C521" s="70">
        <f t="shared" si="17"/>
        <v>1.7307692307692306E-5</v>
      </c>
      <c r="F521" s="71">
        <v>41243</v>
      </c>
      <c r="G521" s="69">
        <v>3.7795791079345198E-3</v>
      </c>
      <c r="H521" s="137">
        <v>8.893068234501365E-3</v>
      </c>
      <c r="I521" s="137">
        <v>1.2801278916810771E-2</v>
      </c>
      <c r="J521" s="137">
        <v>1.1193851243348128E-2</v>
      </c>
    </row>
    <row r="522" spans="1:10">
      <c r="A522" s="68">
        <v>0.09</v>
      </c>
      <c r="B522" s="69">
        <f t="shared" si="16"/>
        <v>8.9999999999999998E-4</v>
      </c>
      <c r="C522" s="70">
        <f t="shared" si="17"/>
        <v>1.7307692307692306E-5</v>
      </c>
      <c r="F522" s="71">
        <v>41250</v>
      </c>
      <c r="G522" s="69">
        <v>7.7402395434419898E-5</v>
      </c>
      <c r="H522" s="137">
        <v>-3.1221381332636033E-3</v>
      </c>
      <c r="I522" s="137">
        <v>9.719697971695728E-4</v>
      </c>
      <c r="J522" s="137">
        <v>8.1855471603330104E-3</v>
      </c>
    </row>
    <row r="523" spans="1:10">
      <c r="A523" s="68">
        <v>0.1</v>
      </c>
      <c r="B523" s="69">
        <f t="shared" si="16"/>
        <v>1E-3</v>
      </c>
      <c r="C523" s="70">
        <f t="shared" si="17"/>
        <v>1.9230769230769231E-5</v>
      </c>
      <c r="F523" s="71">
        <v>41257</v>
      </c>
      <c r="G523" s="69">
        <v>-1.244717336895242E-3</v>
      </c>
      <c r="H523" s="137">
        <v>1.7799724185123562E-2</v>
      </c>
      <c r="I523" s="137">
        <v>4.0989788463093087E-3</v>
      </c>
      <c r="J523" s="137">
        <v>-5.6701127944970358E-4</v>
      </c>
    </row>
    <row r="524" spans="1:10">
      <c r="A524" s="68">
        <v>7.0000000000000007E-2</v>
      </c>
      <c r="B524" s="69">
        <f t="shared" si="16"/>
        <v>7.000000000000001E-4</v>
      </c>
      <c r="C524" s="70">
        <f t="shared" si="17"/>
        <v>1.3461538461538463E-5</v>
      </c>
      <c r="F524" s="71">
        <v>41264</v>
      </c>
      <c r="G524" s="69">
        <v>5.1422083754987366E-4</v>
      </c>
      <c r="H524" s="137">
        <v>7.9428866639407736E-3</v>
      </c>
      <c r="I524" s="137">
        <v>1.424087243992897E-2</v>
      </c>
      <c r="J524" s="137">
        <v>-9.2493660220906264E-3</v>
      </c>
    </row>
    <row r="525" spans="1:10">
      <c r="A525" s="68">
        <v>0.06</v>
      </c>
      <c r="B525" s="69">
        <f t="shared" si="16"/>
        <v>5.9999999999999995E-4</v>
      </c>
      <c r="C525" s="70">
        <f t="shared" si="17"/>
        <v>1.1538461538461538E-5</v>
      </c>
      <c r="F525" s="71">
        <v>41271</v>
      </c>
      <c r="G525" s="69">
        <v>-1.5907542212163293E-3</v>
      </c>
      <c r="H525" s="137">
        <v>-1.032662706725872E-3</v>
      </c>
      <c r="I525" s="137">
        <v>-1.6623416466922381E-2</v>
      </c>
      <c r="J525" s="137">
        <v>-4.7924149555623801E-3</v>
      </c>
    </row>
    <row r="526" spans="1:10">
      <c r="A526" s="68">
        <v>0.06</v>
      </c>
      <c r="B526" s="69">
        <f t="shared" si="16"/>
        <v>5.9999999999999995E-4</v>
      </c>
      <c r="C526" s="70">
        <f t="shared" si="17"/>
        <v>1.1538461538461538E-5</v>
      </c>
      <c r="F526" s="71">
        <v>41278</v>
      </c>
      <c r="G526" s="69">
        <v>-6.1742104943223715E-3</v>
      </c>
      <c r="H526" s="137">
        <v>6.6243208196757365E-3</v>
      </c>
      <c r="I526" s="137">
        <v>3.9344065424622404E-2</v>
      </c>
      <c r="J526" s="137">
        <v>5.620364894412532E-3</v>
      </c>
    </row>
    <row r="527" spans="1:10">
      <c r="A527" s="68">
        <v>7.0000000000000007E-2</v>
      </c>
      <c r="B527" s="69">
        <f t="shared" si="16"/>
        <v>7.000000000000001E-4</v>
      </c>
      <c r="C527" s="70">
        <f t="shared" si="17"/>
        <v>1.3461538461538463E-5</v>
      </c>
      <c r="F527" s="71">
        <v>41285</v>
      </c>
      <c r="G527" s="69">
        <v>3.422539844028761E-3</v>
      </c>
      <c r="H527" s="137">
        <v>1.3989442315085877E-3</v>
      </c>
      <c r="I527" s="137">
        <v>2.4197701945042156E-3</v>
      </c>
      <c r="J527" s="137">
        <v>6.7892879061055185E-3</v>
      </c>
    </row>
    <row r="528" spans="1:10">
      <c r="A528" s="68">
        <v>7.0000000000000007E-2</v>
      </c>
      <c r="B528" s="69">
        <f t="shared" si="16"/>
        <v>7.000000000000001E-4</v>
      </c>
      <c r="C528" s="70">
        <f t="shared" si="17"/>
        <v>1.3461538461538463E-5</v>
      </c>
      <c r="F528" s="71">
        <v>41292</v>
      </c>
      <c r="G528" s="69">
        <v>1.08652496322006E-4</v>
      </c>
      <c r="H528" s="137">
        <v>-3.9294912560129203E-3</v>
      </c>
      <c r="I528" s="137">
        <v>7.318237070444664E-3</v>
      </c>
      <c r="J528" s="137">
        <v>1.3667932502217464E-2</v>
      </c>
    </row>
    <row r="529" spans="1:10">
      <c r="A529" s="68">
        <v>0.08</v>
      </c>
      <c r="B529" s="69">
        <f t="shared" si="16"/>
        <v>8.0000000000000004E-4</v>
      </c>
      <c r="C529" s="70">
        <f t="shared" si="17"/>
        <v>1.5384615384615384E-5</v>
      </c>
      <c r="F529" s="71">
        <v>41299</v>
      </c>
      <c r="G529" s="69">
        <v>-2.5917033607703618E-3</v>
      </c>
      <c r="H529" s="137">
        <v>2.5970338527534852E-2</v>
      </c>
      <c r="I529" s="137">
        <v>1.5194880766987622E-3</v>
      </c>
      <c r="J529" s="137">
        <v>7.8468927902680553E-3</v>
      </c>
    </row>
    <row r="530" spans="1:10">
      <c r="A530" s="68">
        <v>0.08</v>
      </c>
      <c r="B530" s="69">
        <f t="shared" si="16"/>
        <v>8.0000000000000004E-4</v>
      </c>
      <c r="C530" s="70">
        <f t="shared" si="17"/>
        <v>1.5384615384615384E-5</v>
      </c>
      <c r="F530" s="71">
        <v>41306</v>
      </c>
      <c r="G530" s="69">
        <v>-1.1318671642777667E-3</v>
      </c>
      <c r="H530" s="137">
        <v>5.5395760956177429E-3</v>
      </c>
      <c r="I530" s="137">
        <v>6.1774092467072172E-3</v>
      </c>
      <c r="J530" s="137">
        <v>5.3398097925619189E-3</v>
      </c>
    </row>
    <row r="531" spans="1:10">
      <c r="A531" s="68">
        <v>7.0000000000000007E-2</v>
      </c>
      <c r="B531" s="69">
        <f t="shared" si="16"/>
        <v>7.000000000000001E-4</v>
      </c>
      <c r="C531" s="70">
        <f t="shared" si="17"/>
        <v>1.3461538461538463E-5</v>
      </c>
      <c r="F531" s="71">
        <v>41313</v>
      </c>
      <c r="G531" s="69">
        <v>-3.0921573139724031E-3</v>
      </c>
      <c r="H531" s="137">
        <v>-1.8886978923780971E-2</v>
      </c>
      <c r="I531" s="137">
        <v>6.5940197329220724E-3</v>
      </c>
      <c r="J531" s="137">
        <v>-6.3016035537304003E-3</v>
      </c>
    </row>
    <row r="532" spans="1:10">
      <c r="A532" s="68">
        <v>7.0000000000000007E-2</v>
      </c>
      <c r="B532" s="69">
        <f t="shared" si="16"/>
        <v>7.000000000000001E-4</v>
      </c>
      <c r="C532" s="70">
        <f t="shared" si="17"/>
        <v>1.3461538461538463E-5</v>
      </c>
      <c r="F532" s="71">
        <v>41320</v>
      </c>
      <c r="G532" s="69">
        <v>-7.6385437549730969E-4</v>
      </c>
      <c r="H532" s="137">
        <v>-5.4160679908528686E-3</v>
      </c>
      <c r="I532" s="137">
        <v>-1.3396998719447124E-2</v>
      </c>
      <c r="J532" s="137">
        <v>-1.9865688998946195E-3</v>
      </c>
    </row>
    <row r="533" spans="1:10">
      <c r="A533" s="68">
        <v>0.1</v>
      </c>
      <c r="B533" s="69">
        <f t="shared" si="16"/>
        <v>1E-3</v>
      </c>
      <c r="C533" s="70">
        <f t="shared" si="17"/>
        <v>1.9230769230769231E-5</v>
      </c>
      <c r="F533" s="71">
        <v>41327</v>
      </c>
      <c r="G533" s="69">
        <v>-2.5038204632759216E-4</v>
      </c>
      <c r="H533" s="137">
        <v>1.1954910036243476E-2</v>
      </c>
      <c r="I533" s="137">
        <v>1.1180035058511418E-3</v>
      </c>
      <c r="J533" s="137">
        <v>5.2830584130287008E-3</v>
      </c>
    </row>
    <row r="534" spans="1:10">
      <c r="A534" s="68">
        <v>0.13</v>
      </c>
      <c r="B534" s="69">
        <f t="shared" si="16"/>
        <v>1.2999999999999999E-3</v>
      </c>
      <c r="C534" s="70">
        <f t="shared" si="17"/>
        <v>2.4999999999999998E-5</v>
      </c>
      <c r="F534" s="71">
        <v>41334</v>
      </c>
      <c r="G534" s="69">
        <v>3.6115617555367951E-3</v>
      </c>
      <c r="H534" s="137">
        <v>-1.8781454870263944E-2</v>
      </c>
      <c r="I534" s="137">
        <v>8.1734871079824287E-3</v>
      </c>
      <c r="J534" s="137">
        <v>8.7500232155947721E-3</v>
      </c>
    </row>
    <row r="535" spans="1:10">
      <c r="A535" s="68">
        <v>0.12</v>
      </c>
      <c r="B535" s="69">
        <f t="shared" si="16"/>
        <v>1.1999999999999999E-3</v>
      </c>
      <c r="C535" s="70">
        <f t="shared" si="17"/>
        <v>2.3076923076923076E-5</v>
      </c>
      <c r="F535" s="71">
        <v>41341</v>
      </c>
      <c r="G535" s="69">
        <v>-5.7531420935452542E-3</v>
      </c>
      <c r="H535" s="137">
        <v>7.2889708432669481E-3</v>
      </c>
      <c r="I535" s="137">
        <v>1.1533321926206135E-2</v>
      </c>
      <c r="J535" s="137">
        <v>1.354697914832992E-2</v>
      </c>
    </row>
    <row r="536" spans="1:10">
      <c r="A536" s="68">
        <v>0.1</v>
      </c>
      <c r="B536" s="69">
        <f t="shared" si="16"/>
        <v>1E-3</v>
      </c>
      <c r="C536" s="70">
        <f t="shared" si="17"/>
        <v>1.9230769230769231E-5</v>
      </c>
      <c r="F536" s="71">
        <v>41348</v>
      </c>
      <c r="G536" s="69">
        <v>9.4764958048901705E-4</v>
      </c>
      <c r="H536" s="137">
        <v>4.7191002067239153E-3</v>
      </c>
      <c r="I536" s="137">
        <v>3.1604792938931636E-3</v>
      </c>
      <c r="J536" s="137">
        <v>1.3452390649342498E-2</v>
      </c>
    </row>
    <row r="537" spans="1:10">
      <c r="A537" s="68">
        <v>0.1</v>
      </c>
      <c r="B537" s="69">
        <f t="shared" si="16"/>
        <v>1E-3</v>
      </c>
      <c r="C537" s="70">
        <f t="shared" si="17"/>
        <v>1.9230769230769231E-5</v>
      </c>
      <c r="F537" s="71">
        <v>41355</v>
      </c>
      <c r="G537" s="69">
        <v>3.2287447858868946E-3</v>
      </c>
      <c r="H537" s="137">
        <v>1.2362376387333066E-2</v>
      </c>
      <c r="I537" s="137">
        <v>1.2790099451938928E-2</v>
      </c>
      <c r="J537" s="137">
        <v>1.0111036625863481E-2</v>
      </c>
    </row>
    <row r="538" spans="1:10">
      <c r="A538" s="68">
        <v>7.0000000000000007E-2</v>
      </c>
      <c r="B538" s="69">
        <f t="shared" si="16"/>
        <v>7.000000000000001E-4</v>
      </c>
      <c r="C538" s="70">
        <f t="shared" si="17"/>
        <v>1.3461538461538463E-5</v>
      </c>
      <c r="F538" s="71">
        <v>41362</v>
      </c>
      <c r="G538" s="69">
        <v>2.33852854874681E-3</v>
      </c>
      <c r="H538" s="137">
        <v>-1.1790050474988377E-2</v>
      </c>
      <c r="I538" s="137">
        <v>1.5240458622570069E-2</v>
      </c>
      <c r="J538" s="137">
        <v>1.2637954073859359E-2</v>
      </c>
    </row>
    <row r="539" spans="1:10">
      <c r="A539" s="68">
        <v>0.08</v>
      </c>
      <c r="B539" s="69">
        <f t="shared" si="16"/>
        <v>8.0000000000000004E-4</v>
      </c>
      <c r="C539" s="70">
        <f t="shared" si="17"/>
        <v>1.5384615384615384E-5</v>
      </c>
      <c r="F539" s="71">
        <v>41369</v>
      </c>
      <c r="G539" s="69">
        <v>4.3633584730988946E-3</v>
      </c>
      <c r="H539" s="137">
        <v>9.9811996983933463E-3</v>
      </c>
      <c r="I539" s="137">
        <v>-6.9324461865844199E-3</v>
      </c>
      <c r="J539" s="137">
        <v>-1.7356508300228359E-2</v>
      </c>
    </row>
    <row r="540" spans="1:10">
      <c r="A540" s="68">
        <v>7.0000000000000007E-2</v>
      </c>
      <c r="B540" s="69">
        <f t="shared" si="16"/>
        <v>7.000000000000001E-4</v>
      </c>
      <c r="C540" s="70">
        <f t="shared" si="17"/>
        <v>1.3461538461538463E-5</v>
      </c>
      <c r="F540" s="71">
        <v>41376</v>
      </c>
      <c r="G540" s="69">
        <v>2.3576375709663907E-4</v>
      </c>
      <c r="H540" s="137">
        <v>2.5707310125664594E-2</v>
      </c>
      <c r="I540" s="137">
        <v>2.3940082361573359E-2</v>
      </c>
      <c r="J540" s="137">
        <v>3.0398015252166958E-2</v>
      </c>
    </row>
    <row r="541" spans="1:10">
      <c r="A541" s="68">
        <v>7.0000000000000007E-2</v>
      </c>
      <c r="B541" s="69">
        <f t="shared" si="16"/>
        <v>7.000000000000001E-4</v>
      </c>
      <c r="C541" s="70">
        <f t="shared" si="17"/>
        <v>1.3461538461538463E-5</v>
      </c>
      <c r="F541" s="71">
        <v>41383</v>
      </c>
      <c r="G541" s="69">
        <v>-1.6850182597930056E-3</v>
      </c>
      <c r="H541" s="137">
        <v>-8.8481921981406215E-3</v>
      </c>
      <c r="I541" s="137">
        <v>7.029629271055487E-4</v>
      </c>
      <c r="J541" s="137">
        <v>-1.0212391295024957E-2</v>
      </c>
    </row>
    <row r="542" spans="1:10">
      <c r="A542" s="68">
        <v>0.06</v>
      </c>
      <c r="B542" s="69">
        <f t="shared" si="16"/>
        <v>5.9999999999999995E-4</v>
      </c>
      <c r="C542" s="70">
        <f t="shared" si="17"/>
        <v>1.1538461538461538E-5</v>
      </c>
      <c r="F542" s="71">
        <v>41390</v>
      </c>
      <c r="G542" s="69">
        <v>5.5593513510318734E-3</v>
      </c>
      <c r="H542" s="137">
        <v>2.1194774621389908E-2</v>
      </c>
      <c r="I542" s="137">
        <v>1.041346176826235E-2</v>
      </c>
      <c r="J542" s="137">
        <v>1.9593825017272352E-2</v>
      </c>
    </row>
    <row r="543" spans="1:10">
      <c r="A543" s="68">
        <v>0.05</v>
      </c>
      <c r="B543" s="69">
        <f t="shared" si="16"/>
        <v>5.0000000000000001E-4</v>
      </c>
      <c r="C543" s="70">
        <f t="shared" si="17"/>
        <v>9.6153846153846157E-6</v>
      </c>
      <c r="F543" s="71">
        <v>41397</v>
      </c>
      <c r="G543" s="69">
        <v>-5.2259265477994413E-4</v>
      </c>
      <c r="H543" s="137">
        <v>2.1192579034613513E-2</v>
      </c>
      <c r="I543" s="137">
        <v>5.6167834540344569E-3</v>
      </c>
      <c r="J543" s="137">
        <v>1.0333371652124442E-2</v>
      </c>
    </row>
    <row r="544" spans="1:10">
      <c r="A544" s="68">
        <v>0.05</v>
      </c>
      <c r="B544" s="69">
        <f t="shared" si="16"/>
        <v>5.0000000000000001E-4</v>
      </c>
      <c r="C544" s="70">
        <f t="shared" si="17"/>
        <v>9.6153846153846157E-6</v>
      </c>
      <c r="F544" s="71">
        <v>41404</v>
      </c>
      <c r="G544" s="69">
        <v>-8.1425587063905687E-3</v>
      </c>
      <c r="H544" s="137">
        <v>-1.0674688775215905E-2</v>
      </c>
      <c r="I544" s="137">
        <v>-5.2997865069690543E-3</v>
      </c>
      <c r="J544" s="137">
        <v>2.6670330157498798E-3</v>
      </c>
    </row>
    <row r="545" spans="1:10">
      <c r="A545" s="68">
        <v>0.04</v>
      </c>
      <c r="B545" s="69">
        <f t="shared" si="16"/>
        <v>4.0000000000000002E-4</v>
      </c>
      <c r="C545" s="70">
        <f t="shared" si="17"/>
        <v>7.6923076923076919E-6</v>
      </c>
      <c r="F545" s="71">
        <v>41411</v>
      </c>
      <c r="G545" s="69">
        <v>-3.5206485098928791E-3</v>
      </c>
      <c r="H545" s="137">
        <v>-1.4296672903084007E-3</v>
      </c>
      <c r="I545" s="137">
        <v>1.0801281179731127E-2</v>
      </c>
      <c r="J545" s="137">
        <v>-2.409997341479321E-3</v>
      </c>
    </row>
    <row r="546" spans="1:10">
      <c r="A546" s="68">
        <v>0.04</v>
      </c>
      <c r="B546" s="69">
        <f t="shared" si="16"/>
        <v>4.0000000000000002E-4</v>
      </c>
      <c r="C546" s="70">
        <f t="shared" si="17"/>
        <v>7.6923076923076919E-6</v>
      </c>
      <c r="F546" s="71">
        <v>41418</v>
      </c>
      <c r="G546" s="69">
        <v>-1.3736564109249553E-3</v>
      </c>
      <c r="H546" s="137">
        <v>-2.5075162637516902E-3</v>
      </c>
      <c r="I546" s="137">
        <v>-2.1613776749498541E-2</v>
      </c>
      <c r="J546" s="137">
        <v>-2.5407132389833286E-2</v>
      </c>
    </row>
    <row r="547" spans="1:10">
      <c r="A547" s="68">
        <v>0.04</v>
      </c>
      <c r="B547" s="69">
        <f t="shared" si="16"/>
        <v>4.0000000000000002E-4</v>
      </c>
      <c r="C547" s="70">
        <f t="shared" si="17"/>
        <v>7.6923076923076919E-6</v>
      </c>
      <c r="F547" s="71">
        <v>41425</v>
      </c>
      <c r="G547" s="69">
        <v>-6.0827144440276579E-3</v>
      </c>
      <c r="H547" s="137">
        <v>-2.3101713165216968E-2</v>
      </c>
      <c r="I547" s="137">
        <v>-3.6973374881085729E-2</v>
      </c>
      <c r="J547" s="137">
        <v>-2.315297384329127E-2</v>
      </c>
    </row>
    <row r="548" spans="1:10">
      <c r="A548" s="68">
        <v>0.05</v>
      </c>
      <c r="B548" s="69">
        <f t="shared" si="16"/>
        <v>5.0000000000000001E-4</v>
      </c>
      <c r="C548" s="70">
        <f t="shared" si="17"/>
        <v>9.6153846153846157E-6</v>
      </c>
      <c r="F548" s="71">
        <v>41432</v>
      </c>
      <c r="G548" s="69">
        <v>3.6694157111883891E-3</v>
      </c>
      <c r="H548" s="137">
        <v>-1.5391768701768643E-3</v>
      </c>
      <c r="I548" s="137">
        <v>3.5968604603961332E-4</v>
      </c>
      <c r="J548" s="137">
        <v>-3.1844196600427914E-2</v>
      </c>
    </row>
    <row r="549" spans="1:10">
      <c r="A549" s="68">
        <v>0.05</v>
      </c>
      <c r="B549" s="69">
        <f t="shared" si="16"/>
        <v>5.0000000000000001E-4</v>
      </c>
      <c r="C549" s="70">
        <f t="shared" si="17"/>
        <v>9.6153846153846157E-6</v>
      </c>
      <c r="F549" s="71">
        <v>41439</v>
      </c>
      <c r="G549" s="69">
        <v>5.2844185798979169E-3</v>
      </c>
      <c r="H549" s="137">
        <v>-3.4634371046908508E-3</v>
      </c>
      <c r="I549" s="137">
        <v>4.0387917765671169E-3</v>
      </c>
      <c r="J549" s="137">
        <v>3.5902752862533631E-4</v>
      </c>
    </row>
    <row r="550" spans="1:10">
      <c r="A550" s="68">
        <v>0.05</v>
      </c>
      <c r="B550" s="69">
        <f t="shared" si="16"/>
        <v>5.0000000000000001E-4</v>
      </c>
      <c r="C550" s="70">
        <f t="shared" si="17"/>
        <v>9.6153846153846157E-6</v>
      </c>
      <c r="F550" s="71">
        <v>41446</v>
      </c>
      <c r="G550" s="69">
        <v>-2.3059496699612676E-2</v>
      </c>
      <c r="H550" s="137">
        <v>-5.221033275109771E-2</v>
      </c>
      <c r="I550" s="137">
        <v>-4.0074005134162767E-2</v>
      </c>
      <c r="J550" s="137">
        <v>-3.289887100034268E-2</v>
      </c>
    </row>
    <row r="551" spans="1:10">
      <c r="A551" s="68">
        <v>0.05</v>
      </c>
      <c r="B551" s="69">
        <f t="shared" si="16"/>
        <v>5.0000000000000001E-4</v>
      </c>
      <c r="C551" s="70">
        <f t="shared" si="17"/>
        <v>9.6153846153846157E-6</v>
      </c>
      <c r="F551" s="71">
        <v>41453</v>
      </c>
      <c r="G551" s="69">
        <v>4.4788279140965925E-4</v>
      </c>
      <c r="H551" s="137">
        <v>1.2644210688146747E-2</v>
      </c>
      <c r="I551" s="137">
        <v>2.3288438685880108E-2</v>
      </c>
      <c r="J551" s="137">
        <v>1.3842548390539765E-2</v>
      </c>
    </row>
    <row r="552" spans="1:10">
      <c r="A552" s="68">
        <v>0.06</v>
      </c>
      <c r="B552" s="69">
        <f t="shared" si="16"/>
        <v>5.9999999999999995E-4</v>
      </c>
      <c r="C552" s="70">
        <f t="shared" si="17"/>
        <v>1.1538461538461538E-5</v>
      </c>
      <c r="F552" s="71">
        <v>41460</v>
      </c>
      <c r="G552" s="69">
        <v>-9.7391294273767581E-3</v>
      </c>
      <c r="H552" s="137">
        <v>-7.9947112999827312E-3</v>
      </c>
      <c r="I552" s="137">
        <v>-4.593665144138644E-3</v>
      </c>
      <c r="J552" s="137">
        <v>5.7605171779892524E-3</v>
      </c>
    </row>
    <row r="553" spans="1:10">
      <c r="A553" s="68">
        <v>0.04</v>
      </c>
      <c r="B553" s="69">
        <f t="shared" si="16"/>
        <v>4.0000000000000002E-4</v>
      </c>
      <c r="C553" s="70">
        <f t="shared" si="17"/>
        <v>7.6923076923076919E-6</v>
      </c>
      <c r="F553" s="71">
        <v>41467</v>
      </c>
      <c r="G553" s="69">
        <v>1.3257865447979841E-2</v>
      </c>
      <c r="H553" s="137">
        <v>1.7569621600759894E-2</v>
      </c>
      <c r="I553" s="137">
        <v>4.7333587063365802E-2</v>
      </c>
      <c r="J553" s="137">
        <v>2.4232565691836468E-2</v>
      </c>
    </row>
    <row r="554" spans="1:10">
      <c r="A554" s="68">
        <v>0.04</v>
      </c>
      <c r="B554" s="69">
        <f t="shared" si="16"/>
        <v>4.0000000000000002E-4</v>
      </c>
      <c r="C554" s="70">
        <f t="shared" si="17"/>
        <v>7.6923076923076919E-6</v>
      </c>
      <c r="F554" s="71">
        <v>41474</v>
      </c>
      <c r="G554" s="69">
        <v>6.099859532340963E-3</v>
      </c>
      <c r="H554" s="137">
        <v>2.6521086608054016E-2</v>
      </c>
      <c r="I554" s="137">
        <v>3.9767319006230812E-3</v>
      </c>
      <c r="J554" s="137">
        <v>-3.9039331677958112E-3</v>
      </c>
    </row>
    <row r="555" spans="1:10">
      <c r="A555" s="68">
        <v>0.03</v>
      </c>
      <c r="B555" s="69">
        <f t="shared" si="16"/>
        <v>2.9999999999999997E-4</v>
      </c>
      <c r="C555" s="70">
        <f t="shared" si="17"/>
        <v>5.7692307692307689E-6</v>
      </c>
      <c r="F555" s="71">
        <v>41481</v>
      </c>
      <c r="G555" s="69">
        <v>2.0569667724425395E-3</v>
      </c>
      <c r="H555" s="137">
        <v>2.5134596661249521E-3</v>
      </c>
      <c r="I555" s="137">
        <v>-2.8125126271089521E-3</v>
      </c>
      <c r="J555" s="137">
        <v>1.0361009304744137E-2</v>
      </c>
    </row>
    <row r="556" spans="1:10">
      <c r="A556" s="68">
        <v>0.03</v>
      </c>
      <c r="B556" s="69">
        <f t="shared" si="16"/>
        <v>2.9999999999999997E-4</v>
      </c>
      <c r="C556" s="70">
        <f t="shared" si="17"/>
        <v>5.7692307692307689E-6</v>
      </c>
      <c r="F556" s="71">
        <v>41488</v>
      </c>
      <c r="G556" s="69">
        <v>-1.5518801738721337E-4</v>
      </c>
      <c r="H556" s="137">
        <v>1.4143041126804324E-2</v>
      </c>
      <c r="I556" s="137">
        <v>-8.3942846651781735E-4</v>
      </c>
      <c r="J556" s="137">
        <v>-6.4972841371897291E-3</v>
      </c>
    </row>
    <row r="557" spans="1:10">
      <c r="A557" s="68">
        <v>0.04</v>
      </c>
      <c r="B557" s="69">
        <f t="shared" si="16"/>
        <v>4.0000000000000002E-4</v>
      </c>
      <c r="C557" s="70">
        <f t="shared" si="17"/>
        <v>7.6923076923076919E-6</v>
      </c>
      <c r="F557" s="71">
        <v>41495</v>
      </c>
      <c r="G557" s="69">
        <v>4.5833157639345286E-3</v>
      </c>
      <c r="H557" s="137">
        <v>4.2757226942445065E-3</v>
      </c>
      <c r="I557" s="137">
        <v>-1.6169586430579894E-2</v>
      </c>
      <c r="J557" s="137">
        <v>-9.6588634333494121E-3</v>
      </c>
    </row>
    <row r="558" spans="1:10">
      <c r="A558" s="68">
        <v>0.05</v>
      </c>
      <c r="B558" s="69">
        <f t="shared" si="16"/>
        <v>5.0000000000000001E-4</v>
      </c>
      <c r="C558" s="70">
        <f t="shared" si="17"/>
        <v>9.6153846153846157E-6</v>
      </c>
      <c r="F558" s="71">
        <v>41502</v>
      </c>
      <c r="G558" s="69">
        <v>-1.1868093906817723E-2</v>
      </c>
      <c r="H558" s="137">
        <v>-1.718112387104356E-2</v>
      </c>
      <c r="I558" s="137">
        <v>-2.8525688247442709E-2</v>
      </c>
      <c r="J558" s="137">
        <v>2.1288566891017081E-3</v>
      </c>
    </row>
    <row r="559" spans="1:10">
      <c r="A559" s="68">
        <v>0.05</v>
      </c>
      <c r="B559" s="69">
        <f t="shared" si="16"/>
        <v>5.0000000000000001E-4</v>
      </c>
      <c r="C559" s="70">
        <f t="shared" si="17"/>
        <v>9.6153846153846157E-6</v>
      </c>
      <c r="F559" s="71">
        <v>41509</v>
      </c>
      <c r="G559" s="69">
        <v>-3.0331577738123005E-4</v>
      </c>
      <c r="H559" s="137">
        <v>4.5522048520739581E-3</v>
      </c>
      <c r="I559" s="137">
        <v>1.8982717188144652E-3</v>
      </c>
      <c r="J559" s="137">
        <v>-2.7524725615050968E-2</v>
      </c>
    </row>
    <row r="560" spans="1:10">
      <c r="A560" s="68">
        <v>0.04</v>
      </c>
      <c r="B560" s="69">
        <f t="shared" si="16"/>
        <v>4.0000000000000002E-4</v>
      </c>
      <c r="C560" s="70">
        <f t="shared" si="17"/>
        <v>7.6923076923076919E-6</v>
      </c>
      <c r="F560" s="71">
        <v>41516</v>
      </c>
      <c r="G560" s="69">
        <v>4.6663535970863025E-4</v>
      </c>
      <c r="H560" s="137">
        <v>-2.6794286023390682E-2</v>
      </c>
      <c r="I560" s="137">
        <v>-5.2529472190779936E-3</v>
      </c>
      <c r="J560" s="137">
        <v>-1.4741201246844299E-2</v>
      </c>
    </row>
    <row r="561" spans="1:10">
      <c r="A561" s="68">
        <v>0.03</v>
      </c>
      <c r="B561" s="69">
        <f t="shared" si="16"/>
        <v>2.9999999999999997E-4</v>
      </c>
      <c r="C561" s="70">
        <f t="shared" si="17"/>
        <v>5.7692307692307689E-6</v>
      </c>
      <c r="F561" s="71">
        <v>41523</v>
      </c>
      <c r="G561" s="69">
        <v>-6.2801290338641751E-3</v>
      </c>
      <c r="H561" s="137">
        <v>1.5927845632215252E-2</v>
      </c>
      <c r="I561" s="137">
        <v>-4.3795070939484093E-3</v>
      </c>
      <c r="J561" s="137">
        <v>1.2153485989472773E-2</v>
      </c>
    </row>
    <row r="562" spans="1:10">
      <c r="A562" s="68">
        <v>0.02</v>
      </c>
      <c r="B562" s="69">
        <f t="shared" si="16"/>
        <v>2.0000000000000001E-4</v>
      </c>
      <c r="C562" s="70">
        <f t="shared" si="17"/>
        <v>3.8461538461538459E-6</v>
      </c>
      <c r="F562" s="71">
        <v>41530</v>
      </c>
      <c r="G562" s="69">
        <v>5.3128557683332564E-3</v>
      </c>
      <c r="H562" s="137">
        <v>1.5873368963899927E-2</v>
      </c>
      <c r="I562" s="137">
        <v>5.2242302702004712E-3</v>
      </c>
      <c r="J562" s="137">
        <v>1.6671885649951233E-2</v>
      </c>
    </row>
    <row r="563" spans="1:10">
      <c r="A563" s="68">
        <v>0.02</v>
      </c>
      <c r="B563" s="69">
        <f t="shared" si="16"/>
        <v>2.0000000000000001E-4</v>
      </c>
      <c r="C563" s="70">
        <f t="shared" si="17"/>
        <v>3.8461538461538459E-6</v>
      </c>
      <c r="F563" s="71">
        <v>41537</v>
      </c>
      <c r="G563" s="69">
        <v>1.1099119714260575E-2</v>
      </c>
      <c r="H563" s="137">
        <v>3.6236202877107299E-2</v>
      </c>
      <c r="I563" s="137">
        <v>1.9618450222665656E-2</v>
      </c>
      <c r="J563" s="137">
        <v>3.5266684943827925E-2</v>
      </c>
    </row>
    <row r="564" spans="1:10">
      <c r="A564" s="68">
        <v>0.01</v>
      </c>
      <c r="B564" s="69">
        <f t="shared" si="16"/>
        <v>1E-4</v>
      </c>
      <c r="C564" s="70">
        <f t="shared" si="17"/>
        <v>1.923076923076923E-6</v>
      </c>
      <c r="F564" s="71">
        <v>41544</v>
      </c>
      <c r="G564" s="69">
        <v>6.2508011778505028E-3</v>
      </c>
      <c r="H564" s="137">
        <v>-5.9695751094762228E-3</v>
      </c>
      <c r="I564" s="137">
        <v>3.5114903938637354E-3</v>
      </c>
      <c r="J564" s="137">
        <v>3.2063387449744059E-3</v>
      </c>
    </row>
    <row r="565" spans="1:10">
      <c r="A565" s="68">
        <v>0.02</v>
      </c>
      <c r="B565" s="69">
        <f t="shared" si="16"/>
        <v>2.0000000000000001E-4</v>
      </c>
      <c r="C565" s="70">
        <f t="shared" si="17"/>
        <v>3.8461538461538459E-6</v>
      </c>
      <c r="F565" s="71">
        <v>41551</v>
      </c>
      <c r="G565" s="69">
        <v>1.1381441970901194E-3</v>
      </c>
      <c r="H565" s="137">
        <v>1.0264491970081653E-2</v>
      </c>
      <c r="I565" s="137">
        <v>-1.2374183315872455E-2</v>
      </c>
      <c r="J565" s="137">
        <v>3.7736116326727845E-3</v>
      </c>
    </row>
    <row r="566" spans="1:10">
      <c r="A566" s="68">
        <v>0.02</v>
      </c>
      <c r="B566" s="69">
        <f t="shared" si="16"/>
        <v>2.0000000000000001E-4</v>
      </c>
      <c r="C566" s="70">
        <f t="shared" si="17"/>
        <v>3.8461538461538459E-6</v>
      </c>
      <c r="F566" s="71">
        <v>41558</v>
      </c>
      <c r="G566" s="69">
        <v>-9.6748653508800942E-4</v>
      </c>
      <c r="H566" s="137">
        <v>4.475621832458582E-3</v>
      </c>
      <c r="I566" s="137">
        <v>1.5874730051374453E-2</v>
      </c>
      <c r="J566" s="137">
        <v>1.3165620303984042E-2</v>
      </c>
    </row>
    <row r="567" spans="1:10">
      <c r="A567" s="68">
        <v>0.05</v>
      </c>
      <c r="B567" s="69">
        <f t="shared" si="16"/>
        <v>5.0000000000000001E-4</v>
      </c>
      <c r="C567" s="70">
        <f t="shared" si="17"/>
        <v>9.6153846153846157E-6</v>
      </c>
      <c r="F567" s="71">
        <v>41565</v>
      </c>
      <c r="G567" s="69">
        <v>8.8215417265588153E-3</v>
      </c>
      <c r="H567" s="137">
        <v>3.0167899785894008E-2</v>
      </c>
      <c r="I567" s="137">
        <v>2.3324563860461972E-2</v>
      </c>
      <c r="J567" s="137">
        <v>1.8149084617332608E-3</v>
      </c>
    </row>
    <row r="568" spans="1:10">
      <c r="A568" s="68">
        <v>0.08</v>
      </c>
      <c r="B568" s="69">
        <f t="shared" si="16"/>
        <v>8.0000000000000004E-4</v>
      </c>
      <c r="C568" s="70">
        <f t="shared" si="17"/>
        <v>1.5384615384615384E-5</v>
      </c>
      <c r="F568" s="71">
        <v>41572</v>
      </c>
      <c r="G568" s="69">
        <v>4.850981302075741E-3</v>
      </c>
      <c r="H568" s="137">
        <v>1.4985927032960559E-2</v>
      </c>
      <c r="I568" s="137">
        <v>1.8755745638357142E-2</v>
      </c>
      <c r="J568" s="137">
        <v>-9.1692490063146545E-3</v>
      </c>
    </row>
    <row r="569" spans="1:10">
      <c r="A569" s="68">
        <v>0.04</v>
      </c>
      <c r="B569" s="69">
        <f t="shared" si="16"/>
        <v>4.0000000000000002E-4</v>
      </c>
      <c r="C569" s="70">
        <f t="shared" si="17"/>
        <v>7.6923076923076919E-6</v>
      </c>
      <c r="F569" s="71">
        <v>41579</v>
      </c>
      <c r="G569" s="69">
        <v>-6.7451873662171986E-3</v>
      </c>
      <c r="H569" s="137">
        <v>-1.9306767491610879E-2</v>
      </c>
      <c r="I569" s="137">
        <v>-7.7283533523461899E-3</v>
      </c>
      <c r="J569" s="137">
        <v>-7.0815503434789664E-3</v>
      </c>
    </row>
    <row r="570" spans="1:10">
      <c r="A570" s="68">
        <v>0.04</v>
      </c>
      <c r="B570" s="69">
        <f t="shared" si="16"/>
        <v>4.0000000000000002E-4</v>
      </c>
      <c r="C570" s="70">
        <f t="shared" si="17"/>
        <v>7.6923076923076919E-6</v>
      </c>
      <c r="F570" s="71">
        <v>41586</v>
      </c>
      <c r="G570" s="69">
        <v>-5.4020802206830249E-3</v>
      </c>
      <c r="H570" s="137">
        <v>-7.1784760665167535E-3</v>
      </c>
      <c r="I570" s="137">
        <v>-6.9652097975007685E-3</v>
      </c>
      <c r="J570" s="137">
        <v>-1.2490685502068227E-2</v>
      </c>
    </row>
    <row r="571" spans="1:10">
      <c r="A571" s="68">
        <v>0.05</v>
      </c>
      <c r="B571" s="69">
        <f t="shared" si="16"/>
        <v>5.0000000000000001E-4</v>
      </c>
      <c r="C571" s="70">
        <f t="shared" si="17"/>
        <v>9.6153846153846157E-6</v>
      </c>
      <c r="F571" s="71">
        <v>41593</v>
      </c>
      <c r="G571" s="69">
        <v>4.5322944895402235E-3</v>
      </c>
      <c r="H571" s="137">
        <v>7.3821788944861948E-3</v>
      </c>
      <c r="I571" s="137">
        <v>8.0058293056511944E-3</v>
      </c>
      <c r="J571" s="137">
        <v>7.4788104386830897E-3</v>
      </c>
    </row>
    <row r="572" spans="1:10">
      <c r="A572" s="68">
        <v>0.08</v>
      </c>
      <c r="B572" s="69">
        <f t="shared" si="16"/>
        <v>8.0000000000000004E-4</v>
      </c>
      <c r="C572" s="70">
        <f t="shared" si="17"/>
        <v>1.5384615384615384E-5</v>
      </c>
      <c r="F572" s="71">
        <v>41600</v>
      </c>
      <c r="G572" s="69">
        <v>-8.6097328956678961E-4</v>
      </c>
      <c r="H572" s="137">
        <v>-6.1665171188507138E-3</v>
      </c>
      <c r="I572" s="137">
        <v>-1.4692208802981378E-2</v>
      </c>
      <c r="J572" s="137">
        <v>3.122772558552239E-3</v>
      </c>
    </row>
    <row r="573" spans="1:10">
      <c r="A573" s="68">
        <v>0.08</v>
      </c>
      <c r="B573" s="69">
        <f t="shared" si="16"/>
        <v>8.0000000000000004E-4</v>
      </c>
      <c r="C573" s="70">
        <f t="shared" si="17"/>
        <v>1.5384615384615384E-5</v>
      </c>
      <c r="F573" s="71">
        <v>41607</v>
      </c>
      <c r="G573" s="69">
        <v>1.1228831518838873E-3</v>
      </c>
      <c r="H573" s="137">
        <v>1.6350701245852625E-2</v>
      </c>
      <c r="I573" s="137">
        <v>-9.8833529334141929E-3</v>
      </c>
      <c r="J573" s="137">
        <v>5.4981897725547854E-3</v>
      </c>
    </row>
    <row r="574" spans="1:10">
      <c r="A574" s="68">
        <v>7.0000000000000007E-2</v>
      </c>
      <c r="B574" s="69">
        <f t="shared" si="16"/>
        <v>7.000000000000001E-4</v>
      </c>
      <c r="C574" s="70">
        <f t="shared" si="17"/>
        <v>1.3461538461538463E-5</v>
      </c>
      <c r="F574" s="71">
        <v>41614</v>
      </c>
      <c r="G574" s="69">
        <v>-5.4654140926834105E-3</v>
      </c>
      <c r="H574" s="137">
        <v>-2.1546949247371775E-2</v>
      </c>
      <c r="I574" s="137">
        <v>5.3386323534932506E-3</v>
      </c>
      <c r="J574" s="137">
        <v>-1.8050246036631856E-2</v>
      </c>
    </row>
    <row r="575" spans="1:10">
      <c r="A575" s="68">
        <v>0.06</v>
      </c>
      <c r="B575" s="69">
        <f t="shared" si="16"/>
        <v>5.9999999999999995E-4</v>
      </c>
      <c r="C575" s="70">
        <f t="shared" si="17"/>
        <v>1.1538461538461538E-5</v>
      </c>
      <c r="F575" s="71">
        <v>41621</v>
      </c>
      <c r="G575" s="69">
        <v>-3.2796144891685897E-4</v>
      </c>
      <c r="H575" s="137">
        <v>1.5329808877514891E-3</v>
      </c>
      <c r="I575" s="137">
        <v>-1.967097957580444E-2</v>
      </c>
      <c r="J575" s="137">
        <v>-6.768910341245854E-3</v>
      </c>
    </row>
    <row r="576" spans="1:10">
      <c r="A576" s="68">
        <v>7.0000000000000007E-2</v>
      </c>
      <c r="B576" s="69">
        <f t="shared" si="16"/>
        <v>7.000000000000001E-4</v>
      </c>
      <c r="C576" s="70">
        <f t="shared" si="17"/>
        <v>1.3461538461538463E-5</v>
      </c>
      <c r="F576" s="71">
        <v>41628</v>
      </c>
      <c r="G576" s="69">
        <v>2.0874454749181771E-3</v>
      </c>
      <c r="H576" s="137">
        <v>2.4823544430121278E-2</v>
      </c>
      <c r="I576" s="137">
        <v>2.7478298361264541E-2</v>
      </c>
      <c r="J576" s="137">
        <v>3.1666466520641315E-4</v>
      </c>
    </row>
    <row r="577" spans="1:10">
      <c r="A577" s="68">
        <v>7.0000000000000007E-2</v>
      </c>
      <c r="B577" s="69">
        <f t="shared" si="16"/>
        <v>7.000000000000001E-4</v>
      </c>
      <c r="C577" s="70">
        <f t="shared" si="17"/>
        <v>1.3461538461538463E-5</v>
      </c>
      <c r="F577" s="71">
        <v>41635</v>
      </c>
      <c r="G577" s="69">
        <v>-2.0316012445677351E-3</v>
      </c>
      <c r="H577" s="137">
        <v>2.4483160506288081E-2</v>
      </c>
      <c r="I577" s="137">
        <v>9.9112970444214365E-3</v>
      </c>
      <c r="J577" s="137">
        <v>1.0642517340434129E-2</v>
      </c>
    </row>
    <row r="578" spans="1:10">
      <c r="A578" s="68">
        <v>7.0000000000000007E-2</v>
      </c>
      <c r="B578" s="69">
        <f t="shared" si="16"/>
        <v>7.000000000000001E-4</v>
      </c>
      <c r="C578" s="70">
        <f t="shared" si="17"/>
        <v>1.3461538461538463E-5</v>
      </c>
      <c r="F578" s="71">
        <v>41642</v>
      </c>
      <c r="G578" s="69">
        <v>6.2096795475146674E-4</v>
      </c>
      <c r="H578" s="137">
        <v>-4.2742735737273663E-3</v>
      </c>
      <c r="I578" s="137">
        <v>-4.615406702840108E-3</v>
      </c>
      <c r="J578" s="137">
        <v>5.5927576273330495E-3</v>
      </c>
    </row>
    <row r="579" spans="1:10">
      <c r="A579" s="68">
        <v>7.0000000000000007E-2</v>
      </c>
      <c r="B579" s="69">
        <f t="shared" si="16"/>
        <v>7.000000000000001E-4</v>
      </c>
      <c r="C579" s="70">
        <f t="shared" si="17"/>
        <v>1.3461538461538463E-5</v>
      </c>
      <c r="F579" s="71">
        <v>41649</v>
      </c>
      <c r="G579" s="69">
        <v>6.9021953790529399E-3</v>
      </c>
      <c r="H579" s="137">
        <v>7.4326716832824411E-3</v>
      </c>
      <c r="I579" s="137">
        <v>1.289225727456063E-2</v>
      </c>
      <c r="J579" s="137">
        <v>-1.5517797867880836E-2</v>
      </c>
    </row>
    <row r="580" spans="1:10">
      <c r="A580" s="68">
        <v>0.05</v>
      </c>
      <c r="B580" s="69">
        <f t="shared" si="16"/>
        <v>5.0000000000000001E-4</v>
      </c>
      <c r="C580" s="70">
        <f t="shared" si="17"/>
        <v>9.6153846153846157E-6</v>
      </c>
      <c r="F580" s="71">
        <v>41656</v>
      </c>
      <c r="G580" s="69">
        <v>8.306525259425743E-4</v>
      </c>
      <c r="H580" s="137">
        <v>1.3250752378893609E-2</v>
      </c>
      <c r="I580" s="137">
        <v>3.5923029593640599E-3</v>
      </c>
      <c r="J580" s="137">
        <v>4.8904314690011088E-4</v>
      </c>
    </row>
    <row r="581" spans="1:10">
      <c r="A581" s="68">
        <v>0.04</v>
      </c>
      <c r="B581" s="69">
        <f t="shared" si="16"/>
        <v>4.0000000000000002E-4</v>
      </c>
      <c r="C581" s="70">
        <f t="shared" si="17"/>
        <v>7.6923076923076919E-6</v>
      </c>
      <c r="F581" s="71">
        <v>41663</v>
      </c>
      <c r="G581" s="69">
        <v>3.374768259941778E-3</v>
      </c>
      <c r="H581" s="137">
        <v>-2.6147791976180185E-3</v>
      </c>
      <c r="I581" s="137">
        <v>-1.3247767409454037E-2</v>
      </c>
      <c r="J581" s="137">
        <v>-9.2940194024778468E-3</v>
      </c>
    </row>
    <row r="582" spans="1:10">
      <c r="A582" s="68">
        <v>0.04</v>
      </c>
      <c r="B582" s="69">
        <f t="shared" ref="B582:B645" si="18">+A582/100</f>
        <v>4.0000000000000002E-4</v>
      </c>
      <c r="C582" s="70">
        <f t="shared" ref="C582:C645" si="19">+B582/52</f>
        <v>7.6923076923076919E-6</v>
      </c>
      <c r="F582" s="71">
        <v>41670</v>
      </c>
      <c r="G582" s="69">
        <v>6.4847484023493459E-4</v>
      </c>
      <c r="H582" s="137">
        <v>-8.2820916778023005E-3</v>
      </c>
      <c r="I582" s="137">
        <v>1.2498991165981495E-2</v>
      </c>
      <c r="J582" s="137">
        <v>-1.3650798590016085E-2</v>
      </c>
    </row>
    <row r="583" spans="1:10">
      <c r="A583" s="68">
        <v>0.04</v>
      </c>
      <c r="B583" s="69">
        <f t="shared" si="18"/>
        <v>4.0000000000000002E-4</v>
      </c>
      <c r="C583" s="70">
        <f t="shared" si="19"/>
        <v>7.6923076923076919E-6</v>
      </c>
      <c r="F583" s="71">
        <v>41677</v>
      </c>
      <c r="G583" s="69">
        <v>2.4700833598842796E-3</v>
      </c>
      <c r="H583" s="137">
        <v>1.7667613917244598E-2</v>
      </c>
      <c r="I583" s="137">
        <v>7.2407120799240408E-4</v>
      </c>
      <c r="J583" s="137">
        <v>-4.5536136355891193E-3</v>
      </c>
    </row>
    <row r="584" spans="1:10">
      <c r="A584" s="68">
        <v>7.0000000000000007E-2</v>
      </c>
      <c r="B584" s="69">
        <f t="shared" si="18"/>
        <v>7.000000000000001E-4</v>
      </c>
      <c r="C584" s="70">
        <f t="shared" si="19"/>
        <v>1.3461538461538463E-5</v>
      </c>
      <c r="F584" s="71">
        <v>41684</v>
      </c>
      <c r="G584" s="69">
        <v>2.3938641624417622E-3</v>
      </c>
      <c r="H584" s="137">
        <v>3.0625027808977016E-2</v>
      </c>
      <c r="I584" s="137">
        <v>2.4295263313766476E-2</v>
      </c>
      <c r="J584" s="137">
        <v>2.0416136854040565E-2</v>
      </c>
    </row>
    <row r="585" spans="1:10">
      <c r="A585" s="68">
        <v>0.04</v>
      </c>
      <c r="B585" s="69">
        <f t="shared" si="18"/>
        <v>4.0000000000000002E-4</v>
      </c>
      <c r="C585" s="70">
        <f t="shared" si="19"/>
        <v>7.6923076923076919E-6</v>
      </c>
      <c r="F585" s="71">
        <v>41691</v>
      </c>
      <c r="G585" s="69">
        <v>6.0348092538131106E-4</v>
      </c>
      <c r="H585" s="137">
        <v>1.2735796880712748E-2</v>
      </c>
      <c r="I585" s="137">
        <v>8.8544652143481006E-4</v>
      </c>
      <c r="J585" s="137">
        <v>1.0129953743717848E-2</v>
      </c>
    </row>
    <row r="586" spans="1:10">
      <c r="A586" s="68">
        <v>0.05</v>
      </c>
      <c r="B586" s="69">
        <f t="shared" si="18"/>
        <v>5.0000000000000001E-4</v>
      </c>
      <c r="C586" s="70">
        <f t="shared" si="19"/>
        <v>9.6153846153846157E-6</v>
      </c>
      <c r="F586" s="71">
        <v>41698</v>
      </c>
      <c r="G586" s="69">
        <v>6.2904247096846645E-3</v>
      </c>
      <c r="H586" s="137">
        <v>1.6932004708307705E-2</v>
      </c>
      <c r="I586" s="137">
        <v>-6.2579440357757735E-3</v>
      </c>
      <c r="J586" s="137">
        <v>2.7596288452244797E-2</v>
      </c>
    </row>
    <row r="587" spans="1:10">
      <c r="A587" s="68">
        <v>0.05</v>
      </c>
      <c r="B587" s="69">
        <f t="shared" si="18"/>
        <v>5.0000000000000001E-4</v>
      </c>
      <c r="C587" s="70">
        <f t="shared" si="19"/>
        <v>9.6153846153846157E-6</v>
      </c>
      <c r="F587" s="71">
        <v>41705</v>
      </c>
      <c r="G587" s="69">
        <v>-4.9014819111009916E-3</v>
      </c>
      <c r="H587" s="137">
        <v>2.6802185869209867E-5</v>
      </c>
      <c r="I587" s="137">
        <v>1.2345975783476309E-3</v>
      </c>
      <c r="J587" s="137">
        <v>9.4385661006494478E-3</v>
      </c>
    </row>
    <row r="588" spans="1:10">
      <c r="A588" s="68">
        <v>0.05</v>
      </c>
      <c r="B588" s="69">
        <f t="shared" si="18"/>
        <v>5.0000000000000001E-4</v>
      </c>
      <c r="C588" s="70">
        <f t="shared" si="19"/>
        <v>9.6153846153846157E-6</v>
      </c>
      <c r="F588" s="71">
        <v>41712</v>
      </c>
      <c r="G588" s="69">
        <v>4.3965062386886831E-3</v>
      </c>
      <c r="H588" s="137">
        <v>-1.0908004131333807E-2</v>
      </c>
      <c r="I588" s="137">
        <v>4.0507262042641127E-3</v>
      </c>
      <c r="J588" s="137">
        <v>-2.0206968229199974E-2</v>
      </c>
    </row>
    <row r="589" spans="1:10">
      <c r="A589" s="68">
        <v>0.05</v>
      </c>
      <c r="B589" s="69">
        <f t="shared" si="18"/>
        <v>5.0000000000000001E-4</v>
      </c>
      <c r="C589" s="70">
        <f t="shared" si="19"/>
        <v>9.6153846153846157E-6</v>
      </c>
      <c r="F589" s="71">
        <v>41719</v>
      </c>
      <c r="G589" s="69">
        <v>-4.1364651240251814E-3</v>
      </c>
      <c r="H589" s="137">
        <v>1.0093190578428621E-2</v>
      </c>
      <c r="I589" s="137">
        <v>-4.2022503932666825E-3</v>
      </c>
      <c r="J589" s="137">
        <v>-4.7313691556381378E-3</v>
      </c>
    </row>
    <row r="590" spans="1:10">
      <c r="A590" s="68">
        <v>0.06</v>
      </c>
      <c r="B590" s="69">
        <f t="shared" si="18"/>
        <v>5.9999999999999995E-4</v>
      </c>
      <c r="C590" s="70">
        <f t="shared" si="19"/>
        <v>1.1538461538461538E-5</v>
      </c>
      <c r="F590" s="71">
        <v>41726</v>
      </c>
      <c r="G590" s="69">
        <v>2.3576278193078938E-3</v>
      </c>
      <c r="H590" s="137">
        <v>1.1949031356495882E-2</v>
      </c>
      <c r="I590" s="137">
        <v>6.4271914736043281E-3</v>
      </c>
      <c r="J590" s="137">
        <v>2.4617782154602964E-2</v>
      </c>
    </row>
    <row r="591" spans="1:10">
      <c r="A591" s="68">
        <v>0.05</v>
      </c>
      <c r="B591" s="69">
        <f t="shared" si="18"/>
        <v>5.0000000000000001E-4</v>
      </c>
      <c r="C591" s="70">
        <f t="shared" si="19"/>
        <v>9.6153846153846157E-6</v>
      </c>
      <c r="F591" s="71">
        <v>41733</v>
      </c>
      <c r="G591" s="69">
        <v>8.8727775669209669E-4</v>
      </c>
      <c r="H591" s="137">
        <v>-2.8315807101780221E-3</v>
      </c>
      <c r="I591" s="137">
        <v>1.3265110650680267E-2</v>
      </c>
      <c r="J591" s="137">
        <v>6.9040929923871869E-3</v>
      </c>
    </row>
    <row r="592" spans="1:10">
      <c r="A592" s="68">
        <v>0.03</v>
      </c>
      <c r="B592" s="69">
        <f t="shared" si="18"/>
        <v>2.9999999999999997E-4</v>
      </c>
      <c r="C592" s="70">
        <f t="shared" si="19"/>
        <v>5.7692307692307689E-6</v>
      </c>
      <c r="F592" s="71">
        <v>41740</v>
      </c>
      <c r="G592" s="69">
        <v>6.3010880564866745E-3</v>
      </c>
      <c r="H592" s="137">
        <v>-9.5894823095312651E-3</v>
      </c>
      <c r="I592" s="137">
        <v>-1.9264797020810539E-3</v>
      </c>
      <c r="J592" s="137">
        <v>8.9157618395692678E-3</v>
      </c>
    </row>
    <row r="593" spans="1:10">
      <c r="A593" s="68">
        <v>0.04</v>
      </c>
      <c r="B593" s="69">
        <f t="shared" si="18"/>
        <v>4.0000000000000002E-4</v>
      </c>
      <c r="C593" s="70">
        <f t="shared" si="19"/>
        <v>7.6923076923076919E-6</v>
      </c>
      <c r="F593" s="71">
        <v>41747</v>
      </c>
      <c r="G593" s="69">
        <v>-1.7882225584111826E-3</v>
      </c>
      <c r="H593" s="137">
        <v>6.4276000157102451E-3</v>
      </c>
      <c r="I593" s="137">
        <v>1.9756612675979397E-2</v>
      </c>
      <c r="J593" s="137">
        <v>2.1479503597368042E-3</v>
      </c>
    </row>
    <row r="594" spans="1:10">
      <c r="A594" s="68">
        <v>0.04</v>
      </c>
      <c r="B594" s="69">
        <f t="shared" si="18"/>
        <v>4.0000000000000002E-4</v>
      </c>
      <c r="C594" s="70">
        <f t="shared" si="19"/>
        <v>7.6923076923076919E-6</v>
      </c>
      <c r="F594" s="71">
        <v>41754</v>
      </c>
      <c r="G594" s="69">
        <v>2.9742356199161045E-3</v>
      </c>
      <c r="H594" s="137">
        <v>5.1497359593254905E-3</v>
      </c>
      <c r="I594" s="137">
        <v>5.4559386131954935E-4</v>
      </c>
      <c r="J594" s="137">
        <v>-3.076489648807587E-3</v>
      </c>
    </row>
    <row r="595" spans="1:10">
      <c r="A595" s="68">
        <v>0.03</v>
      </c>
      <c r="B595" s="69">
        <f t="shared" si="18"/>
        <v>2.9999999999999997E-4</v>
      </c>
      <c r="C595" s="70">
        <f t="shared" si="19"/>
        <v>5.7692307692307689E-6</v>
      </c>
      <c r="F595" s="71">
        <v>41761</v>
      </c>
      <c r="G595" s="69">
        <v>4.3404585138887208E-3</v>
      </c>
      <c r="H595" s="137">
        <v>1.6990599458681661E-2</v>
      </c>
      <c r="I595" s="137">
        <v>1.3088845974013346E-2</v>
      </c>
      <c r="J595" s="137">
        <v>3.2476225431199929E-3</v>
      </c>
    </row>
    <row r="596" spans="1:10">
      <c r="A596" s="68">
        <v>0.03</v>
      </c>
      <c r="B596" s="69">
        <f t="shared" si="18"/>
        <v>2.9999999999999997E-4</v>
      </c>
      <c r="C596" s="70">
        <f t="shared" si="19"/>
        <v>5.7692307692307689E-6</v>
      </c>
      <c r="F596" s="71">
        <v>41768</v>
      </c>
      <c r="G596" s="69">
        <v>-3.6076027901150087E-4</v>
      </c>
      <c r="H596" s="137">
        <v>6.6359761206535809E-3</v>
      </c>
      <c r="I596" s="137">
        <v>9.6672350987463736E-4</v>
      </c>
      <c r="J596" s="137">
        <v>-8.9423499095890261E-3</v>
      </c>
    </row>
    <row r="597" spans="1:10">
      <c r="A597" s="68">
        <v>0.03</v>
      </c>
      <c r="B597" s="69">
        <f t="shared" si="18"/>
        <v>2.9999999999999997E-4</v>
      </c>
      <c r="C597" s="70">
        <f t="shared" si="19"/>
        <v>5.7692307692307689E-6</v>
      </c>
      <c r="F597" s="71">
        <v>41775</v>
      </c>
      <c r="G597" s="69">
        <v>3.7304886441640872E-3</v>
      </c>
      <c r="H597" s="137">
        <v>-3.4510931035406587E-4</v>
      </c>
      <c r="I597" s="137">
        <v>1.0071982047474901E-2</v>
      </c>
      <c r="J597" s="137">
        <v>2.0448535224413922E-2</v>
      </c>
    </row>
    <row r="598" spans="1:10">
      <c r="A598" s="68">
        <v>0.03</v>
      </c>
      <c r="B598" s="69">
        <f t="shared" si="18"/>
        <v>2.9999999999999997E-4</v>
      </c>
      <c r="C598" s="70">
        <f t="shared" si="19"/>
        <v>5.7692307692307689E-6</v>
      </c>
      <c r="F598" s="71">
        <v>41782</v>
      </c>
      <c r="G598" s="69">
        <v>-4.7403820657110747E-4</v>
      </c>
      <c r="H598" s="137">
        <v>-2.7598402922074028E-3</v>
      </c>
      <c r="I598" s="137">
        <v>7.3820347791319083E-3</v>
      </c>
      <c r="J598" s="137">
        <v>2.2584441306875511E-2</v>
      </c>
    </row>
    <row r="599" spans="1:10">
      <c r="A599" s="68">
        <v>0.03</v>
      </c>
      <c r="B599" s="69">
        <f t="shared" si="18"/>
        <v>2.9999999999999997E-4</v>
      </c>
      <c r="C599" s="70">
        <f t="shared" si="19"/>
        <v>5.7692307692307689E-6</v>
      </c>
      <c r="F599" s="71">
        <v>41789</v>
      </c>
      <c r="G599" s="69">
        <v>4.4685339114238672E-3</v>
      </c>
      <c r="H599" s="137">
        <v>2.1790287814656289E-2</v>
      </c>
      <c r="I599" s="137">
        <v>6.5761170774052101E-3</v>
      </c>
      <c r="J599" s="137">
        <v>7.9409383532117698E-5</v>
      </c>
    </row>
    <row r="600" spans="1:10">
      <c r="A600" s="68">
        <v>0.04</v>
      </c>
      <c r="B600" s="69">
        <f t="shared" si="18"/>
        <v>4.0000000000000002E-4</v>
      </c>
      <c r="C600" s="70">
        <f t="shared" si="19"/>
        <v>7.6923076923076919E-6</v>
      </c>
      <c r="F600" s="71">
        <v>41796</v>
      </c>
      <c r="G600" s="69">
        <v>-3.1053558422830872E-3</v>
      </c>
      <c r="H600" s="137">
        <v>-3.87955623933119E-3</v>
      </c>
      <c r="I600" s="137">
        <v>7.8219106655204439E-3</v>
      </c>
      <c r="J600" s="137">
        <v>7.0396723698417946E-3</v>
      </c>
    </row>
    <row r="601" spans="1:10">
      <c r="A601" s="68">
        <v>0.04</v>
      </c>
      <c r="B601" s="69">
        <f t="shared" si="18"/>
        <v>4.0000000000000002E-4</v>
      </c>
      <c r="C601" s="70">
        <f t="shared" si="19"/>
        <v>7.6923076923076919E-6</v>
      </c>
      <c r="F601" s="71">
        <v>41803</v>
      </c>
      <c r="G601" s="69">
        <v>-5.2131798422870676E-4</v>
      </c>
      <c r="H601" s="137">
        <v>-7.0968925563034153E-3</v>
      </c>
      <c r="I601" s="137">
        <v>-5.2506859187909311E-3</v>
      </c>
      <c r="J601" s="137">
        <v>7.6173680513629402E-3</v>
      </c>
    </row>
    <row r="602" spans="1:10">
      <c r="A602" s="68">
        <v>0.04</v>
      </c>
      <c r="B602" s="69">
        <f t="shared" si="18"/>
        <v>4.0000000000000002E-4</v>
      </c>
      <c r="C602" s="70">
        <f t="shared" si="19"/>
        <v>7.6923076923076919E-6</v>
      </c>
      <c r="F602" s="71">
        <v>41810</v>
      </c>
      <c r="G602" s="69">
        <v>1.9050606134254685E-3</v>
      </c>
      <c r="H602" s="137">
        <v>6.9402198259616828E-3</v>
      </c>
      <c r="I602" s="137">
        <v>3.3569089983073473E-2</v>
      </c>
      <c r="J602" s="137">
        <v>4.5074664946030026E-3</v>
      </c>
    </row>
    <row r="603" spans="1:10">
      <c r="A603" s="68">
        <v>0.03</v>
      </c>
      <c r="B603" s="69">
        <f t="shared" si="18"/>
        <v>2.9999999999999997E-4</v>
      </c>
      <c r="C603" s="70">
        <f t="shared" si="19"/>
        <v>5.7692307692307689E-6</v>
      </c>
      <c r="F603" s="71">
        <v>41817</v>
      </c>
      <c r="G603" s="69">
        <v>4.9553441189649555E-3</v>
      </c>
      <c r="H603" s="137">
        <v>1.5215264461004901E-3</v>
      </c>
      <c r="I603" s="137">
        <v>9.0113003638375658E-3</v>
      </c>
      <c r="J603" s="137">
        <v>3.1485578223913882E-3</v>
      </c>
    </row>
    <row r="604" spans="1:10">
      <c r="A604" s="68">
        <v>0.03</v>
      </c>
      <c r="B604" s="69">
        <f t="shared" si="18"/>
        <v>2.9999999999999997E-4</v>
      </c>
      <c r="C604" s="70">
        <f t="shared" si="19"/>
        <v>5.7692307692307689E-6</v>
      </c>
      <c r="F604" s="71">
        <v>41824</v>
      </c>
      <c r="G604" s="69">
        <v>-3.6494980512410563E-3</v>
      </c>
      <c r="H604" s="137">
        <v>1.2246298780996073E-2</v>
      </c>
      <c r="I604" s="137">
        <v>-5.6471349456902898E-3</v>
      </c>
      <c r="J604" s="137">
        <v>8.9715593187023653E-3</v>
      </c>
    </row>
    <row r="605" spans="1:10">
      <c r="A605" s="68">
        <v>0.02</v>
      </c>
      <c r="B605" s="69">
        <f t="shared" si="18"/>
        <v>2.0000000000000001E-4</v>
      </c>
      <c r="C605" s="70">
        <f t="shared" si="19"/>
        <v>3.8461538461538459E-6</v>
      </c>
      <c r="F605" s="71">
        <v>41831</v>
      </c>
      <c r="G605" s="69">
        <v>3.8197546518682576E-3</v>
      </c>
      <c r="H605" s="137">
        <v>-1.6007786213263771E-2</v>
      </c>
      <c r="I605" s="137">
        <v>4.6489179309540715E-3</v>
      </c>
      <c r="J605" s="137">
        <v>5.0909775041824354E-3</v>
      </c>
    </row>
    <row r="606" spans="1:10">
      <c r="A606" s="68">
        <v>0.03</v>
      </c>
      <c r="B606" s="69">
        <f t="shared" si="18"/>
        <v>2.9999999999999997E-4</v>
      </c>
      <c r="C606" s="70">
        <f t="shared" si="19"/>
        <v>5.7692307692307689E-6</v>
      </c>
      <c r="F606" s="71">
        <v>41838</v>
      </c>
      <c r="G606" s="69">
        <v>8.2296949097597635E-4</v>
      </c>
      <c r="H606" s="137">
        <v>5.2566313064472403E-3</v>
      </c>
      <c r="I606" s="137">
        <v>1.1897067643414987E-2</v>
      </c>
      <c r="J606" s="137">
        <v>5.3750191400491285E-3</v>
      </c>
    </row>
    <row r="607" spans="1:10">
      <c r="A607" s="68">
        <v>0.02</v>
      </c>
      <c r="B607" s="69">
        <f t="shared" si="18"/>
        <v>2.0000000000000001E-4</v>
      </c>
      <c r="C607" s="70">
        <f t="shared" si="19"/>
        <v>3.8461538461538459E-6</v>
      </c>
      <c r="F607" s="71">
        <v>41845</v>
      </c>
      <c r="G607" s="69">
        <v>4.0693672488246816E-5</v>
      </c>
      <c r="H607" s="137">
        <v>3.8583691733541149E-3</v>
      </c>
      <c r="I607" s="137">
        <v>3.2139771951855442E-3</v>
      </c>
      <c r="J607" s="137">
        <v>6.6148340029533728E-3</v>
      </c>
    </row>
    <row r="608" spans="1:10">
      <c r="A608" s="68">
        <v>0.03</v>
      </c>
      <c r="B608" s="69">
        <f t="shared" si="18"/>
        <v>2.9999999999999997E-4</v>
      </c>
      <c r="C608" s="70">
        <f t="shared" si="19"/>
        <v>5.7692307692307689E-6</v>
      </c>
      <c r="F608" s="71">
        <v>41852</v>
      </c>
      <c r="G608" s="69">
        <v>-3.9789775725273015E-3</v>
      </c>
      <c r="H608" s="137">
        <v>-3.2241790570990185E-2</v>
      </c>
      <c r="I608" s="137">
        <v>-2.9638506253495466E-2</v>
      </c>
      <c r="J608" s="137">
        <v>-1.1911560293299648E-2</v>
      </c>
    </row>
    <row r="609" spans="1:10">
      <c r="A609" s="68">
        <v>0.03</v>
      </c>
      <c r="B609" s="69">
        <f t="shared" si="18"/>
        <v>2.9999999999999997E-4</v>
      </c>
      <c r="C609" s="70">
        <f t="shared" si="19"/>
        <v>5.7692307692307689E-6</v>
      </c>
      <c r="F609" s="71">
        <v>41859</v>
      </c>
      <c r="G609" s="69">
        <v>2.338257594683874E-3</v>
      </c>
      <c r="H609" s="137">
        <v>-2.7245694345267576E-2</v>
      </c>
      <c r="I609" s="137">
        <v>8.700300016727492E-3</v>
      </c>
      <c r="J609" s="137">
        <v>-1.097012893735972E-2</v>
      </c>
    </row>
    <row r="610" spans="1:10">
      <c r="A610" s="68">
        <v>0.03</v>
      </c>
      <c r="B610" s="69">
        <f t="shared" si="18"/>
        <v>2.9999999999999997E-4</v>
      </c>
      <c r="C610" s="70">
        <f t="shared" si="19"/>
        <v>5.7692307692307689E-6</v>
      </c>
      <c r="F610" s="71">
        <v>41866</v>
      </c>
      <c r="G610" s="69">
        <v>4.5940690448154275E-3</v>
      </c>
      <c r="H610" s="137">
        <v>2.2054852643161343E-2</v>
      </c>
      <c r="I610" s="137">
        <v>3.305472507499109E-2</v>
      </c>
      <c r="J610" s="137">
        <v>2.2326894810289613E-2</v>
      </c>
    </row>
    <row r="611" spans="1:10">
      <c r="A611" s="68">
        <v>0.04</v>
      </c>
      <c r="B611" s="69">
        <f t="shared" si="18"/>
        <v>4.0000000000000002E-4</v>
      </c>
      <c r="C611" s="70">
        <f t="shared" si="19"/>
        <v>7.6923076923076919E-6</v>
      </c>
      <c r="F611" s="71">
        <v>41873</v>
      </c>
      <c r="G611" s="69">
        <v>-3.3533420793267475E-3</v>
      </c>
      <c r="H611" s="137">
        <v>9.0281576768455971E-3</v>
      </c>
      <c r="I611" s="137">
        <v>5.7548009782106922E-3</v>
      </c>
      <c r="J611" s="137">
        <v>1.4101795760595169E-2</v>
      </c>
    </row>
    <row r="612" spans="1:10">
      <c r="A612" s="68">
        <v>0.03</v>
      </c>
      <c r="B612" s="69">
        <f t="shared" si="18"/>
        <v>2.9999999999999997E-4</v>
      </c>
      <c r="C612" s="70">
        <f t="shared" si="19"/>
        <v>5.7692307692307689E-6</v>
      </c>
      <c r="F612" s="71">
        <v>41880</v>
      </c>
      <c r="G612" s="69">
        <v>4.3323304053405438E-3</v>
      </c>
      <c r="H612" s="137">
        <v>1.6043848658533297E-2</v>
      </c>
      <c r="I612" s="137">
        <v>1.7338474244639513E-2</v>
      </c>
      <c r="J612" s="137">
        <v>-1.2586016944925142E-2</v>
      </c>
    </row>
    <row r="613" spans="1:10">
      <c r="A613" s="68">
        <v>0.03</v>
      </c>
      <c r="B613" s="69">
        <f t="shared" si="18"/>
        <v>2.9999999999999997E-4</v>
      </c>
      <c r="C613" s="70">
        <f t="shared" si="19"/>
        <v>5.7692307692307689E-6</v>
      </c>
      <c r="F613" s="71">
        <v>41887</v>
      </c>
      <c r="G613" s="69">
        <v>-6.6303211719144989E-3</v>
      </c>
      <c r="H613" s="137">
        <v>4.3285449370996055E-3</v>
      </c>
      <c r="I613" s="137">
        <v>1.1212566996909463E-2</v>
      </c>
      <c r="J613" s="137">
        <v>2.0027896729626616E-2</v>
      </c>
    </row>
    <row r="614" spans="1:10">
      <c r="A614" s="68">
        <v>0.03</v>
      </c>
      <c r="B614" s="69">
        <f t="shared" si="18"/>
        <v>2.9999999999999997E-4</v>
      </c>
      <c r="C614" s="70">
        <f t="shared" si="19"/>
        <v>5.7692307692307689E-6</v>
      </c>
      <c r="F614" s="71">
        <v>41894</v>
      </c>
      <c r="G614" s="69">
        <v>-9.773326863245637E-3</v>
      </c>
      <c r="H614" s="137">
        <v>-2.1850825543965727E-2</v>
      </c>
      <c r="I614" s="137">
        <v>-3.1379748301610007E-2</v>
      </c>
      <c r="J614" s="137">
        <v>-3.2432541991655323E-2</v>
      </c>
    </row>
    <row r="615" spans="1:10">
      <c r="A615" s="68">
        <v>0.02</v>
      </c>
      <c r="B615" s="69">
        <f t="shared" si="18"/>
        <v>2.0000000000000001E-4</v>
      </c>
      <c r="C615" s="70">
        <f t="shared" si="19"/>
        <v>3.8461538461538459E-6</v>
      </c>
      <c r="F615" s="71">
        <v>41901</v>
      </c>
      <c r="G615" s="69">
        <v>4.9073617897072601E-4</v>
      </c>
      <c r="H615" s="137">
        <v>-9.1674749896804974E-3</v>
      </c>
      <c r="I615" s="137">
        <v>1.0045477823392048E-2</v>
      </c>
      <c r="J615" s="137">
        <v>-2.5418938312885622E-2</v>
      </c>
    </row>
    <row r="616" spans="1:10">
      <c r="A616" s="68">
        <v>0.02</v>
      </c>
      <c r="B616" s="69">
        <f t="shared" si="18"/>
        <v>2.0000000000000001E-4</v>
      </c>
      <c r="C616" s="70">
        <f t="shared" si="19"/>
        <v>3.8461538461538459E-6</v>
      </c>
      <c r="F616" s="71">
        <v>41908</v>
      </c>
      <c r="G616" s="69">
        <v>-8.8465142655115179E-4</v>
      </c>
      <c r="H616" s="137">
        <v>-2.0747930572254727E-2</v>
      </c>
      <c r="I616" s="137">
        <v>-2.9573434882814716E-2</v>
      </c>
      <c r="J616" s="137">
        <v>-1.5669483321567129E-2</v>
      </c>
    </row>
    <row r="617" spans="1:10">
      <c r="A617" s="68">
        <v>0.01</v>
      </c>
      <c r="B617" s="69">
        <f t="shared" si="18"/>
        <v>1E-4</v>
      </c>
      <c r="C617" s="70">
        <f t="shared" si="19"/>
        <v>1.923076923076923E-6</v>
      </c>
      <c r="F617" s="71">
        <v>41915</v>
      </c>
      <c r="G617" s="69">
        <v>-6.7835593364533276E-4</v>
      </c>
      <c r="H617" s="137">
        <v>-1.7512322029686649E-2</v>
      </c>
      <c r="I617" s="137">
        <v>-6.2968251035907044E-4</v>
      </c>
      <c r="J617" s="137">
        <v>-2.2882621863719629E-2</v>
      </c>
    </row>
    <row r="618" spans="1:10">
      <c r="A618" s="68">
        <v>0.02</v>
      </c>
      <c r="B618" s="69">
        <f t="shared" si="18"/>
        <v>2.0000000000000001E-4</v>
      </c>
      <c r="C618" s="70">
        <f t="shared" si="19"/>
        <v>3.8461538461538459E-6</v>
      </c>
      <c r="F618" s="71">
        <v>41922</v>
      </c>
      <c r="G618" s="69">
        <v>4.7903396749852849E-3</v>
      </c>
      <c r="H618" s="137">
        <v>-1.6495712033786823E-2</v>
      </c>
      <c r="I618" s="137">
        <v>-3.3566231120138013E-2</v>
      </c>
      <c r="J618" s="137">
        <v>3.3568783652318545E-3</v>
      </c>
    </row>
    <row r="619" spans="1:10">
      <c r="A619" s="68">
        <v>0.01</v>
      </c>
      <c r="B619" s="69">
        <f t="shared" si="18"/>
        <v>1E-4</v>
      </c>
      <c r="C619" s="70">
        <f t="shared" si="19"/>
        <v>1.923076923076923E-6</v>
      </c>
      <c r="F619" s="71">
        <v>41929</v>
      </c>
      <c r="G619" s="69">
        <v>4.543408168080393E-3</v>
      </c>
      <c r="H619" s="137">
        <v>6.0129345924554772E-3</v>
      </c>
      <c r="I619" s="137">
        <v>5.6382965960531132E-3</v>
      </c>
      <c r="J619" s="137">
        <v>1.5489141848567041E-3</v>
      </c>
    </row>
    <row r="620" spans="1:10">
      <c r="A620" s="68">
        <v>0.02</v>
      </c>
      <c r="B620" s="69">
        <f t="shared" si="18"/>
        <v>2.0000000000000001E-4</v>
      </c>
      <c r="C620" s="70">
        <f t="shared" si="19"/>
        <v>3.8461538461538459E-6</v>
      </c>
      <c r="F620" s="71">
        <v>41936</v>
      </c>
      <c r="G620" s="69">
        <v>-1.1099754649677382E-3</v>
      </c>
      <c r="H620" s="137">
        <v>2.5891215574548983E-2</v>
      </c>
      <c r="I620" s="137">
        <v>3.7993979847699262E-2</v>
      </c>
      <c r="J620" s="137">
        <v>2.5883703061496805E-2</v>
      </c>
    </row>
    <row r="621" spans="1:10">
      <c r="A621" s="68">
        <v>0.02</v>
      </c>
      <c r="B621" s="69">
        <f t="shared" si="18"/>
        <v>2.0000000000000001E-4</v>
      </c>
      <c r="C621" s="70">
        <f t="shared" si="19"/>
        <v>3.8461538461538459E-6</v>
      </c>
      <c r="F621" s="71">
        <v>41943</v>
      </c>
      <c r="G621" s="69">
        <v>-3.3057117941236815E-3</v>
      </c>
      <c r="H621" s="137">
        <v>2.178448148002431E-2</v>
      </c>
      <c r="I621" s="137">
        <v>1.0612063327041602E-2</v>
      </c>
      <c r="J621" s="137">
        <v>1.094442408468916E-2</v>
      </c>
    </row>
    <row r="622" spans="1:10">
      <c r="A622" s="68">
        <v>0.02</v>
      </c>
      <c r="B622" s="69">
        <f t="shared" si="18"/>
        <v>2.0000000000000001E-4</v>
      </c>
      <c r="C622" s="70">
        <f t="shared" si="19"/>
        <v>3.8461538461538459E-6</v>
      </c>
      <c r="F622" s="71">
        <v>41950</v>
      </c>
      <c r="G622" s="69">
        <v>-3.0053557122057127E-3</v>
      </c>
      <c r="H622" s="137">
        <v>-2.3864910982140757E-2</v>
      </c>
      <c r="I622" s="137">
        <v>3.0104680132689273E-3</v>
      </c>
      <c r="J622" s="137">
        <v>-1.6834591807612692E-3</v>
      </c>
    </row>
    <row r="623" spans="1:10">
      <c r="A623" s="68">
        <v>0.03</v>
      </c>
      <c r="B623" s="69">
        <f t="shared" si="18"/>
        <v>2.9999999999999997E-4</v>
      </c>
      <c r="C623" s="70">
        <f t="shared" si="19"/>
        <v>5.7692307692307689E-6</v>
      </c>
      <c r="F623" s="71">
        <v>41957</v>
      </c>
      <c r="G623" s="69">
        <v>3.1786138176007776E-7</v>
      </c>
      <c r="H623" s="137">
        <v>9.8763050647503684E-3</v>
      </c>
      <c r="I623" s="137">
        <v>-1.656317920007138E-2</v>
      </c>
      <c r="J623" s="137">
        <v>1.1515542542933202E-2</v>
      </c>
    </row>
    <row r="624" spans="1:10">
      <c r="A624" s="68">
        <v>0.02</v>
      </c>
      <c r="B624" s="69">
        <f t="shared" si="18"/>
        <v>2.0000000000000001E-4</v>
      </c>
      <c r="C624" s="70">
        <f t="shared" si="19"/>
        <v>3.8461538461538459E-6</v>
      </c>
      <c r="F624" s="71">
        <v>41964</v>
      </c>
      <c r="G624" s="69">
        <v>1.0411158773576462E-3</v>
      </c>
      <c r="H624" s="137">
        <v>1.6161477550870378E-2</v>
      </c>
      <c r="I624" s="137">
        <v>2.2620851673038622E-2</v>
      </c>
      <c r="J624" s="137">
        <v>-1.1732843828636253E-2</v>
      </c>
    </row>
    <row r="625" spans="1:10">
      <c r="A625" s="68">
        <v>0.02</v>
      </c>
      <c r="B625" s="69">
        <f t="shared" si="18"/>
        <v>2.0000000000000001E-4</v>
      </c>
      <c r="C625" s="70">
        <f t="shared" si="19"/>
        <v>3.8461538461538459E-6</v>
      </c>
      <c r="F625" s="71">
        <v>41971</v>
      </c>
      <c r="G625" s="69">
        <v>4.8386613026136652E-3</v>
      </c>
      <c r="H625" s="137">
        <v>1.2530649837270653E-2</v>
      </c>
      <c r="I625" s="137">
        <v>-1.5776396668335215E-2</v>
      </c>
      <c r="J625" s="137">
        <v>2.511908265160117E-4</v>
      </c>
    </row>
    <row r="626" spans="1:10">
      <c r="A626" s="68">
        <v>0.02</v>
      </c>
      <c r="B626" s="69">
        <f t="shared" si="18"/>
        <v>2.0000000000000001E-4</v>
      </c>
      <c r="C626" s="70">
        <f t="shared" si="19"/>
        <v>3.8461538461538459E-6</v>
      </c>
      <c r="F626" s="71">
        <v>41978</v>
      </c>
      <c r="G626" s="69">
        <v>-7.3761066938354096E-3</v>
      </c>
      <c r="H626" s="137">
        <v>-7.2998436766904609E-3</v>
      </c>
      <c r="I626" s="137">
        <v>-1.4216882795043453E-4</v>
      </c>
      <c r="J626" s="137">
        <v>9.9808588715045044E-4</v>
      </c>
    </row>
    <row r="627" spans="1:10">
      <c r="A627" s="68">
        <v>0.02</v>
      </c>
      <c r="B627" s="69">
        <f t="shared" si="18"/>
        <v>2.0000000000000001E-4</v>
      </c>
      <c r="C627" s="70">
        <f t="shared" si="19"/>
        <v>3.8461538461538459E-6</v>
      </c>
      <c r="F627" s="71">
        <v>41985</v>
      </c>
      <c r="G627" s="69">
        <v>6.3742580303940708E-3</v>
      </c>
      <c r="H627" s="137">
        <v>-3.4827113671928429E-2</v>
      </c>
      <c r="I627" s="137">
        <v>-5.4479743363366015E-2</v>
      </c>
      <c r="J627" s="137">
        <v>-1.2906634191431652E-2</v>
      </c>
    </row>
    <row r="628" spans="1:10">
      <c r="A628" s="68">
        <v>0.03</v>
      </c>
      <c r="B628" s="69">
        <f t="shared" si="18"/>
        <v>2.9999999999999997E-4</v>
      </c>
      <c r="C628" s="70">
        <f t="shared" si="19"/>
        <v>5.7692307692307689E-6</v>
      </c>
      <c r="F628" s="71">
        <v>41992</v>
      </c>
      <c r="G628" s="69">
        <v>-1.4772522847055457E-3</v>
      </c>
      <c r="H628" s="137">
        <v>1.8207850994198971E-2</v>
      </c>
      <c r="I628" s="137">
        <v>4.4284942345907366E-2</v>
      </c>
      <c r="J628" s="137">
        <v>-6.938583292445696E-3</v>
      </c>
    </row>
    <row r="629" spans="1:10">
      <c r="A629" s="68">
        <v>0.04</v>
      </c>
      <c r="B629" s="69">
        <f t="shared" si="18"/>
        <v>4.0000000000000002E-4</v>
      </c>
      <c r="C629" s="70">
        <f t="shared" si="19"/>
        <v>7.6923076923076919E-6</v>
      </c>
      <c r="F629" s="71">
        <v>41999</v>
      </c>
      <c r="G629" s="69">
        <v>-2.0314757367781633E-3</v>
      </c>
      <c r="H629" s="137">
        <v>7.2711057795624649E-3</v>
      </c>
      <c r="I629" s="137">
        <v>2.5559814541351564E-2</v>
      </c>
      <c r="J629" s="137">
        <v>3.1855877547158776E-3</v>
      </c>
    </row>
    <row r="630" spans="1:10">
      <c r="A630" s="68">
        <v>0.03</v>
      </c>
      <c r="B630" s="69">
        <f t="shared" si="18"/>
        <v>2.9999999999999997E-4</v>
      </c>
      <c r="C630" s="70">
        <f t="shared" si="19"/>
        <v>5.7692307692307689E-6</v>
      </c>
      <c r="F630" s="71">
        <v>42006</v>
      </c>
      <c r="G630" s="69">
        <v>3.0071809582729401E-3</v>
      </c>
      <c r="H630" s="137">
        <v>-1.9706031156944116E-2</v>
      </c>
      <c r="I630" s="137">
        <v>-3.0261743525416955E-3</v>
      </c>
      <c r="J630" s="137">
        <v>1.6833336841189925E-3</v>
      </c>
    </row>
    <row r="631" spans="1:10">
      <c r="A631" s="68">
        <v>0.03</v>
      </c>
      <c r="B631" s="69">
        <f t="shared" si="18"/>
        <v>2.9999999999999997E-4</v>
      </c>
      <c r="C631" s="70">
        <f t="shared" si="19"/>
        <v>5.7692307692307689E-6</v>
      </c>
      <c r="F631" s="71">
        <v>42013</v>
      </c>
      <c r="G631" s="69">
        <v>2.9656999036228541E-3</v>
      </c>
      <c r="H631" s="137">
        <v>-4.1207613289129521E-3</v>
      </c>
      <c r="I631" s="137">
        <v>-2.958130756237104E-2</v>
      </c>
      <c r="J631" s="137">
        <v>1.6776652930186119E-2</v>
      </c>
    </row>
    <row r="632" spans="1:10">
      <c r="A632" s="68">
        <v>0.03</v>
      </c>
      <c r="B632" s="69">
        <f t="shared" si="18"/>
        <v>2.9999999999999997E-4</v>
      </c>
      <c r="C632" s="70">
        <f t="shared" si="19"/>
        <v>5.7692307692307689E-6</v>
      </c>
      <c r="F632" s="71">
        <v>42020</v>
      </c>
      <c r="G632" s="69">
        <v>2.2160631854083995E-3</v>
      </c>
      <c r="H632" s="137">
        <v>3.5008792806703413E-3</v>
      </c>
      <c r="I632" s="137">
        <v>3.3035337873972442E-3</v>
      </c>
      <c r="J632" s="137">
        <v>8.5155842997360551E-3</v>
      </c>
    </row>
    <row r="633" spans="1:10">
      <c r="A633" s="68">
        <v>0.03</v>
      </c>
      <c r="B633" s="69">
        <f t="shared" si="18"/>
        <v>2.9999999999999997E-4</v>
      </c>
      <c r="C633" s="70">
        <f t="shared" si="19"/>
        <v>5.7692307692307689E-6</v>
      </c>
      <c r="F633" s="71">
        <v>42027</v>
      </c>
      <c r="G633" s="69">
        <v>7.808302624565213E-4</v>
      </c>
      <c r="H633" s="137">
        <v>1.190465632823335E-2</v>
      </c>
      <c r="I633" s="137">
        <v>2.1683240664393789E-2</v>
      </c>
      <c r="J633" s="137">
        <v>1.1132176500158504E-2</v>
      </c>
    </row>
    <row r="634" spans="1:10">
      <c r="A634" s="68">
        <v>0.03</v>
      </c>
      <c r="B634" s="69">
        <f t="shared" si="18"/>
        <v>2.9999999999999997E-4</v>
      </c>
      <c r="C634" s="70">
        <f t="shared" si="19"/>
        <v>5.7692307692307689E-6</v>
      </c>
      <c r="F634" s="71">
        <v>42034</v>
      </c>
      <c r="G634" s="69">
        <v>3.4453536854454165E-3</v>
      </c>
      <c r="H634" s="137">
        <v>9.3644844972370293E-4</v>
      </c>
      <c r="I634" s="137">
        <v>-1.6957158799579788E-2</v>
      </c>
      <c r="J634" s="137">
        <v>-6.0137655064187671E-3</v>
      </c>
    </row>
    <row r="635" spans="1:10">
      <c r="A635" s="68">
        <v>0.02</v>
      </c>
      <c r="B635" s="69">
        <f t="shared" si="18"/>
        <v>2.0000000000000001E-4</v>
      </c>
      <c r="C635" s="70">
        <f t="shared" si="19"/>
        <v>3.8461538461538459E-6</v>
      </c>
      <c r="F635" s="71">
        <v>42041</v>
      </c>
      <c r="G635" s="69">
        <v>-5.9216903252825139E-3</v>
      </c>
      <c r="H635" s="137">
        <v>1.3159605391283669E-3</v>
      </c>
      <c r="I635" s="137">
        <v>2.0521838483959034E-3</v>
      </c>
      <c r="J635" s="137">
        <v>-6.6819232060414779E-4</v>
      </c>
    </row>
    <row r="636" spans="1:10">
      <c r="A636" s="68">
        <v>0.02</v>
      </c>
      <c r="B636" s="69">
        <f t="shared" si="18"/>
        <v>2.0000000000000001E-4</v>
      </c>
      <c r="C636" s="70">
        <f t="shared" si="19"/>
        <v>3.8461538461538459E-6</v>
      </c>
      <c r="F636" s="71">
        <v>42048</v>
      </c>
      <c r="G636" s="69">
        <v>2.581850112708397E-4</v>
      </c>
      <c r="H636" s="137">
        <v>-5.9844281311652297E-3</v>
      </c>
      <c r="I636" s="137">
        <v>1.3354409937486723E-3</v>
      </c>
      <c r="J636" s="137">
        <v>4.3863837297263251E-3</v>
      </c>
    </row>
    <row r="637" spans="1:10">
      <c r="A637" s="68">
        <v>0.01</v>
      </c>
      <c r="B637" s="69">
        <f t="shared" si="18"/>
        <v>1E-4</v>
      </c>
      <c r="C637" s="70">
        <f t="shared" si="19"/>
        <v>1.923076923076923E-6</v>
      </c>
      <c r="F637" s="71">
        <v>42055</v>
      </c>
      <c r="G637" s="69">
        <v>-2.0690909750433317E-3</v>
      </c>
      <c r="H637" s="137">
        <v>-1.1204776488363093E-3</v>
      </c>
      <c r="I637" s="137">
        <v>1.095593462035525E-3</v>
      </c>
      <c r="J637" s="137">
        <v>2.147274470858876E-3</v>
      </c>
    </row>
    <row r="638" spans="1:10">
      <c r="A638" s="68">
        <v>0.02</v>
      </c>
      <c r="B638" s="69">
        <f t="shared" si="18"/>
        <v>2.0000000000000001E-4</v>
      </c>
      <c r="C638" s="70">
        <f t="shared" si="19"/>
        <v>3.8461538461538459E-6</v>
      </c>
      <c r="F638" s="71">
        <v>42062</v>
      </c>
      <c r="G638" s="69">
        <v>4.3070905442252902E-3</v>
      </c>
      <c r="H638" s="137">
        <v>-1.6207793705119201E-3</v>
      </c>
      <c r="I638" s="137">
        <v>-8.9494925383035023E-3</v>
      </c>
      <c r="J638" s="137">
        <v>4.1486363772711751E-3</v>
      </c>
    </row>
    <row r="639" spans="1:10">
      <c r="A639" s="68">
        <v>0.02</v>
      </c>
      <c r="B639" s="69">
        <f t="shared" si="18"/>
        <v>2.0000000000000001E-4</v>
      </c>
      <c r="C639" s="70">
        <f t="shared" si="19"/>
        <v>3.8461538461538459E-6</v>
      </c>
      <c r="F639" s="71">
        <v>42069</v>
      </c>
      <c r="G639" s="69">
        <v>-1.4344647133787939E-2</v>
      </c>
      <c r="H639" s="137">
        <v>-4.0942519787474152E-2</v>
      </c>
      <c r="I639" s="137">
        <v>-1.9776433250735866E-2</v>
      </c>
      <c r="J639" s="137">
        <v>1.0432390643422136E-2</v>
      </c>
    </row>
    <row r="640" spans="1:10">
      <c r="A640" s="68">
        <v>0.02</v>
      </c>
      <c r="B640" s="69">
        <f t="shared" si="18"/>
        <v>2.0000000000000001E-4</v>
      </c>
      <c r="C640" s="70">
        <f t="shared" si="19"/>
        <v>3.8461538461538459E-6</v>
      </c>
      <c r="F640" s="71">
        <v>42076</v>
      </c>
      <c r="G640" s="69">
        <v>5.6209451539961065E-4</v>
      </c>
      <c r="H640" s="137">
        <v>-2.9547322681453384E-2</v>
      </c>
      <c r="I640" s="137">
        <v>-1.6592500368029506E-2</v>
      </c>
      <c r="J640" s="137">
        <v>-2.1483259934128397E-2</v>
      </c>
    </row>
    <row r="641" spans="1:10">
      <c r="A641" s="68">
        <v>0.03</v>
      </c>
      <c r="B641" s="69">
        <f t="shared" si="18"/>
        <v>2.9999999999999997E-4</v>
      </c>
      <c r="C641" s="70">
        <f t="shared" si="19"/>
        <v>5.7692307692307689E-6</v>
      </c>
      <c r="F641" s="71">
        <v>42083</v>
      </c>
      <c r="G641" s="69">
        <v>1.3411672750118814E-2</v>
      </c>
      <c r="H641" s="137">
        <v>5.4524191814143759E-2</v>
      </c>
      <c r="I641" s="137">
        <v>4.392728516253621E-2</v>
      </c>
      <c r="J641" s="137">
        <v>3.3106883850674847E-2</v>
      </c>
    </row>
    <row r="642" spans="1:10">
      <c r="A642" s="68">
        <v>0.03</v>
      </c>
      <c r="B642" s="69">
        <f t="shared" si="18"/>
        <v>2.9999999999999997E-4</v>
      </c>
      <c r="C642" s="70">
        <f t="shared" si="19"/>
        <v>5.7692307692307689E-6</v>
      </c>
      <c r="F642" s="71">
        <v>42090</v>
      </c>
      <c r="G642" s="69">
        <v>-8.525335430286657E-4</v>
      </c>
      <c r="H642" s="137">
        <v>2.5474858299045235E-3</v>
      </c>
      <c r="I642" s="137">
        <v>-1.2942810826651323E-2</v>
      </c>
      <c r="J642" s="137">
        <v>1.0461095402119858E-2</v>
      </c>
    </row>
    <row r="643" spans="1:10">
      <c r="A643" s="68">
        <v>0.03</v>
      </c>
      <c r="B643" s="69">
        <f t="shared" si="18"/>
        <v>2.9999999999999997E-4</v>
      </c>
      <c r="C643" s="70">
        <f t="shared" si="19"/>
        <v>5.7692307692307689E-6</v>
      </c>
      <c r="F643" s="71">
        <v>42097</v>
      </c>
      <c r="G643" s="69">
        <v>3.7346685044056752E-3</v>
      </c>
      <c r="H643" s="137">
        <v>-8.6258890578741693E-4</v>
      </c>
      <c r="I643" s="137">
        <v>9.8750681283289749E-3</v>
      </c>
      <c r="J643" s="137">
        <v>1.4132015702710995E-2</v>
      </c>
    </row>
    <row r="644" spans="1:10">
      <c r="A644" s="68">
        <v>0.03</v>
      </c>
      <c r="B644" s="69">
        <f t="shared" si="18"/>
        <v>2.9999999999999997E-4</v>
      </c>
      <c r="C644" s="70">
        <f t="shared" si="19"/>
        <v>5.7692307692307689E-6</v>
      </c>
      <c r="F644" s="71">
        <v>42104</v>
      </c>
      <c r="G644" s="69">
        <v>-3.8554152528199825E-3</v>
      </c>
      <c r="H644" s="137">
        <v>1.2660953928285049E-2</v>
      </c>
      <c r="I644" s="137">
        <v>7.7526755084899564E-3</v>
      </c>
      <c r="J644" s="137">
        <v>4.3935326238421467E-2</v>
      </c>
    </row>
    <row r="645" spans="1:10">
      <c r="A645" s="68">
        <v>0.03</v>
      </c>
      <c r="B645" s="69">
        <f t="shared" si="18"/>
        <v>2.9999999999999997E-4</v>
      </c>
      <c r="C645" s="70">
        <f t="shared" si="19"/>
        <v>5.7692307692307689E-6</v>
      </c>
      <c r="F645" s="71">
        <v>42111</v>
      </c>
      <c r="G645" s="69">
        <v>5.7538212612986261E-3</v>
      </c>
      <c r="H645" s="137">
        <v>-8.841455225744758E-4</v>
      </c>
      <c r="I645" s="137">
        <v>1.4315104937416891E-2</v>
      </c>
      <c r="J645" s="137">
        <v>-1.8633783766801282E-4</v>
      </c>
    </row>
    <row r="646" spans="1:10">
      <c r="A646" s="68">
        <v>0.02</v>
      </c>
      <c r="B646" s="69">
        <f t="shared" ref="B646:B709" si="20">+A646/100</f>
        <v>2.0000000000000001E-4</v>
      </c>
      <c r="C646" s="70">
        <f t="shared" ref="C646:C709" si="21">+B646/52</f>
        <v>3.8461538461538459E-6</v>
      </c>
      <c r="F646" s="71">
        <v>42118</v>
      </c>
      <c r="G646" s="69">
        <v>8.0154978054663084E-4</v>
      </c>
      <c r="H646" s="137">
        <v>2.0892123224481914E-2</v>
      </c>
      <c r="I646" s="137">
        <v>1.2229134939131702E-2</v>
      </c>
      <c r="J646" s="137">
        <v>2.2118181250520258E-2</v>
      </c>
    </row>
    <row r="647" spans="1:10">
      <c r="A647" s="68">
        <v>0.03</v>
      </c>
      <c r="B647" s="69">
        <f t="shared" si="20"/>
        <v>2.9999999999999997E-4</v>
      </c>
      <c r="C647" s="70">
        <f t="shared" si="21"/>
        <v>5.7692307692307689E-6</v>
      </c>
      <c r="F647" s="71">
        <v>42125</v>
      </c>
      <c r="G647" s="69">
        <v>-7.0474275109217418E-3</v>
      </c>
      <c r="H647" s="137">
        <v>-3.3589161562012802E-3</v>
      </c>
      <c r="I647" s="137">
        <v>-1.9676002557343919E-2</v>
      </c>
      <c r="J647" s="137">
        <v>-2.3222838191508173E-2</v>
      </c>
    </row>
    <row r="648" spans="1:10">
      <c r="A648" s="68">
        <v>0.01</v>
      </c>
      <c r="B648" s="69">
        <f t="shared" si="20"/>
        <v>1E-4</v>
      </c>
      <c r="C648" s="70">
        <f t="shared" si="21"/>
        <v>1.923076923076923E-6</v>
      </c>
      <c r="F648" s="71">
        <v>42132</v>
      </c>
      <c r="G648" s="69">
        <v>-1.1530165023989304E-3</v>
      </c>
      <c r="H648" s="137">
        <v>9.3588571307724171E-3</v>
      </c>
      <c r="I648" s="137">
        <v>-1.0040154376284289E-2</v>
      </c>
      <c r="J648" s="137">
        <v>-1.6308136051973079E-2</v>
      </c>
    </row>
    <row r="649" spans="1:10">
      <c r="A649" s="68">
        <v>0.01</v>
      </c>
      <c r="B649" s="69">
        <f t="shared" si="20"/>
        <v>1E-4</v>
      </c>
      <c r="C649" s="70">
        <f t="shared" si="21"/>
        <v>1.923076923076923E-6</v>
      </c>
      <c r="F649" s="71">
        <v>42139</v>
      </c>
      <c r="G649" s="69">
        <v>3.2846542707842129E-3</v>
      </c>
      <c r="H649" s="137">
        <v>2.340126284709005E-2</v>
      </c>
      <c r="I649" s="137">
        <v>8.2103061725653879E-3</v>
      </c>
      <c r="J649" s="137">
        <v>1.9842974344427514E-2</v>
      </c>
    </row>
    <row r="650" spans="1:10">
      <c r="A650" s="68">
        <v>0.02</v>
      </c>
      <c r="B650" s="69">
        <f t="shared" si="20"/>
        <v>2.0000000000000001E-4</v>
      </c>
      <c r="C650" s="70">
        <f t="shared" si="21"/>
        <v>3.8461538461538459E-6</v>
      </c>
      <c r="F650" s="71">
        <v>42146</v>
      </c>
      <c r="G650" s="69">
        <v>-9.7366287578620897E-3</v>
      </c>
      <c r="H650" s="137">
        <v>-1.56700835794196E-2</v>
      </c>
      <c r="I650" s="137">
        <v>-9.9654914255296167E-3</v>
      </c>
      <c r="J650" s="137">
        <v>-7.9933341744098108E-3</v>
      </c>
    </row>
    <row r="651" spans="1:10">
      <c r="A651" s="68">
        <v>0.02</v>
      </c>
      <c r="B651" s="69">
        <f t="shared" si="20"/>
        <v>2.0000000000000001E-4</v>
      </c>
      <c r="C651" s="70">
        <f t="shared" si="21"/>
        <v>3.8461538461538459E-6</v>
      </c>
      <c r="F651" s="71">
        <v>42153</v>
      </c>
      <c r="G651" s="69">
        <v>7.8867858381737586E-4</v>
      </c>
      <c r="H651" s="137">
        <v>-1.2646952333732184E-2</v>
      </c>
      <c r="I651" s="137">
        <v>-1.7641390685718929E-2</v>
      </c>
      <c r="J651" s="137">
        <v>-4.0497884402802102E-3</v>
      </c>
    </row>
    <row r="652" spans="1:10">
      <c r="A652" s="68">
        <v>0.01</v>
      </c>
      <c r="B652" s="69">
        <f t="shared" si="20"/>
        <v>1E-4</v>
      </c>
      <c r="C652" s="70">
        <f t="shared" si="21"/>
        <v>1.923076923076923E-6</v>
      </c>
      <c r="F652" s="71">
        <v>42160</v>
      </c>
      <c r="G652" s="69">
        <v>-1.3748043279492101E-2</v>
      </c>
      <c r="H652" s="137">
        <v>-3.9064296382108704E-2</v>
      </c>
      <c r="I652" s="137">
        <v>-2.8935879454445434E-2</v>
      </c>
      <c r="J652" s="137">
        <v>-2.7645086029457363E-2</v>
      </c>
    </row>
    <row r="653" spans="1:10">
      <c r="A653" s="68">
        <v>0.02</v>
      </c>
      <c r="B653" s="69">
        <f t="shared" si="20"/>
        <v>2.0000000000000001E-4</v>
      </c>
      <c r="C653" s="70">
        <f t="shared" si="21"/>
        <v>3.8461538461538459E-6</v>
      </c>
      <c r="F653" s="71">
        <v>42167</v>
      </c>
      <c r="G653" s="69">
        <v>4.661751644577705E-3</v>
      </c>
      <c r="H653" s="137">
        <v>1.4876598348239125E-2</v>
      </c>
      <c r="I653" s="137">
        <v>-1.2422029961110808E-2</v>
      </c>
      <c r="J653" s="137">
        <v>-3.5913318854369092E-3</v>
      </c>
    </row>
    <row r="654" spans="1:10">
      <c r="A654" s="68">
        <v>0.02</v>
      </c>
      <c r="B654" s="69">
        <f t="shared" si="20"/>
        <v>2.0000000000000001E-4</v>
      </c>
      <c r="C654" s="70">
        <f t="shared" si="21"/>
        <v>3.8461538461538459E-6</v>
      </c>
      <c r="F654" s="71">
        <v>42174</v>
      </c>
      <c r="G654" s="69">
        <v>5.7431366182205011E-3</v>
      </c>
      <c r="H654" s="137">
        <v>6.9155714247281638E-3</v>
      </c>
      <c r="I654" s="137">
        <v>1.471766710893607E-2</v>
      </c>
      <c r="J654" s="137">
        <v>-6.514709848284183E-3</v>
      </c>
    </row>
    <row r="655" spans="1:10">
      <c r="A655" s="68">
        <v>0.01</v>
      </c>
      <c r="B655" s="69">
        <f t="shared" si="20"/>
        <v>1E-4</v>
      </c>
      <c r="C655" s="70">
        <f t="shared" si="21"/>
        <v>1.923076923076923E-6</v>
      </c>
      <c r="F655" s="71">
        <v>42181</v>
      </c>
      <c r="G655" s="69">
        <v>-1.0453909402542627E-2</v>
      </c>
      <c r="H655" s="137">
        <v>5.959013764349143E-4</v>
      </c>
      <c r="I655" s="137">
        <v>2.5462241245082814E-3</v>
      </c>
      <c r="J655" s="137">
        <v>-1.981292351059347E-2</v>
      </c>
    </row>
    <row r="656" spans="1:10">
      <c r="A656" s="68">
        <v>0.01</v>
      </c>
      <c r="B656" s="69">
        <f t="shared" si="20"/>
        <v>1E-4</v>
      </c>
      <c r="C656" s="70">
        <f t="shared" si="21"/>
        <v>1.923076923076923E-6</v>
      </c>
      <c r="F656" s="71">
        <v>42188</v>
      </c>
      <c r="G656" s="69">
        <v>2.0826404951621528E-3</v>
      </c>
      <c r="H656" s="137">
        <v>-3.9060928811273772E-2</v>
      </c>
      <c r="I656" s="137">
        <v>-9.5258843649152561E-3</v>
      </c>
      <c r="J656" s="137">
        <v>-8.0274951561634719E-3</v>
      </c>
    </row>
    <row r="657" spans="1:10">
      <c r="A657" s="68">
        <v>0.01</v>
      </c>
      <c r="B657" s="69">
        <f t="shared" si="20"/>
        <v>1E-4</v>
      </c>
      <c r="C657" s="70">
        <f t="shared" si="21"/>
        <v>1.923076923076923E-6</v>
      </c>
      <c r="F657" s="71">
        <v>42195</v>
      </c>
      <c r="G657" s="69">
        <v>-3.3489380777928986E-4</v>
      </c>
      <c r="H657" s="137">
        <v>2.3949248019049626E-2</v>
      </c>
      <c r="I657" s="137">
        <v>-3.7497771128796268E-3</v>
      </c>
      <c r="J657" s="137">
        <v>-3.5992754558288369E-2</v>
      </c>
    </row>
    <row r="658" spans="1:10">
      <c r="A658" s="68">
        <v>0.02</v>
      </c>
      <c r="B658" s="69">
        <f t="shared" si="20"/>
        <v>2.0000000000000001E-4</v>
      </c>
      <c r="C658" s="70">
        <f t="shared" si="21"/>
        <v>3.8461538461538459E-6</v>
      </c>
      <c r="F658" s="71">
        <v>42202</v>
      </c>
      <c r="G658" s="69">
        <v>2.7185596536921579E-3</v>
      </c>
      <c r="H658" s="137">
        <v>4.8572084202263876E-3</v>
      </c>
      <c r="I658" s="137">
        <v>1.2342406252711883E-3</v>
      </c>
      <c r="J658" s="137">
        <v>2.8778266973308021E-2</v>
      </c>
    </row>
    <row r="659" spans="1:10">
      <c r="A659" s="68">
        <v>0.02</v>
      </c>
      <c r="B659" s="69">
        <f t="shared" si="20"/>
        <v>2.0000000000000001E-4</v>
      </c>
      <c r="C659" s="70">
        <f t="shared" si="21"/>
        <v>3.8461538461538459E-6</v>
      </c>
      <c r="F659" s="71">
        <v>42209</v>
      </c>
      <c r="G659" s="69">
        <v>2.0630542624162545E-3</v>
      </c>
      <c r="H659" s="137">
        <v>-1.4381901101683338E-2</v>
      </c>
      <c r="I659" s="137">
        <v>-3.6236089543183726E-2</v>
      </c>
      <c r="J659" s="137">
        <v>-1.0107258622483711E-2</v>
      </c>
    </row>
    <row r="660" spans="1:10">
      <c r="A660" s="68">
        <v>0.04</v>
      </c>
      <c r="B660" s="69">
        <f t="shared" si="20"/>
        <v>4.0000000000000002E-4</v>
      </c>
      <c r="C660" s="70">
        <f t="shared" si="21"/>
        <v>7.6923076923076919E-6</v>
      </c>
      <c r="F660" s="71">
        <v>42216</v>
      </c>
      <c r="G660" s="69">
        <v>4.710118816575605E-3</v>
      </c>
      <c r="H660" s="137">
        <v>1.3414636414389234E-2</v>
      </c>
      <c r="I660" s="137">
        <v>1.8938378419897664E-2</v>
      </c>
      <c r="J660" s="137">
        <v>9.0288810533710375E-3</v>
      </c>
    </row>
    <row r="661" spans="1:10">
      <c r="A661" s="68">
        <v>0.06</v>
      </c>
      <c r="B661" s="69">
        <f t="shared" si="20"/>
        <v>5.9999999999999995E-4</v>
      </c>
      <c r="C661" s="70">
        <f t="shared" si="21"/>
        <v>1.1538461538461538E-5</v>
      </c>
      <c r="F661" s="71">
        <v>42223</v>
      </c>
      <c r="G661" s="69">
        <v>-2.3072662084021806E-3</v>
      </c>
      <c r="H661" s="137">
        <v>-6.8910871184971294E-3</v>
      </c>
      <c r="I661" s="137">
        <v>-2.2840149519891384E-2</v>
      </c>
      <c r="J661" s="137">
        <v>1.4838474935578267E-3</v>
      </c>
    </row>
    <row r="662" spans="1:10">
      <c r="A662" s="68">
        <v>7.0000000000000007E-2</v>
      </c>
      <c r="B662" s="69">
        <f t="shared" si="20"/>
        <v>7.000000000000001E-4</v>
      </c>
      <c r="C662" s="70">
        <f t="shared" si="21"/>
        <v>1.3461538461538463E-5</v>
      </c>
      <c r="F662" s="71">
        <v>42230</v>
      </c>
      <c r="G662" s="69">
        <v>6.5837104825506654E-4</v>
      </c>
      <c r="H662" s="137">
        <v>1.4161377155847185E-2</v>
      </c>
      <c r="I662" s="137">
        <v>3.1033016001587657E-2</v>
      </c>
      <c r="J662" s="137">
        <v>-1.8796479212301223E-2</v>
      </c>
    </row>
    <row r="663" spans="1:10">
      <c r="A663" s="68">
        <v>0.1</v>
      </c>
      <c r="B663" s="69">
        <f t="shared" si="20"/>
        <v>1E-3</v>
      </c>
      <c r="C663" s="70">
        <f t="shared" si="21"/>
        <v>1.9230769230769231E-5</v>
      </c>
      <c r="F663" s="71">
        <v>42237</v>
      </c>
      <c r="G663" s="69">
        <v>2.9886814844084677E-3</v>
      </c>
      <c r="H663" s="137">
        <v>-2.5991180318394719E-2</v>
      </c>
      <c r="I663" s="137">
        <v>-4.9979185894092018E-2</v>
      </c>
      <c r="J663" s="137">
        <v>-4.411822649079359E-2</v>
      </c>
    </row>
    <row r="664" spans="1:10">
      <c r="A664" s="68">
        <v>0.05</v>
      </c>
      <c r="B664" s="69">
        <f t="shared" si="20"/>
        <v>5.0000000000000001E-4</v>
      </c>
      <c r="C664" s="70">
        <f t="shared" si="21"/>
        <v>9.6153846153846157E-6</v>
      </c>
      <c r="F664" s="71">
        <v>42244</v>
      </c>
      <c r="G664" s="69">
        <v>-5.4747733228190775E-3</v>
      </c>
      <c r="H664" s="137">
        <v>-4.8586494869074766E-3</v>
      </c>
      <c r="I664" s="137">
        <v>-2.8885203188218434E-3</v>
      </c>
      <c r="J664" s="137">
        <v>-1.1901437991887431E-2</v>
      </c>
    </row>
    <row r="665" spans="1:10">
      <c r="A665" s="68">
        <v>0.06</v>
      </c>
      <c r="B665" s="69">
        <f t="shared" si="20"/>
        <v>5.9999999999999995E-4</v>
      </c>
      <c r="C665" s="70">
        <f t="shared" si="21"/>
        <v>1.1538461538461538E-5</v>
      </c>
      <c r="F665" s="71">
        <v>42251</v>
      </c>
      <c r="G665" s="69">
        <v>-2.6848451080929437E-4</v>
      </c>
      <c r="H665" s="137">
        <v>-2.6033330226610515E-2</v>
      </c>
      <c r="I665" s="137">
        <v>-4.3289801833714302E-2</v>
      </c>
      <c r="J665" s="137">
        <v>-3.9972195045193129E-2</v>
      </c>
    </row>
    <row r="666" spans="1:10">
      <c r="A666" s="68">
        <v>0.04</v>
      </c>
      <c r="B666" s="69">
        <f t="shared" si="20"/>
        <v>4.0000000000000002E-4</v>
      </c>
      <c r="C666" s="70">
        <f t="shared" si="21"/>
        <v>7.6923076923076919E-6</v>
      </c>
      <c r="F666" s="71">
        <v>42258</v>
      </c>
      <c r="G666" s="69">
        <v>1.7320275666890398E-3</v>
      </c>
      <c r="H666" s="137">
        <v>2.530588397247012E-2</v>
      </c>
      <c r="I666" s="137">
        <v>-1.6936418980854209E-2</v>
      </c>
      <c r="J666" s="137">
        <v>2.1562332916742557E-2</v>
      </c>
    </row>
    <row r="667" spans="1:10">
      <c r="A667" s="68">
        <v>0.04</v>
      </c>
      <c r="B667" s="69">
        <f t="shared" si="20"/>
        <v>4.0000000000000002E-4</v>
      </c>
      <c r="C667" s="70">
        <f t="shared" si="21"/>
        <v>7.6923076923076919E-6</v>
      </c>
      <c r="F667" s="71">
        <v>42265</v>
      </c>
      <c r="G667" s="69">
        <v>4.8655319191984207E-3</v>
      </c>
      <c r="H667" s="137">
        <v>1.612899986107225E-2</v>
      </c>
      <c r="I667" s="137">
        <v>2.0908484414026998E-2</v>
      </c>
      <c r="J667" s="137">
        <v>1.9266505878761685E-2</v>
      </c>
    </row>
    <row r="668" spans="1:10">
      <c r="A668" s="68">
        <v>0.04</v>
      </c>
      <c r="B668" s="69">
        <f t="shared" si="20"/>
        <v>4.0000000000000002E-4</v>
      </c>
      <c r="C668" s="70">
        <f t="shared" si="21"/>
        <v>7.6923076923076919E-6</v>
      </c>
      <c r="F668" s="71">
        <v>42272</v>
      </c>
      <c r="G668" s="69">
        <v>-6.8964440409985516E-3</v>
      </c>
      <c r="H668" s="137">
        <v>-4.21658797521906E-3</v>
      </c>
      <c r="I668" s="137">
        <v>-1.3874493334567896E-2</v>
      </c>
      <c r="J668" s="137">
        <v>-2.3596722865461446E-2</v>
      </c>
    </row>
    <row r="669" spans="1:10">
      <c r="A669" s="68">
        <v>0</v>
      </c>
      <c r="B669" s="69">
        <f t="shared" si="20"/>
        <v>0</v>
      </c>
      <c r="C669" s="70">
        <f t="shared" si="21"/>
        <v>0</v>
      </c>
      <c r="F669" s="71">
        <v>42279</v>
      </c>
      <c r="G669" s="69">
        <v>8.7879980368350194E-3</v>
      </c>
      <c r="H669" s="137">
        <v>2.7732860098940642E-2</v>
      </c>
      <c r="I669" s="137">
        <v>8.3963870092262725E-3</v>
      </c>
      <c r="J669" s="137">
        <v>-2.6312849377236602E-3</v>
      </c>
    </row>
    <row r="670" spans="1:10">
      <c r="A670" s="68">
        <v>0</v>
      </c>
      <c r="B670" s="69">
        <f t="shared" si="20"/>
        <v>0</v>
      </c>
      <c r="C670" s="70">
        <f t="shared" si="21"/>
        <v>0</v>
      </c>
      <c r="F670" s="71">
        <v>42286</v>
      </c>
      <c r="G670" s="69">
        <v>1.2328071753831594E-3</v>
      </c>
      <c r="H670" s="137">
        <v>1.7100741032111452E-2</v>
      </c>
      <c r="I670" s="137">
        <v>5.3737601903194245E-2</v>
      </c>
      <c r="J670" s="137">
        <v>5.3637508401381172E-2</v>
      </c>
    </row>
    <row r="671" spans="1:10">
      <c r="A671" s="68">
        <v>0</v>
      </c>
      <c r="B671" s="69">
        <f t="shared" si="20"/>
        <v>0</v>
      </c>
      <c r="C671" s="70">
        <f t="shared" si="21"/>
        <v>0</v>
      </c>
      <c r="F671" s="71">
        <v>42293</v>
      </c>
      <c r="G671" s="69">
        <v>4.9481364896516861E-3</v>
      </c>
      <c r="H671" s="137">
        <v>1.6598266358604962E-2</v>
      </c>
      <c r="I671" s="137">
        <v>3.0824203171089647E-3</v>
      </c>
      <c r="J671" s="137">
        <v>2.7225944886064321E-2</v>
      </c>
    </row>
    <row r="672" spans="1:10">
      <c r="A672" s="68">
        <v>0.01</v>
      </c>
      <c r="B672" s="69">
        <f t="shared" si="20"/>
        <v>1E-4</v>
      </c>
      <c r="C672" s="70">
        <f t="shared" si="21"/>
        <v>1.923076923076923E-6</v>
      </c>
      <c r="F672" s="71">
        <v>42300</v>
      </c>
      <c r="G672" s="69">
        <v>-3.39021919751084E-3</v>
      </c>
      <c r="H672" s="137">
        <v>-6.0112982179694073E-3</v>
      </c>
      <c r="I672" s="137">
        <v>-1.7482016061582943E-2</v>
      </c>
      <c r="J672" s="137">
        <v>1.9912494890307424E-2</v>
      </c>
    </row>
    <row r="673" spans="1:10">
      <c r="A673" s="68">
        <v>0.01</v>
      </c>
      <c r="B673" s="69">
        <f t="shared" si="20"/>
        <v>1E-4</v>
      </c>
      <c r="C673" s="70">
        <f t="shared" si="21"/>
        <v>1.923076923076923E-6</v>
      </c>
      <c r="F673" s="71">
        <v>42307</v>
      </c>
      <c r="G673" s="69">
        <v>-1.6752543399739402E-3</v>
      </c>
      <c r="H673" s="137">
        <v>-6.0780252731071488E-3</v>
      </c>
      <c r="I673" s="137">
        <v>-5.652665697716391E-3</v>
      </c>
      <c r="J673" s="137">
        <v>-1.6560866526231875E-2</v>
      </c>
    </row>
    <row r="674" spans="1:10">
      <c r="A674" s="68">
        <v>0.05</v>
      </c>
      <c r="B674" s="69">
        <f t="shared" si="20"/>
        <v>5.0000000000000001E-4</v>
      </c>
      <c r="C674" s="70">
        <f t="shared" si="21"/>
        <v>9.6153846153846157E-6</v>
      </c>
      <c r="F674" s="71">
        <v>42314</v>
      </c>
      <c r="G674" s="69">
        <v>-1.2486238136406175E-2</v>
      </c>
      <c r="H674" s="137">
        <v>-3.7649368167817096E-2</v>
      </c>
      <c r="I674" s="137">
        <v>-4.0016308898789814E-2</v>
      </c>
      <c r="J674" s="137">
        <v>-1.4222583510622288E-2</v>
      </c>
    </row>
    <row r="675" spans="1:10">
      <c r="A675" s="68">
        <v>0.06</v>
      </c>
      <c r="B675" s="69">
        <f t="shared" si="20"/>
        <v>5.9999999999999995E-4</v>
      </c>
      <c r="C675" s="70">
        <f t="shared" si="21"/>
        <v>1.1538461538461538E-5</v>
      </c>
      <c r="F675" s="71">
        <v>42321</v>
      </c>
      <c r="G675" s="69">
        <v>-4.8994304566232869E-5</v>
      </c>
      <c r="H675" s="137">
        <v>-8.9075081986369573E-3</v>
      </c>
      <c r="I675" s="137">
        <v>-3.5996271410867475E-2</v>
      </c>
      <c r="J675" s="137">
        <v>-1.6204216394134521E-2</v>
      </c>
    </row>
    <row r="676" spans="1:10">
      <c r="A676" s="68">
        <v>0.14000000000000001</v>
      </c>
      <c r="B676" s="69">
        <f t="shared" si="20"/>
        <v>1.4000000000000002E-3</v>
      </c>
      <c r="C676" s="70">
        <f t="shared" si="21"/>
        <v>2.6923076923076927E-5</v>
      </c>
      <c r="F676" s="71">
        <v>42328</v>
      </c>
      <c r="G676" s="69">
        <v>4.1446299737299937E-3</v>
      </c>
      <c r="H676" s="137">
        <v>2.6386763498395388E-2</v>
      </c>
      <c r="I676" s="137">
        <v>2.3824635403570566E-2</v>
      </c>
      <c r="J676" s="137">
        <v>3.1639911785099756E-2</v>
      </c>
    </row>
    <row r="677" spans="1:10">
      <c r="A677" s="68">
        <v>0.13</v>
      </c>
      <c r="B677" s="69">
        <f t="shared" si="20"/>
        <v>1.2999999999999999E-3</v>
      </c>
      <c r="C677" s="70">
        <f t="shared" si="21"/>
        <v>2.4999999999999998E-5</v>
      </c>
      <c r="F677" s="71">
        <v>42335</v>
      </c>
      <c r="G677" s="69">
        <v>4.7859153664077153E-4</v>
      </c>
      <c r="H677" s="137">
        <v>-1.4228696494163504E-2</v>
      </c>
      <c r="I677" s="137">
        <v>-9.4418061011768695E-3</v>
      </c>
      <c r="J677" s="137">
        <v>-1.9246501499595604E-2</v>
      </c>
    </row>
    <row r="678" spans="1:10">
      <c r="A678" s="68">
        <v>0.17</v>
      </c>
      <c r="B678" s="69">
        <f t="shared" si="20"/>
        <v>1.7000000000000001E-3</v>
      </c>
      <c r="C678" s="70">
        <f t="shared" si="21"/>
        <v>3.2692307692307693E-5</v>
      </c>
      <c r="F678" s="71">
        <v>42342</v>
      </c>
      <c r="G678" s="69">
        <v>-2.2170605792826102E-4</v>
      </c>
      <c r="H678" s="137">
        <v>-4.2059946642426784E-3</v>
      </c>
      <c r="I678" s="137">
        <v>-5.2181340290149016E-2</v>
      </c>
      <c r="J678" s="137">
        <v>-9.888064645551406E-3</v>
      </c>
    </row>
    <row r="679" spans="1:10">
      <c r="A679" s="68">
        <v>0.21</v>
      </c>
      <c r="B679" s="69">
        <f t="shared" si="20"/>
        <v>2.0999999999999999E-3</v>
      </c>
      <c r="C679" s="70">
        <f t="shared" si="21"/>
        <v>4.0384615384615382E-5</v>
      </c>
      <c r="F679" s="71">
        <v>42349</v>
      </c>
      <c r="G679" s="69">
        <v>4.1279716549741403E-3</v>
      </c>
      <c r="H679" s="137">
        <v>-1.0585679726201417E-2</v>
      </c>
      <c r="I679" s="137">
        <v>-4.337402618208442E-2</v>
      </c>
      <c r="J679" s="137">
        <v>-2.3258891004632298E-2</v>
      </c>
    </row>
    <row r="680" spans="1:10">
      <c r="A680" s="68">
        <v>0.26</v>
      </c>
      <c r="B680" s="69">
        <f t="shared" si="20"/>
        <v>2.5999999999999999E-3</v>
      </c>
      <c r="C680" s="70">
        <f t="shared" si="21"/>
        <v>4.9999999999999996E-5</v>
      </c>
      <c r="F680" s="71">
        <v>42356</v>
      </c>
      <c r="G680" s="69">
        <v>-5.0890856763811682E-3</v>
      </c>
      <c r="H680" s="137">
        <v>-4.4281454733585621E-3</v>
      </c>
      <c r="I680" s="137">
        <v>-1.0645847107606458E-3</v>
      </c>
      <c r="J680" s="137">
        <v>-6.917833752582008E-3</v>
      </c>
    </row>
    <row r="681" spans="1:10">
      <c r="A681" s="68">
        <v>0.24</v>
      </c>
      <c r="B681" s="69">
        <f t="shared" si="20"/>
        <v>2.3999999999999998E-3</v>
      </c>
      <c r="C681" s="70">
        <f t="shared" si="21"/>
        <v>4.6153846153846151E-5</v>
      </c>
      <c r="F681" s="71">
        <v>42363</v>
      </c>
      <c r="G681" s="69">
        <v>1.8142221805515361E-3</v>
      </c>
      <c r="H681" s="137">
        <v>1.5479548658897446E-2</v>
      </c>
      <c r="I681" s="137">
        <v>3.9787331944830799E-2</v>
      </c>
      <c r="J681" s="137">
        <v>1.9747169081286785E-2</v>
      </c>
    </row>
    <row r="682" spans="1:10">
      <c r="A682" s="68">
        <v>0.21</v>
      </c>
      <c r="B682" s="69">
        <f t="shared" si="20"/>
        <v>2.0999999999999999E-3</v>
      </c>
      <c r="C682" s="70">
        <f t="shared" si="21"/>
        <v>4.0384615384615382E-5</v>
      </c>
      <c r="F682" s="71">
        <v>42370</v>
      </c>
      <c r="G682" s="69">
        <v>-1.7943246445307765E-3</v>
      </c>
      <c r="H682" s="137">
        <v>-7.6325460565716298E-3</v>
      </c>
      <c r="I682" s="137">
        <v>-1.2608199822441105E-2</v>
      </c>
      <c r="J682" s="137">
        <v>1.3263040072573474E-2</v>
      </c>
    </row>
    <row r="683" spans="1:10">
      <c r="A683" s="68">
        <v>0.21</v>
      </c>
      <c r="B683" s="69">
        <f t="shared" si="20"/>
        <v>2.0999999999999999E-3</v>
      </c>
      <c r="C683" s="70">
        <f t="shared" si="21"/>
        <v>4.0384615384615382E-5</v>
      </c>
      <c r="F683" s="71">
        <v>42377</v>
      </c>
      <c r="G683" s="69">
        <v>1.9017666770445715E-3</v>
      </c>
      <c r="H683" s="137">
        <v>-2.3141588750688311E-2</v>
      </c>
      <c r="I683" s="137">
        <v>-3.4255444039436131E-2</v>
      </c>
      <c r="J683" s="137">
        <v>-6.783947137337544E-2</v>
      </c>
    </row>
    <row r="684" spans="1:10">
      <c r="A684" s="68">
        <v>0.21</v>
      </c>
      <c r="B684" s="69">
        <f t="shared" si="20"/>
        <v>2.0999999999999999E-3</v>
      </c>
      <c r="C684" s="70">
        <f t="shared" si="21"/>
        <v>4.0384615384615382E-5</v>
      </c>
      <c r="F684" s="71">
        <v>42384</v>
      </c>
      <c r="G684" s="69">
        <v>6.063247524341227E-4</v>
      </c>
      <c r="H684" s="137">
        <v>-2.4239413281586991E-2</v>
      </c>
      <c r="I684" s="137">
        <v>-3.7556711098066221E-2</v>
      </c>
      <c r="J684" s="137">
        <v>-2.6649933382969587E-2</v>
      </c>
    </row>
    <row r="685" spans="1:10">
      <c r="A685" s="68">
        <v>0.22</v>
      </c>
      <c r="B685" s="69">
        <f t="shared" si="20"/>
        <v>2.2000000000000001E-3</v>
      </c>
      <c r="C685" s="70">
        <f t="shared" si="21"/>
        <v>4.2307692307692307E-5</v>
      </c>
      <c r="F685" s="71">
        <v>42391</v>
      </c>
      <c r="G685" s="69">
        <v>-2.3637844719619958E-3</v>
      </c>
      <c r="H685" s="137">
        <v>1.1063961711491606E-2</v>
      </c>
      <c r="I685" s="137">
        <v>5.7669066659608172E-2</v>
      </c>
      <c r="J685" s="137">
        <v>-5.1464387464387829E-3</v>
      </c>
    </row>
    <row r="686" spans="1:10">
      <c r="A686" s="68">
        <v>0.28000000000000003</v>
      </c>
      <c r="B686" s="69">
        <f t="shared" si="20"/>
        <v>2.8000000000000004E-3</v>
      </c>
      <c r="C686" s="70">
        <f t="shared" si="21"/>
        <v>5.3846153846153853E-5</v>
      </c>
      <c r="F686" s="71">
        <v>42398</v>
      </c>
      <c r="G686" s="69">
        <v>4.6788723145705646E-3</v>
      </c>
      <c r="H686" s="137">
        <v>2.7890391882166042E-2</v>
      </c>
      <c r="I686" s="137">
        <v>3.2331749055574899E-2</v>
      </c>
      <c r="J686" s="137">
        <v>1.677136663081993E-2</v>
      </c>
    </row>
    <row r="687" spans="1:10">
      <c r="A687" s="68">
        <v>0.32</v>
      </c>
      <c r="B687" s="69">
        <f t="shared" si="20"/>
        <v>3.2000000000000002E-3</v>
      </c>
      <c r="C687" s="70">
        <f t="shared" si="21"/>
        <v>6.1538461538461535E-5</v>
      </c>
      <c r="F687" s="71">
        <v>42405</v>
      </c>
      <c r="G687" s="69">
        <v>6.5063154896607602E-3</v>
      </c>
      <c r="H687" s="137">
        <v>-1.7544193352335975E-4</v>
      </c>
      <c r="I687" s="137">
        <v>-1.00861239708591E-2</v>
      </c>
      <c r="J687" s="137">
        <v>3.5398065711920675E-3</v>
      </c>
    </row>
    <row r="688" spans="1:10">
      <c r="A688" s="68">
        <v>0.32</v>
      </c>
      <c r="B688" s="69">
        <f t="shared" si="20"/>
        <v>3.2000000000000002E-3</v>
      </c>
      <c r="C688" s="70">
        <f t="shared" si="21"/>
        <v>6.1538461538461535E-5</v>
      </c>
      <c r="F688" s="71">
        <v>42412</v>
      </c>
      <c r="G688" s="69">
        <v>3.0133188343128155E-3</v>
      </c>
      <c r="H688" s="137">
        <v>-3.6687008187645129E-2</v>
      </c>
      <c r="I688" s="137">
        <v>-3.6679409367212069E-2</v>
      </c>
      <c r="J688" s="137">
        <v>-2.6869746233148251E-2</v>
      </c>
    </row>
    <row r="689" spans="1:10">
      <c r="A689" s="68">
        <v>0.3</v>
      </c>
      <c r="B689" s="69">
        <f t="shared" si="20"/>
        <v>3.0000000000000001E-3</v>
      </c>
      <c r="C689" s="70">
        <f t="shared" si="21"/>
        <v>5.7692307692307691E-5</v>
      </c>
      <c r="F689" s="71">
        <v>42419</v>
      </c>
      <c r="G689" s="69">
        <v>3.6147637212726731E-3</v>
      </c>
      <c r="H689" s="137">
        <v>1.8263547502394627E-2</v>
      </c>
      <c r="I689" s="137">
        <v>3.5670851980421331E-2</v>
      </c>
      <c r="J689" s="137">
        <v>4.9926417732317728E-2</v>
      </c>
    </row>
    <row r="690" spans="1:10">
      <c r="A690" s="68">
        <v>0.3</v>
      </c>
      <c r="B690" s="69">
        <f t="shared" si="20"/>
        <v>3.0000000000000001E-3</v>
      </c>
      <c r="C690" s="70">
        <f t="shared" si="21"/>
        <v>5.7692307692307691E-5</v>
      </c>
      <c r="F690" s="71">
        <v>42426</v>
      </c>
      <c r="G690" s="69">
        <v>-6.5152967475449943E-4</v>
      </c>
      <c r="H690" s="137">
        <v>-1.2968487382675276E-2</v>
      </c>
      <c r="I690" s="137">
        <v>2.2744202351200626E-2</v>
      </c>
      <c r="J690" s="137">
        <v>7.0939022344484589E-3</v>
      </c>
    </row>
    <row r="691" spans="1:10">
      <c r="A691" s="68">
        <v>0.32</v>
      </c>
      <c r="B691" s="69">
        <f t="shared" si="20"/>
        <v>3.2000000000000002E-3</v>
      </c>
      <c r="C691" s="70">
        <f t="shared" si="21"/>
        <v>6.1538461538461535E-5</v>
      </c>
      <c r="F691" s="71">
        <v>42433</v>
      </c>
      <c r="G691" s="69">
        <v>3.3460036623428483E-3</v>
      </c>
      <c r="H691" s="137">
        <v>1.450975578321591E-2</v>
      </c>
      <c r="I691" s="137">
        <v>3.9372346044383007E-2</v>
      </c>
      <c r="J691" s="137">
        <v>3.9293110487085586E-2</v>
      </c>
    </row>
    <row r="692" spans="1:10">
      <c r="A692" s="68">
        <v>0.31</v>
      </c>
      <c r="B692" s="69">
        <f t="shared" si="20"/>
        <v>3.0999999999999999E-3</v>
      </c>
      <c r="C692" s="70">
        <f t="shared" si="21"/>
        <v>5.9615384615384616E-5</v>
      </c>
      <c r="F692" s="71">
        <v>42440</v>
      </c>
      <c r="G692" s="69">
        <v>2.3764472333304373E-3</v>
      </c>
      <c r="H692" s="137">
        <v>2.9609366755669306E-2</v>
      </c>
      <c r="I692" s="137">
        <v>7.6013636328664692E-3</v>
      </c>
      <c r="J692" s="137">
        <v>-8.566083117665579E-4</v>
      </c>
    </row>
    <row r="693" spans="1:10">
      <c r="A693" s="68">
        <v>0.31</v>
      </c>
      <c r="B693" s="69">
        <f t="shared" si="20"/>
        <v>3.0999999999999999E-3</v>
      </c>
      <c r="C693" s="70">
        <f t="shared" si="21"/>
        <v>5.9615384615384616E-5</v>
      </c>
      <c r="F693" s="71">
        <v>42447</v>
      </c>
      <c r="G693" s="69">
        <v>1.2255095518085672E-2</v>
      </c>
      <c r="H693" s="137">
        <v>2.5574148021754117E-2</v>
      </c>
      <c r="I693" s="137">
        <v>1.9727346747500343E-2</v>
      </c>
      <c r="J693" s="137">
        <v>5.6425018556638768E-3</v>
      </c>
    </row>
    <row r="694" spans="1:10">
      <c r="A694" s="68">
        <v>0.31</v>
      </c>
      <c r="B694" s="69">
        <f t="shared" si="20"/>
        <v>3.0999999999999999E-3</v>
      </c>
      <c r="C694" s="70">
        <f t="shared" si="21"/>
        <v>5.9615384615384616E-5</v>
      </c>
      <c r="F694" s="71">
        <v>42454</v>
      </c>
      <c r="G694" s="69">
        <v>-4.4926435903071401E-3</v>
      </c>
      <c r="H694" s="137">
        <v>-1.5531985550706322E-2</v>
      </c>
      <c r="I694" s="137">
        <v>-1.0505948346236763E-2</v>
      </c>
      <c r="J694" s="137">
        <v>5.1777082946709763E-4</v>
      </c>
    </row>
    <row r="695" spans="1:10">
      <c r="A695" s="68">
        <v>0.3</v>
      </c>
      <c r="B695" s="69">
        <f t="shared" si="20"/>
        <v>3.0000000000000001E-3</v>
      </c>
      <c r="C695" s="70">
        <f t="shared" si="21"/>
        <v>5.7692307692307691E-5</v>
      </c>
      <c r="F695" s="71">
        <v>42461</v>
      </c>
      <c r="G695" s="69">
        <v>7.4622535366983466E-3</v>
      </c>
      <c r="H695" s="137">
        <v>7.7689028650929125E-3</v>
      </c>
      <c r="I695" s="137">
        <v>1.374800352969213E-2</v>
      </c>
      <c r="J695" s="137">
        <v>4.4794049509010621E-3</v>
      </c>
    </row>
    <row r="696" spans="1:10">
      <c r="A696" s="68">
        <v>0.23</v>
      </c>
      <c r="B696" s="69">
        <f t="shared" si="20"/>
        <v>2.3E-3</v>
      </c>
      <c r="C696" s="70">
        <f t="shared" si="21"/>
        <v>4.4230769230769233E-5</v>
      </c>
      <c r="F696" s="71">
        <v>42468</v>
      </c>
      <c r="G696" s="69">
        <v>6.5619330111837577E-3</v>
      </c>
      <c r="H696" s="137">
        <v>1.9219812366130663E-2</v>
      </c>
      <c r="I696" s="137">
        <v>6.3260070913879907E-3</v>
      </c>
      <c r="J696" s="137">
        <v>4.4957352452515715E-3</v>
      </c>
    </row>
    <row r="697" spans="1:10">
      <c r="A697" s="68">
        <v>0.23</v>
      </c>
      <c r="B697" s="69">
        <f t="shared" si="20"/>
        <v>2.3E-3</v>
      </c>
      <c r="C697" s="70">
        <f t="shared" si="21"/>
        <v>4.4230769230769233E-5</v>
      </c>
      <c r="F697" s="71">
        <v>42475</v>
      </c>
      <c r="G697" s="69">
        <v>1.6167301122980671E-3</v>
      </c>
      <c r="H697" s="137">
        <v>1.4150777647618891E-3</v>
      </c>
      <c r="I697" s="137">
        <v>1.0418170259945365E-2</v>
      </c>
      <c r="J697" s="137">
        <v>3.8115423596008988E-2</v>
      </c>
    </row>
    <row r="698" spans="1:10">
      <c r="A698" s="68">
        <v>0.22</v>
      </c>
      <c r="B698" s="69">
        <f t="shared" si="20"/>
        <v>2.2000000000000001E-3</v>
      </c>
      <c r="C698" s="70">
        <f t="shared" si="21"/>
        <v>4.2307692307692307E-5</v>
      </c>
      <c r="F698" s="71">
        <v>42482</v>
      </c>
      <c r="G698" s="69">
        <v>-5.1997289947037957E-3</v>
      </c>
      <c r="H698" s="137">
        <v>-2.2639971384934777E-2</v>
      </c>
      <c r="I698" s="137">
        <v>7.656238469152977E-3</v>
      </c>
      <c r="J698" s="137">
        <v>-1.8367136127993126E-2</v>
      </c>
    </row>
    <row r="699" spans="1:10">
      <c r="A699" s="68">
        <v>0.22</v>
      </c>
      <c r="B699" s="69">
        <f t="shared" si="20"/>
        <v>2.2000000000000001E-3</v>
      </c>
      <c r="C699" s="70">
        <f t="shared" si="21"/>
        <v>4.2307692307692307E-5</v>
      </c>
      <c r="F699" s="71">
        <v>42489</v>
      </c>
      <c r="G699" s="69">
        <v>8.046403659059018E-3</v>
      </c>
      <c r="H699" s="137">
        <v>3.5383772174980413E-2</v>
      </c>
      <c r="I699" s="137">
        <v>9.8826858209991875E-3</v>
      </c>
      <c r="J699" s="137">
        <v>-1.1397804796899367E-2</v>
      </c>
    </row>
    <row r="700" spans="1:10">
      <c r="A700" s="68">
        <v>0.23</v>
      </c>
      <c r="B700" s="69">
        <f t="shared" si="20"/>
        <v>2.3E-3</v>
      </c>
      <c r="C700" s="70">
        <f t="shared" si="21"/>
        <v>4.4230769230769233E-5</v>
      </c>
      <c r="F700" s="71">
        <v>42496</v>
      </c>
      <c r="G700" s="69">
        <v>4.4784528208271774E-4</v>
      </c>
      <c r="H700" s="137">
        <v>-9.4680141784115931E-3</v>
      </c>
      <c r="I700" s="137">
        <v>-9.8004186174918372E-3</v>
      </c>
      <c r="J700" s="137">
        <v>-1.0090097648928096E-2</v>
      </c>
    </row>
    <row r="701" spans="1:10">
      <c r="A701" s="68">
        <v>0.2</v>
      </c>
      <c r="B701" s="69">
        <f t="shared" si="20"/>
        <v>2E-3</v>
      </c>
      <c r="C701" s="70">
        <f t="shared" si="21"/>
        <v>3.8461538461538463E-5</v>
      </c>
      <c r="F701" s="71">
        <v>42503</v>
      </c>
      <c r="G701" s="69">
        <v>-2.2163585869865005E-3</v>
      </c>
      <c r="H701" s="137">
        <v>-1.5146553057486233E-2</v>
      </c>
      <c r="I701" s="137">
        <v>5.5152040131008478E-3</v>
      </c>
      <c r="J701" s="137">
        <v>-1.5602885672004818E-2</v>
      </c>
    </row>
    <row r="702" spans="1:10">
      <c r="A702" s="68">
        <v>0.26</v>
      </c>
      <c r="B702" s="69">
        <f t="shared" si="20"/>
        <v>2.5999999999999999E-3</v>
      </c>
      <c r="C702" s="70">
        <f t="shared" si="21"/>
        <v>4.9999999999999996E-5</v>
      </c>
      <c r="F702" s="71">
        <v>42510</v>
      </c>
      <c r="G702" s="69">
        <v>-6.1681264995606128E-3</v>
      </c>
      <c r="H702" s="137">
        <v>-5.0483431551048225E-3</v>
      </c>
      <c r="I702" s="137">
        <v>-2.6953552017687548E-4</v>
      </c>
      <c r="J702" s="137">
        <v>-8.6899934857036856E-3</v>
      </c>
    </row>
    <row r="703" spans="1:10">
      <c r="A703" s="68">
        <v>0.3</v>
      </c>
      <c r="B703" s="69">
        <f t="shared" si="20"/>
        <v>3.0000000000000001E-3</v>
      </c>
      <c r="C703" s="70">
        <f t="shared" si="21"/>
        <v>5.7692307692307691E-5</v>
      </c>
      <c r="F703" s="71">
        <v>42517</v>
      </c>
      <c r="G703" s="69">
        <v>3.8502276471549298E-3</v>
      </c>
      <c r="H703" s="137">
        <v>7.5470005061981709E-3</v>
      </c>
      <c r="I703" s="137">
        <v>1.1716928217926064E-2</v>
      </c>
      <c r="J703" s="137">
        <v>1.0006423387862758E-2</v>
      </c>
    </row>
    <row r="704" spans="1:10">
      <c r="A704" s="68">
        <v>0.33</v>
      </c>
      <c r="B704" s="69">
        <f t="shared" si="20"/>
        <v>3.3E-3</v>
      </c>
      <c r="C704" s="70">
        <f t="shared" si="21"/>
        <v>6.3461538461538467E-5</v>
      </c>
      <c r="F704" s="71">
        <v>42524</v>
      </c>
      <c r="G704" s="69">
        <v>9.9481012574533668E-3</v>
      </c>
      <c r="H704" s="137">
        <v>-1.32289485050521E-2</v>
      </c>
      <c r="I704" s="137">
        <v>2.2926266622515217E-2</v>
      </c>
      <c r="J704" s="137">
        <v>9.0608826084234775E-3</v>
      </c>
    </row>
    <row r="705" spans="1:10">
      <c r="A705" s="68">
        <v>0.3</v>
      </c>
      <c r="B705" s="69">
        <f t="shared" si="20"/>
        <v>3.0000000000000001E-3</v>
      </c>
      <c r="C705" s="70">
        <f t="shared" si="21"/>
        <v>5.7692307692307691E-5</v>
      </c>
      <c r="F705" s="71">
        <v>42531</v>
      </c>
      <c r="G705" s="69">
        <v>2.3797275123427779E-3</v>
      </c>
      <c r="H705" s="137">
        <v>-2.143756897995417E-2</v>
      </c>
      <c r="I705" s="137">
        <v>8.8380801348849364E-3</v>
      </c>
      <c r="J705" s="137">
        <v>1.7812468931234546E-2</v>
      </c>
    </row>
    <row r="706" spans="1:10">
      <c r="A706" s="68">
        <v>0.26</v>
      </c>
      <c r="B706" s="69">
        <f t="shared" si="20"/>
        <v>2.5999999999999999E-3</v>
      </c>
      <c r="C706" s="70">
        <f t="shared" si="21"/>
        <v>4.9999999999999996E-5</v>
      </c>
      <c r="F706" s="71">
        <v>42538</v>
      </c>
      <c r="G706" s="69">
        <v>7.9034659401044666E-4</v>
      </c>
      <c r="H706" s="137">
        <v>-2.163544798508741E-2</v>
      </c>
      <c r="I706" s="137">
        <v>3.7081099797976465E-4</v>
      </c>
      <c r="J706" s="137">
        <v>-1.8060359331110526E-2</v>
      </c>
    </row>
    <row r="707" spans="1:10">
      <c r="A707" s="68">
        <v>0.27</v>
      </c>
      <c r="B707" s="69">
        <f t="shared" si="20"/>
        <v>2.7000000000000001E-3</v>
      </c>
      <c r="C707" s="70">
        <f t="shared" si="21"/>
        <v>5.1923076923076928E-5</v>
      </c>
      <c r="F707" s="71">
        <v>42545</v>
      </c>
      <c r="G707" s="69">
        <v>1.1641382944430226E-3</v>
      </c>
      <c r="H707" s="137">
        <v>-3.5080257325209703E-2</v>
      </c>
      <c r="I707" s="137">
        <v>7.3493252656303288E-3</v>
      </c>
      <c r="J707" s="137">
        <v>-5.439776424100453E-3</v>
      </c>
    </row>
    <row r="708" spans="1:10">
      <c r="A708" s="68">
        <v>0.28000000000000003</v>
      </c>
      <c r="B708" s="69">
        <f t="shared" si="20"/>
        <v>2.8000000000000004E-3</v>
      </c>
      <c r="C708" s="70">
        <f t="shared" si="21"/>
        <v>5.3846153846153853E-5</v>
      </c>
      <c r="F708" s="71">
        <v>42552</v>
      </c>
      <c r="G708" s="69">
        <v>9.2756073435534461E-3</v>
      </c>
      <c r="H708" s="137">
        <v>7.1293560626740179E-2</v>
      </c>
      <c r="I708" s="137">
        <v>3.4624548601692895E-2</v>
      </c>
      <c r="J708" s="137">
        <v>4.3100385575548357E-2</v>
      </c>
    </row>
    <row r="709" spans="1:10">
      <c r="A709" s="68">
        <v>0.26</v>
      </c>
      <c r="B709" s="69">
        <f t="shared" si="20"/>
        <v>2.5999999999999999E-3</v>
      </c>
      <c r="C709" s="70">
        <f t="shared" si="21"/>
        <v>4.9999999999999996E-5</v>
      </c>
      <c r="F709" s="71">
        <v>42559</v>
      </c>
      <c r="G709" s="69">
        <v>5.9405935797600491E-3</v>
      </c>
      <c r="H709" s="137">
        <v>-2.1986397443606528E-2</v>
      </c>
      <c r="I709" s="137">
        <v>-2.4780984058062993E-3</v>
      </c>
      <c r="J709" s="137">
        <v>5.3005829674309295E-3</v>
      </c>
    </row>
    <row r="710" spans="1:10">
      <c r="A710" s="68">
        <v>0.28000000000000003</v>
      </c>
      <c r="B710" s="69">
        <f t="shared" ref="B710:B735" si="22">+A710/100</f>
        <v>2.8000000000000004E-3</v>
      </c>
      <c r="C710" s="70">
        <f t="shared" ref="C710:C735" si="23">+B710/52</f>
        <v>5.3846153846153853E-5</v>
      </c>
      <c r="F710" s="71">
        <v>42566</v>
      </c>
      <c r="G710" s="69">
        <v>-9.6677040072106653E-3</v>
      </c>
      <c r="H710" s="137">
        <v>1.2156389422592515E-2</v>
      </c>
      <c r="I710" s="137">
        <v>1.5472171543000453E-2</v>
      </c>
      <c r="J710" s="137">
        <v>9.9600212666998075E-3</v>
      </c>
    </row>
    <row r="711" spans="1:10">
      <c r="A711" s="68">
        <v>0.31</v>
      </c>
      <c r="B711" s="69">
        <f t="shared" si="22"/>
        <v>3.0999999999999999E-3</v>
      </c>
      <c r="C711" s="70">
        <f t="shared" si="23"/>
        <v>5.9615384615384616E-5</v>
      </c>
      <c r="F711" s="71">
        <v>42573</v>
      </c>
      <c r="G711" s="69">
        <v>-4.3255430790936774E-4</v>
      </c>
      <c r="H711" s="137">
        <v>-3.9219726145420511E-3</v>
      </c>
      <c r="I711" s="137">
        <v>-1.9049572430679537E-3</v>
      </c>
      <c r="J711" s="137">
        <v>2.5041527826082034E-2</v>
      </c>
    </row>
    <row r="712" spans="1:10">
      <c r="A712" s="68">
        <v>0.32</v>
      </c>
      <c r="B712" s="69">
        <f t="shared" si="22"/>
        <v>3.2000000000000002E-3</v>
      </c>
      <c r="C712" s="70">
        <f t="shared" si="23"/>
        <v>6.1538461538461535E-5</v>
      </c>
      <c r="F712" s="71">
        <v>42580</v>
      </c>
      <c r="G712" s="69">
        <v>1.0680286603560733E-2</v>
      </c>
      <c r="H712" s="137">
        <v>1.6303564270210895E-2</v>
      </c>
      <c r="I712" s="137">
        <v>-1.0548718695698235E-2</v>
      </c>
      <c r="J712" s="137">
        <v>2.1157902484335168E-2</v>
      </c>
    </row>
    <row r="713" spans="1:10">
      <c r="A713" s="68">
        <v>0.28999999999999998</v>
      </c>
      <c r="B713" s="69">
        <f t="shared" si="22"/>
        <v>2.8999999999999998E-3</v>
      </c>
      <c r="C713" s="70">
        <f t="shared" si="23"/>
        <v>5.5769230769230765E-5</v>
      </c>
      <c r="F713" s="71">
        <v>42587</v>
      </c>
      <c r="G713" s="69">
        <v>-5.5175337543958217E-3</v>
      </c>
      <c r="H713" s="137">
        <v>-2.2765866815311377E-2</v>
      </c>
      <c r="I713" s="137">
        <v>-4.7455242998635872E-3</v>
      </c>
      <c r="J713" s="137">
        <v>-1.9400560519249231E-2</v>
      </c>
    </row>
    <row r="714" spans="1:10">
      <c r="A714" s="68">
        <v>0.28000000000000003</v>
      </c>
      <c r="B714" s="69">
        <f t="shared" si="22"/>
        <v>2.8000000000000004E-3</v>
      </c>
      <c r="C714" s="70">
        <f t="shared" si="23"/>
        <v>5.3846153846153853E-5</v>
      </c>
      <c r="F714" s="71">
        <v>42594</v>
      </c>
      <c r="G714" s="69">
        <v>6.7298795996199442E-3</v>
      </c>
      <c r="H714" s="137">
        <v>1.7732197100761828E-2</v>
      </c>
      <c r="I714" s="137">
        <v>1.0932227827519594E-2</v>
      </c>
      <c r="J714" s="137">
        <v>1.6842117937259371E-2</v>
      </c>
    </row>
    <row r="715" spans="1:10">
      <c r="A715" s="68">
        <v>0.28999999999999998</v>
      </c>
      <c r="B715" s="69">
        <f t="shared" si="22"/>
        <v>2.8999999999999998E-3</v>
      </c>
      <c r="C715" s="70">
        <f t="shared" si="23"/>
        <v>5.5769230769230765E-5</v>
      </c>
      <c r="F715" s="71">
        <v>42601</v>
      </c>
      <c r="G715" s="69">
        <v>1.8599243023664943E-5</v>
      </c>
      <c r="H715" s="137">
        <v>-9.2151381611538206E-3</v>
      </c>
      <c r="I715" s="137">
        <v>2.6365784054086433E-4</v>
      </c>
      <c r="J715" s="137">
        <v>-8.6574011291573744E-3</v>
      </c>
    </row>
    <row r="716" spans="1:10">
      <c r="A716" s="68">
        <v>0.28999999999999998</v>
      </c>
      <c r="B716" s="69">
        <f t="shared" si="22"/>
        <v>2.8999999999999998E-3</v>
      </c>
      <c r="C716" s="70">
        <f t="shared" si="23"/>
        <v>5.5769230769230765E-5</v>
      </c>
      <c r="F716" s="71">
        <v>42608</v>
      </c>
      <c r="G716" s="69">
        <v>-1.2887661042060151E-3</v>
      </c>
      <c r="H716" s="137">
        <v>6.2784660647177363E-3</v>
      </c>
      <c r="I716" s="137">
        <v>-1.7708363174161374E-2</v>
      </c>
      <c r="J716" s="137">
        <v>8.630160951623481E-3</v>
      </c>
    </row>
    <row r="717" spans="1:10">
      <c r="A717" s="68">
        <v>0.31</v>
      </c>
      <c r="B717" s="69">
        <f t="shared" si="22"/>
        <v>3.0999999999999999E-3</v>
      </c>
      <c r="C717" s="70">
        <f t="shared" si="23"/>
        <v>5.9615384615384616E-5</v>
      </c>
      <c r="F717" s="71">
        <v>42615</v>
      </c>
      <c r="G717" s="69">
        <v>-4.7659051643944451E-3</v>
      </c>
      <c r="H717" s="137">
        <v>6.9762650740971665E-3</v>
      </c>
      <c r="I717" s="137">
        <v>9.3551418421833465E-3</v>
      </c>
      <c r="J717" s="137">
        <v>-2.9150521749078166E-2</v>
      </c>
    </row>
    <row r="718" spans="1:10">
      <c r="A718" s="68">
        <v>0.33</v>
      </c>
      <c r="B718" s="69">
        <f t="shared" si="22"/>
        <v>3.3E-3</v>
      </c>
      <c r="C718" s="70">
        <f t="shared" si="23"/>
        <v>6.3461538461538467E-5</v>
      </c>
      <c r="F718" s="71">
        <v>42622</v>
      </c>
      <c r="G718" s="69">
        <v>-3.1526375918663114E-3</v>
      </c>
      <c r="H718" s="137">
        <v>-4.7347773567863712E-3</v>
      </c>
      <c r="I718" s="137">
        <v>4.8597639509099996E-3</v>
      </c>
      <c r="J718" s="137">
        <v>4.2607224402406909E-3</v>
      </c>
    </row>
    <row r="719" spans="1:10">
      <c r="A719" s="68">
        <v>0.34</v>
      </c>
      <c r="B719" s="69">
        <f t="shared" si="22"/>
        <v>3.4000000000000002E-3</v>
      </c>
      <c r="C719" s="70">
        <f t="shared" si="23"/>
        <v>6.5384615384615386E-5</v>
      </c>
      <c r="F719" s="71">
        <v>42629</v>
      </c>
      <c r="G719" s="69">
        <v>-1.9636503385205397E-3</v>
      </c>
      <c r="H719" s="137">
        <v>-2.2875581180204652E-2</v>
      </c>
      <c r="I719" s="137">
        <v>-4.6736427142731376E-3</v>
      </c>
      <c r="J719" s="137">
        <v>-2.864254522159089E-2</v>
      </c>
    </row>
    <row r="720" spans="1:10">
      <c r="A720" s="68">
        <v>0.33</v>
      </c>
      <c r="B720" s="69">
        <f t="shared" si="22"/>
        <v>3.3E-3</v>
      </c>
      <c r="C720" s="70">
        <f t="shared" si="23"/>
        <v>6.3461538461538467E-5</v>
      </c>
      <c r="F720" s="71">
        <v>42636</v>
      </c>
      <c r="G720" s="69">
        <v>8.4965403886189759E-3</v>
      </c>
      <c r="H720" s="137">
        <v>1.4056240281221292E-2</v>
      </c>
      <c r="I720" s="137">
        <v>2.7361594233058346E-2</v>
      </c>
      <c r="J720" s="137">
        <v>3.5749208279998022E-2</v>
      </c>
    </row>
    <row r="721" spans="1:10">
      <c r="A721" s="68">
        <v>0.24</v>
      </c>
      <c r="B721" s="69">
        <f t="shared" si="22"/>
        <v>2.3999999999999998E-3</v>
      </c>
      <c r="C721" s="70">
        <f t="shared" si="23"/>
        <v>4.6153846153846151E-5</v>
      </c>
      <c r="F721" s="71">
        <v>42643</v>
      </c>
      <c r="G721" s="69">
        <v>5.2749480277079395E-4</v>
      </c>
      <c r="H721" s="137">
        <v>9.5866889148834445E-3</v>
      </c>
      <c r="I721" s="137">
        <v>-4.7212360870103921E-3</v>
      </c>
      <c r="J721" s="137">
        <v>-1.2199867713578611E-2</v>
      </c>
    </row>
    <row r="722" spans="1:10">
      <c r="A722" s="68">
        <v>0.26</v>
      </c>
      <c r="B722" s="69">
        <f t="shared" si="22"/>
        <v>2.5999999999999999E-3</v>
      </c>
      <c r="C722" s="70">
        <f t="shared" si="23"/>
        <v>4.9999999999999996E-5</v>
      </c>
      <c r="F722" s="71">
        <v>42650</v>
      </c>
      <c r="G722" s="69">
        <v>-9.2473207418945144E-3</v>
      </c>
      <c r="H722" s="137">
        <v>-7.0067433623076131E-2</v>
      </c>
      <c r="I722" s="137">
        <v>-3.7897817585446851E-2</v>
      </c>
      <c r="J722" s="137">
        <v>-2.5641599698864193E-2</v>
      </c>
    </row>
    <row r="723" spans="1:10">
      <c r="A723" s="68">
        <v>0.32</v>
      </c>
      <c r="B723" s="69">
        <f t="shared" si="22"/>
        <v>3.2000000000000002E-3</v>
      </c>
      <c r="C723" s="70">
        <f t="shared" si="23"/>
        <v>6.1538461538461535E-5</v>
      </c>
      <c r="F723" s="71">
        <v>42657</v>
      </c>
      <c r="G723" s="69">
        <v>-5.4636223631148303E-3</v>
      </c>
      <c r="H723" s="137">
        <v>4.0769914197637562E-3</v>
      </c>
      <c r="I723" s="137">
        <v>8.7158727938774529E-3</v>
      </c>
      <c r="J723" s="137">
        <v>-5.3229982169027325E-3</v>
      </c>
    </row>
    <row r="724" spans="1:10">
      <c r="A724" s="68">
        <v>0.33</v>
      </c>
      <c r="B724" s="69">
        <f t="shared" si="22"/>
        <v>3.3E-3</v>
      </c>
      <c r="C724" s="70">
        <f t="shared" si="23"/>
        <v>6.3461538461538467E-5</v>
      </c>
      <c r="F724" s="71">
        <v>42664</v>
      </c>
      <c r="G724" s="69">
        <v>2.4043072700754655E-3</v>
      </c>
      <c r="H724" s="137">
        <v>-1.5067432144569709E-3</v>
      </c>
      <c r="I724" s="137">
        <v>1.5358941064386783E-2</v>
      </c>
      <c r="J724" s="137">
        <v>1.3650339444355708E-2</v>
      </c>
    </row>
    <row r="725" spans="1:10">
      <c r="A725" s="68">
        <v>0.34</v>
      </c>
      <c r="B725" s="69">
        <f t="shared" si="22"/>
        <v>3.4000000000000002E-3</v>
      </c>
      <c r="C725" s="70">
        <f t="shared" si="23"/>
        <v>6.5384615384615386E-5</v>
      </c>
      <c r="F725" s="71">
        <v>42671</v>
      </c>
      <c r="G725" s="69">
        <v>-6.9405876660629572E-3</v>
      </c>
      <c r="H725" s="137">
        <v>-3.2304251666095449E-5</v>
      </c>
      <c r="I725" s="137">
        <v>-1.2143235536001487E-2</v>
      </c>
      <c r="J725" s="137">
        <v>-2.5630599545919973E-2</v>
      </c>
    </row>
    <row r="726" spans="1:10">
      <c r="A726" s="68">
        <v>0.32</v>
      </c>
      <c r="B726" s="69">
        <f t="shared" si="22"/>
        <v>3.2000000000000002E-3</v>
      </c>
      <c r="C726" s="70">
        <f t="shared" si="23"/>
        <v>6.1538461538461535E-5</v>
      </c>
      <c r="F726" s="71">
        <v>42678</v>
      </c>
      <c r="G726" s="69">
        <v>5.2787602728320551E-3</v>
      </c>
      <c r="H726" s="137">
        <v>-1.6776093299377594E-2</v>
      </c>
      <c r="I726" s="137">
        <v>-3.2820571634231327E-2</v>
      </c>
      <c r="J726" s="137">
        <v>-6.3589912026185624E-4</v>
      </c>
    </row>
    <row r="727" spans="1:10">
      <c r="A727" s="68">
        <v>0.36</v>
      </c>
      <c r="B727" s="69">
        <f t="shared" si="22"/>
        <v>3.5999999999999999E-3</v>
      </c>
      <c r="C727" s="70">
        <f t="shared" si="23"/>
        <v>6.9230769230769224E-5</v>
      </c>
      <c r="F727" s="71">
        <v>42685</v>
      </c>
      <c r="G727" s="69">
        <v>-1.6327643131722757E-2</v>
      </c>
      <c r="H727" s="137">
        <v>-5.5835893776814208E-2</v>
      </c>
      <c r="I727" s="137">
        <v>-1.7076570260005908E-2</v>
      </c>
      <c r="J727" s="137">
        <v>-5.2265719822663724E-2</v>
      </c>
    </row>
    <row r="728" spans="1:10">
      <c r="A728" s="68">
        <v>0.44</v>
      </c>
      <c r="B728" s="69">
        <f t="shared" si="22"/>
        <v>4.4000000000000003E-3</v>
      </c>
      <c r="C728" s="70">
        <f t="shared" si="23"/>
        <v>8.4615384615384614E-5</v>
      </c>
      <c r="F728" s="71">
        <v>42692</v>
      </c>
      <c r="G728" s="69">
        <v>-1.5013671833441012E-2</v>
      </c>
      <c r="H728" s="137">
        <v>-3.6668551062965377E-2</v>
      </c>
      <c r="I728" s="137">
        <v>2.203036076314855E-2</v>
      </c>
      <c r="J728" s="137">
        <v>-7.1621539293924893E-3</v>
      </c>
    </row>
    <row r="729" spans="1:10">
      <c r="A729" s="68">
        <v>0.47</v>
      </c>
      <c r="B729" s="69">
        <f t="shared" si="22"/>
        <v>4.6999999999999993E-3</v>
      </c>
      <c r="C729" s="70">
        <f t="shared" si="23"/>
        <v>9.038461538461537E-5</v>
      </c>
      <c r="F729" s="71">
        <v>42699</v>
      </c>
      <c r="G729" s="69">
        <v>-1.9522628442126587E-3</v>
      </c>
      <c r="H729" s="137">
        <v>8.196361872057141E-3</v>
      </c>
      <c r="I729" s="137">
        <v>1.3987159099609103E-2</v>
      </c>
      <c r="J729" s="137">
        <v>1.9762179713485099E-2</v>
      </c>
    </row>
    <row r="730" spans="1:10">
      <c r="A730" s="68">
        <v>0.48</v>
      </c>
      <c r="B730" s="69">
        <f t="shared" si="22"/>
        <v>4.7999999999999996E-3</v>
      </c>
      <c r="C730" s="70">
        <f t="shared" si="23"/>
        <v>9.2307692307692303E-5</v>
      </c>
      <c r="F730" s="71">
        <v>42706</v>
      </c>
      <c r="G730" s="69">
        <v>6.0870014187517014E-4</v>
      </c>
      <c r="H730" s="137">
        <v>3.4930789145549865E-4</v>
      </c>
      <c r="I730" s="137">
        <v>-1.3998350921244504E-2</v>
      </c>
      <c r="J730" s="137">
        <v>-8.7275938419859173E-3</v>
      </c>
    </row>
    <row r="731" spans="1:10">
      <c r="A731" s="68">
        <v>0.48</v>
      </c>
      <c r="B731" s="69">
        <f t="shared" si="22"/>
        <v>4.7999999999999996E-3</v>
      </c>
      <c r="C731" s="70">
        <f t="shared" si="23"/>
        <v>9.2307692307692303E-5</v>
      </c>
      <c r="F731" s="71">
        <v>42713</v>
      </c>
      <c r="G731" s="69">
        <v>-2.707716456008839E-3</v>
      </c>
      <c r="H731" s="137">
        <v>1.4839252949294114E-2</v>
      </c>
      <c r="I731" s="137">
        <v>1.4604301314382484E-2</v>
      </c>
      <c r="J731" s="137">
        <v>1.2015052150619985E-2</v>
      </c>
    </row>
    <row r="732" spans="1:10">
      <c r="A732" s="68">
        <v>0.5</v>
      </c>
      <c r="B732" s="69">
        <f t="shared" si="22"/>
        <v>5.0000000000000001E-3</v>
      </c>
      <c r="C732" s="70">
        <f t="shared" si="23"/>
        <v>9.6153846153846154E-5</v>
      </c>
      <c r="F732" s="71">
        <v>42720</v>
      </c>
      <c r="G732" s="69">
        <v>-8.8328288430703245E-3</v>
      </c>
      <c r="H732" s="137">
        <v>7.3216536721226588E-3</v>
      </c>
      <c r="I732" s="137">
        <v>1.6925134046410634E-2</v>
      </c>
      <c r="J732" s="137">
        <v>-9.8612744031859132E-3</v>
      </c>
    </row>
    <row r="733" spans="1:10">
      <c r="A733" s="68">
        <v>0.52</v>
      </c>
      <c r="B733" s="69">
        <f t="shared" si="22"/>
        <v>5.1999999999999998E-3</v>
      </c>
      <c r="C733" s="70">
        <f t="shared" si="23"/>
        <v>9.9999999999999991E-5</v>
      </c>
      <c r="F733" s="71">
        <v>42727</v>
      </c>
      <c r="G733" s="69">
        <v>5.5590732747023731E-3</v>
      </c>
      <c r="H733" s="137">
        <v>1.3562519247678461E-2</v>
      </c>
      <c r="I733" s="137">
        <v>3.8194225960405384E-3</v>
      </c>
      <c r="J733" s="137">
        <v>-1.2834001224649892E-3</v>
      </c>
    </row>
    <row r="734" spans="1:10">
      <c r="A734" s="68">
        <v>0.51</v>
      </c>
      <c r="B734" s="69">
        <f t="shared" si="22"/>
        <v>5.1000000000000004E-3</v>
      </c>
      <c r="C734" s="70">
        <f t="shared" si="23"/>
        <v>9.8076923076923086E-5</v>
      </c>
      <c r="F734" s="71">
        <v>42734</v>
      </c>
      <c r="G734" s="69">
        <v>3.9273717066489354E-3</v>
      </c>
      <c r="H734" s="137">
        <v>6.2337761729530936E-3</v>
      </c>
      <c r="I734" s="137">
        <v>-8.4403041703937313E-3</v>
      </c>
      <c r="J734" s="137">
        <v>1.8223295661684081E-3</v>
      </c>
    </row>
    <row r="735" spans="1:10">
      <c r="A735" s="68">
        <v>0.5</v>
      </c>
      <c r="B735" s="69">
        <f t="shared" si="22"/>
        <v>5.0000000000000001E-3</v>
      </c>
      <c r="C735" s="70">
        <f t="shared" si="23"/>
        <v>9.6153846153846154E-5</v>
      </c>
    </row>
  </sheetData>
  <mergeCells count="1">
    <mergeCell ref="V5:Y5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31"/>
  <sheetViews>
    <sheetView workbookViewId="0">
      <selection activeCell="E27" sqref="E27"/>
    </sheetView>
  </sheetViews>
  <sheetFormatPr defaultColWidth="8.85546875" defaultRowHeight="15"/>
  <cols>
    <col min="1" max="1" width="10.140625" style="3" bestFit="1" customWidth="1"/>
    <col min="2" max="3" width="12.28515625" bestFit="1" customWidth="1"/>
    <col min="4" max="4" width="12.28515625" customWidth="1"/>
    <col min="5" max="7" width="12.28515625" bestFit="1" customWidth="1"/>
    <col min="9" max="9" width="10.140625" bestFit="1" customWidth="1"/>
    <col min="13" max="13" width="11.140625" customWidth="1"/>
    <col min="16" max="16" width="11.42578125" bestFit="1" customWidth="1"/>
    <col min="18" max="18" width="15" customWidth="1"/>
    <col min="19" max="19" width="12.140625" bestFit="1" customWidth="1"/>
    <col min="20" max="20" width="13.140625" bestFit="1" customWidth="1"/>
    <col min="21" max="21" width="10.28515625" bestFit="1" customWidth="1"/>
    <col min="22" max="22" width="11" customWidth="1"/>
    <col min="23" max="24" width="10.140625" bestFit="1" customWidth="1"/>
    <col min="25" max="25" width="9.7109375" bestFit="1" customWidth="1"/>
    <col min="26" max="26" width="14.28515625" customWidth="1"/>
    <col min="27" max="27" width="10.140625" bestFit="1" customWidth="1"/>
    <col min="28" max="28" width="9.7109375" bestFit="1" customWidth="1"/>
    <col min="29" max="29" width="10.140625" bestFit="1" customWidth="1"/>
  </cols>
  <sheetData>
    <row r="1" spans="1:40" ht="50.25" customHeight="1">
      <c r="B1" s="1" t="s">
        <v>0</v>
      </c>
      <c r="C1" s="1" t="s">
        <v>1</v>
      </c>
      <c r="D1" s="1" t="s">
        <v>2</v>
      </c>
      <c r="E1" s="2" t="s">
        <v>3</v>
      </c>
      <c r="F1" s="2" t="s">
        <v>4</v>
      </c>
      <c r="G1" s="2" t="s">
        <v>5</v>
      </c>
      <c r="H1" s="12" t="s">
        <v>19</v>
      </c>
      <c r="I1" s="12" t="s">
        <v>20</v>
      </c>
      <c r="J1" s="12" t="s">
        <v>21</v>
      </c>
      <c r="K1" s="12" t="s">
        <v>22</v>
      </c>
      <c r="L1" s="12" t="s">
        <v>23</v>
      </c>
      <c r="M1" s="12" t="s">
        <v>24</v>
      </c>
      <c r="N1" s="12" t="s">
        <v>18</v>
      </c>
      <c r="R1" s="58"/>
      <c r="S1" s="58"/>
      <c r="T1" s="58"/>
      <c r="U1" s="58"/>
      <c r="AA1" s="18"/>
      <c r="AB1" s="19" t="s">
        <v>39</v>
      </c>
      <c r="AC1" s="19" t="s">
        <v>40</v>
      </c>
      <c r="AD1" s="19" t="s">
        <v>41</v>
      </c>
      <c r="AE1" s="19" t="s">
        <v>4</v>
      </c>
      <c r="AF1" s="19" t="s">
        <v>3</v>
      </c>
      <c r="AG1" s="19" t="s">
        <v>42</v>
      </c>
      <c r="AH1" s="19" t="s">
        <v>20</v>
      </c>
      <c r="AI1" s="19" t="s">
        <v>23</v>
      </c>
      <c r="AJ1" s="19" t="s">
        <v>19</v>
      </c>
      <c r="AK1" s="19" t="s">
        <v>18</v>
      </c>
      <c r="AL1" s="19" t="s">
        <v>22</v>
      </c>
      <c r="AM1" s="19" t="s">
        <v>24</v>
      </c>
      <c r="AN1" s="19" t="s">
        <v>21</v>
      </c>
    </row>
    <row r="2" spans="1:40">
      <c r="A2" s="5">
        <v>37631</v>
      </c>
      <c r="B2" s="28">
        <v>1.2974407489771699E-2</v>
      </c>
      <c r="C2" s="28">
        <v>1.4457606566551735E-3</v>
      </c>
      <c r="D2" s="28">
        <v>-3.576372865712993E-3</v>
      </c>
      <c r="E2" s="28">
        <v>-2.3549368856957678E-3</v>
      </c>
      <c r="F2" s="28">
        <v>5.6940899273513331E-3</v>
      </c>
      <c r="G2" s="28">
        <v>3.4275971544476473E-2</v>
      </c>
      <c r="H2" s="28">
        <v>-8.3297629604535666E-3</v>
      </c>
      <c r="I2" s="28">
        <v>-1.7758323279257308E-2</v>
      </c>
      <c r="J2" s="28">
        <v>3.4954820642482836E-3</v>
      </c>
      <c r="K2" s="28">
        <v>1.4269062651772758E-2</v>
      </c>
      <c r="L2" s="28">
        <v>0.11342585829072319</v>
      </c>
      <c r="M2" s="28">
        <v>1.7936288088642768E-2</v>
      </c>
      <c r="N2" s="28">
        <v>6.0229772671719205E-3</v>
      </c>
      <c r="R2" s="18" t="s">
        <v>25</v>
      </c>
      <c r="S2" s="18"/>
      <c r="T2" s="18"/>
      <c r="U2" s="18"/>
      <c r="V2" s="18"/>
      <c r="W2" s="18"/>
      <c r="X2" s="18"/>
      <c r="Y2" s="18"/>
      <c r="AA2" s="18" t="s">
        <v>6</v>
      </c>
      <c r="AB2" s="20">
        <v>1.3359999999999999E-3</v>
      </c>
      <c r="AC2" s="20">
        <v>8.2700000000000004E-4</v>
      </c>
      <c r="AD2" s="20">
        <v>1.4710000000000001E-3</v>
      </c>
      <c r="AE2" s="20">
        <v>2.0200000000000001E-3</v>
      </c>
      <c r="AF2" s="20">
        <v>1.6000000000000001E-3</v>
      </c>
      <c r="AG2" s="20">
        <v>1.701E-3</v>
      </c>
      <c r="AH2" s="20">
        <v>2.663E-3</v>
      </c>
      <c r="AI2" s="20">
        <v>4.9049999999999996E-3</v>
      </c>
      <c r="AJ2" s="20">
        <v>1.4220000000000001E-3</v>
      </c>
      <c r="AK2" s="20">
        <v>1.8129999999999999E-3</v>
      </c>
      <c r="AL2" s="20">
        <v>1.441E-3</v>
      </c>
      <c r="AM2" s="20">
        <v>1.6069999999999999E-3</v>
      </c>
      <c r="AN2" s="20">
        <v>1.9189999999999999E-3</v>
      </c>
    </row>
    <row r="3" spans="1:40" ht="15.75" thickBot="1">
      <c r="A3" s="4">
        <v>37638</v>
      </c>
      <c r="B3" s="28">
        <v>-1.9042536417334829E-2</v>
      </c>
      <c r="C3" s="28">
        <v>9.2674521492106792E-3</v>
      </c>
      <c r="D3" s="28">
        <v>4.6312376982739423E-4</v>
      </c>
      <c r="E3" s="28">
        <v>4.0808569799658341E-3</v>
      </c>
      <c r="F3" s="28">
        <v>-2.7499023818820842E-2</v>
      </c>
      <c r="G3" s="28">
        <v>2.4821888737305954E-3</v>
      </c>
      <c r="H3" s="28">
        <v>-2.5249429802968036E-2</v>
      </c>
      <c r="I3" s="28">
        <v>-1.0557303827022614E-2</v>
      </c>
      <c r="J3" s="28">
        <v>1.7386416109538488E-2</v>
      </c>
      <c r="K3" s="28">
        <v>-2.1068962545131111E-3</v>
      </c>
      <c r="L3" s="28">
        <v>4.5485956211019848E-2</v>
      </c>
      <c r="M3" s="28">
        <v>-5.6077672922357161E-3</v>
      </c>
      <c r="N3" s="28">
        <v>-9.4468903985771603E-3</v>
      </c>
      <c r="R3" s="52"/>
      <c r="S3" s="52" t="s">
        <v>26</v>
      </c>
      <c r="T3" s="52" t="s">
        <v>27</v>
      </c>
      <c r="U3" s="52" t="s">
        <v>28</v>
      </c>
      <c r="V3" s="18"/>
      <c r="W3" s="18"/>
      <c r="X3" s="18"/>
      <c r="Y3" s="18"/>
      <c r="AA3" s="18" t="s">
        <v>7</v>
      </c>
      <c r="AB3" s="20">
        <v>2.7750000000000001E-3</v>
      </c>
      <c r="AC3" s="20">
        <v>7.6300000000000001E-4</v>
      </c>
      <c r="AD3" s="20">
        <v>2.9520000000000002E-3</v>
      </c>
      <c r="AE3" s="20">
        <v>3.5820000000000001E-3</v>
      </c>
      <c r="AF3" s="20">
        <v>4.2820000000000002E-3</v>
      </c>
      <c r="AG3" s="20">
        <v>3.787E-3</v>
      </c>
      <c r="AH3" s="20">
        <v>4.5149999999999999E-3</v>
      </c>
      <c r="AI3" s="20">
        <v>4.3790000000000001E-3</v>
      </c>
      <c r="AJ3" s="20">
        <v>2.7560000000000002E-3</v>
      </c>
      <c r="AK3" s="20">
        <v>2.875E-3</v>
      </c>
      <c r="AL3" s="20">
        <v>1.225E-3</v>
      </c>
      <c r="AM3" s="20">
        <v>4.437E-3</v>
      </c>
      <c r="AN3" s="20">
        <v>2.9030000000000002E-3</v>
      </c>
    </row>
    <row r="4" spans="1:40" ht="15.75" thickTop="1">
      <c r="A4" s="4">
        <v>37645</v>
      </c>
      <c r="B4" s="28">
        <v>-3.8082520370439008E-2</v>
      </c>
      <c r="C4" s="28">
        <v>5.9523809523809156E-3</v>
      </c>
      <c r="D4" s="28">
        <v>-1.2730008100914181E-2</v>
      </c>
      <c r="E4" s="28">
        <v>-8.2779642782432571E-3</v>
      </c>
      <c r="F4" s="28">
        <v>-2.1491021149734467E-2</v>
      </c>
      <c r="G4" s="28">
        <v>-5.6703271778944939E-5</v>
      </c>
      <c r="H4" s="28">
        <v>-3.0304904446780852E-2</v>
      </c>
      <c r="I4" s="28">
        <v>-1.8395403713963334E-2</v>
      </c>
      <c r="J4" s="28">
        <v>-2.3542180562407512E-2</v>
      </c>
      <c r="K4" s="28">
        <v>-5.1248092592058635E-3</v>
      </c>
      <c r="L4" s="28">
        <v>-5.9571121392893334E-2</v>
      </c>
      <c r="M4" s="28">
        <v>2.2039563704601497E-2</v>
      </c>
      <c r="N4" s="28">
        <v>-1.087137825135651E-2</v>
      </c>
      <c r="R4" s="18" t="s">
        <v>29</v>
      </c>
      <c r="S4" s="20">
        <v>1.3359999999999999E-3</v>
      </c>
      <c r="T4" s="20">
        <v>8.2700000000000004E-4</v>
      </c>
      <c r="U4" s="20">
        <v>1.4710000000000001E-3</v>
      </c>
      <c r="V4" s="18"/>
      <c r="W4" s="18"/>
      <c r="X4" s="18"/>
      <c r="Y4" s="18"/>
      <c r="AA4" s="18" t="s">
        <v>8</v>
      </c>
      <c r="AB4" s="21">
        <v>0.123408</v>
      </c>
      <c r="AC4" s="21">
        <v>2.5155E-2</v>
      </c>
      <c r="AD4" s="21">
        <v>0.181785</v>
      </c>
      <c r="AE4" s="21">
        <v>0.121241</v>
      </c>
      <c r="AF4" s="21">
        <v>0.119088</v>
      </c>
      <c r="AG4" s="21">
        <v>0.10109799999999999</v>
      </c>
      <c r="AH4" s="21">
        <v>0.109429</v>
      </c>
      <c r="AI4" s="21">
        <v>0.231156</v>
      </c>
      <c r="AJ4" s="21">
        <v>0.124547</v>
      </c>
      <c r="AK4" s="21">
        <v>9.9293000000000006E-2</v>
      </c>
      <c r="AL4" s="21">
        <v>0.22606299999999999</v>
      </c>
      <c r="AM4" s="21">
        <v>0.118174</v>
      </c>
      <c r="AN4" s="21">
        <v>0.18288299999999999</v>
      </c>
    </row>
    <row r="5" spans="1:40">
      <c r="A5" s="4">
        <v>37652</v>
      </c>
      <c r="B5" s="28">
        <v>-1.3483810429708098E-2</v>
      </c>
      <c r="C5" s="28">
        <v>-3.2108618870693483E-3</v>
      </c>
      <c r="D5" s="28">
        <v>-2.0044543429844189E-2</v>
      </c>
      <c r="E5" s="28">
        <v>-2.6005464261320249E-2</v>
      </c>
      <c r="F5" s="28">
        <v>-1.2935721466527167E-2</v>
      </c>
      <c r="G5" s="28">
        <v>-1.6236957507938753E-2</v>
      </c>
      <c r="H5" s="28">
        <v>-2.0994111018985052E-2</v>
      </c>
      <c r="I5" s="28">
        <v>-3.2170741139458774E-2</v>
      </c>
      <c r="J5" s="28">
        <v>-7.7705024049148589E-3</v>
      </c>
      <c r="K5" s="28">
        <v>-4.7267640958857965E-2</v>
      </c>
      <c r="L5" s="28">
        <v>8.8308822875241319E-2</v>
      </c>
      <c r="M5" s="28">
        <v>-2.1526044505646873E-2</v>
      </c>
      <c r="N5" s="28">
        <v>-2.3380385077025372E-2</v>
      </c>
      <c r="R5" s="18" t="s">
        <v>30</v>
      </c>
      <c r="S5" s="20">
        <v>2.3717999999999999E-2</v>
      </c>
      <c r="T5" s="20">
        <v>6.1139999999999996E-3</v>
      </c>
      <c r="U5" s="20">
        <v>2.7969000000000001E-2</v>
      </c>
      <c r="V5" s="18"/>
      <c r="W5" s="18"/>
      <c r="X5" s="18"/>
      <c r="Y5" s="18"/>
      <c r="AA5" s="18" t="s">
        <v>9</v>
      </c>
      <c r="AB5" s="21">
        <v>-0.20053199999999999</v>
      </c>
      <c r="AC5" s="21">
        <v>-2.2502999999999999E-2</v>
      </c>
      <c r="AD5" s="21">
        <v>-0.163746</v>
      </c>
      <c r="AE5" s="21">
        <v>-0.204566</v>
      </c>
      <c r="AF5" s="21">
        <v>-0.22061600000000001</v>
      </c>
      <c r="AG5" s="21">
        <v>-0.25466100000000003</v>
      </c>
      <c r="AH5" s="21">
        <v>-0.23602200000000001</v>
      </c>
      <c r="AI5" s="21">
        <v>-0.20663000000000001</v>
      </c>
      <c r="AJ5" s="21">
        <v>-0.22342600000000001</v>
      </c>
      <c r="AK5" s="21">
        <v>-0.21384</v>
      </c>
      <c r="AL5" s="21">
        <v>-0.25746200000000002</v>
      </c>
      <c r="AM5" s="21">
        <v>-0.211699</v>
      </c>
      <c r="AN5" s="21">
        <v>-0.21238699999999999</v>
      </c>
    </row>
    <row r="6" spans="1:40">
      <c r="A6" s="4">
        <v>37659</v>
      </c>
      <c r="B6" s="28">
        <v>-2.2671600562881086E-2</v>
      </c>
      <c r="C6" s="28">
        <v>3.8654456766830953E-3</v>
      </c>
      <c r="D6" s="28">
        <v>-3.8277511961721674E-3</v>
      </c>
      <c r="E6" s="28">
        <v>-7.4355193003804625E-3</v>
      </c>
      <c r="F6" s="28">
        <v>-2.6646989742363916E-2</v>
      </c>
      <c r="G6" s="28">
        <v>-9.9913536362781336E-4</v>
      </c>
      <c r="H6" s="28">
        <v>-2.7535586705610283E-2</v>
      </c>
      <c r="I6" s="28">
        <v>-1.9935420468903592E-2</v>
      </c>
      <c r="J6" s="28">
        <v>-4.1753653444684744E-4</v>
      </c>
      <c r="K6" s="28">
        <v>-3.6632410266794868E-2</v>
      </c>
      <c r="L6" s="28">
        <v>-8.6260596597644013E-2</v>
      </c>
      <c r="M6" s="28">
        <v>1.0887412040656639E-2</v>
      </c>
      <c r="N6" s="28">
        <v>-1.696223617120679E-2</v>
      </c>
      <c r="P6" s="25"/>
      <c r="R6" s="18" t="s">
        <v>31</v>
      </c>
      <c r="S6" s="21">
        <v>-1.0027699999999999</v>
      </c>
      <c r="T6" s="21">
        <v>-0.221528</v>
      </c>
      <c r="U6" s="21">
        <v>-0.44664900000000002</v>
      </c>
      <c r="V6" s="18"/>
      <c r="W6" s="18"/>
      <c r="X6" s="18"/>
      <c r="Y6" s="18"/>
      <c r="AA6" s="18" t="s">
        <v>10</v>
      </c>
      <c r="AB6" s="21">
        <v>2.3717999999999999E-2</v>
      </c>
      <c r="AC6" s="21">
        <v>6.1139999999999996E-3</v>
      </c>
      <c r="AD6" s="21">
        <v>2.7969000000000001E-2</v>
      </c>
      <c r="AE6" s="21">
        <v>2.2672999999999999E-2</v>
      </c>
      <c r="AF6" s="21">
        <v>2.4451000000000001E-2</v>
      </c>
      <c r="AG6" s="21">
        <v>2.7748999999999999E-2</v>
      </c>
      <c r="AH6" s="21">
        <v>2.8569000000000001E-2</v>
      </c>
      <c r="AI6" s="21">
        <v>3.5936000000000003E-2</v>
      </c>
      <c r="AJ6" s="21">
        <v>2.1482999999999999E-2</v>
      </c>
      <c r="AK6" s="21">
        <v>2.2550000000000001E-2</v>
      </c>
      <c r="AL6" s="21">
        <v>3.9328000000000002E-2</v>
      </c>
      <c r="AM6" s="21">
        <v>2.8611999999999999E-2</v>
      </c>
      <c r="AN6" s="21">
        <v>2.6048000000000002E-2</v>
      </c>
    </row>
    <row r="7" spans="1:40">
      <c r="A7" s="4">
        <v>37666</v>
      </c>
      <c r="B7" s="28">
        <v>5.5594069965869755E-3</v>
      </c>
      <c r="C7" s="28">
        <v>-1.008480403392156E-3</v>
      </c>
      <c r="D7" s="28">
        <v>-9.2459173871277146E-3</v>
      </c>
      <c r="E7" s="28">
        <v>1.1439436444111953E-2</v>
      </c>
      <c r="F7" s="28">
        <v>-1.0068654772200758E-2</v>
      </c>
      <c r="G7" s="28">
        <v>2.6253534129594548E-3</v>
      </c>
      <c r="H7" s="28">
        <v>-6.6322030302691298E-3</v>
      </c>
      <c r="I7" s="28">
        <v>-5.8279065154870899E-2</v>
      </c>
      <c r="J7" s="28">
        <v>3.4802453287690854E-2</v>
      </c>
      <c r="K7" s="28">
        <v>1.3431847562193209E-2</v>
      </c>
      <c r="L7" s="28">
        <v>3.8801163050771539E-2</v>
      </c>
      <c r="M7" s="28">
        <v>2.5687878260533446E-2</v>
      </c>
      <c r="N7" s="28">
        <v>-3.4406513473301792E-3</v>
      </c>
      <c r="R7" s="18" t="s">
        <v>32</v>
      </c>
      <c r="S7" s="21">
        <v>12.39805</v>
      </c>
      <c r="T7" s="21">
        <v>3.7667470000000001</v>
      </c>
      <c r="U7" s="21">
        <v>9.9105080000000001</v>
      </c>
      <c r="V7" s="18"/>
      <c r="W7" s="18"/>
      <c r="X7" s="18"/>
      <c r="Y7" s="18"/>
      <c r="AA7" s="18" t="s">
        <v>11</v>
      </c>
      <c r="AB7" s="21">
        <v>-1.0027699999999999</v>
      </c>
      <c r="AC7" s="21">
        <v>-0.221528</v>
      </c>
      <c r="AD7" s="21">
        <v>-0.44664900000000002</v>
      </c>
      <c r="AE7" s="21">
        <v>-0.95995900000000001</v>
      </c>
      <c r="AF7" s="21">
        <v>-1.366069</v>
      </c>
      <c r="AG7" s="21">
        <v>-1.492191</v>
      </c>
      <c r="AH7" s="21">
        <v>-1.033296</v>
      </c>
      <c r="AI7" s="21">
        <v>0.25618600000000002</v>
      </c>
      <c r="AJ7" s="21">
        <v>-1.572152</v>
      </c>
      <c r="AK7" s="21">
        <v>-1.3933340000000001</v>
      </c>
      <c r="AL7" s="21">
        <v>-0.23705799999999999</v>
      </c>
      <c r="AM7" s="21">
        <v>-0.92994299999999996</v>
      </c>
      <c r="AN7" s="21">
        <v>-0.49229699999999998</v>
      </c>
    </row>
    <row r="8" spans="1:40">
      <c r="A8" s="4">
        <v>37673</v>
      </c>
      <c r="B8" s="28">
        <v>1.2290354656943959E-2</v>
      </c>
      <c r="C8" s="28">
        <v>4.4968567888771151E-3</v>
      </c>
      <c r="D8" s="28">
        <v>1.7331232577869258E-2</v>
      </c>
      <c r="E8" s="28">
        <v>6.071065364109801E-3</v>
      </c>
      <c r="F8" s="28">
        <v>1.2177233211812633E-2</v>
      </c>
      <c r="G8" s="28">
        <v>1.7082458109132233E-2</v>
      </c>
      <c r="H8" s="28">
        <v>9.7899268284457764E-3</v>
      </c>
      <c r="I8" s="28">
        <v>-4.0016849199662535E-3</v>
      </c>
      <c r="J8" s="28">
        <v>-8.0437136949887498E-3</v>
      </c>
      <c r="K8" s="28">
        <v>1.8947368421052612E-2</v>
      </c>
      <c r="L8" s="28">
        <v>8.5116094805015988E-2</v>
      </c>
      <c r="M8" s="28">
        <v>1.1329896032651197E-2</v>
      </c>
      <c r="N8" s="28">
        <v>1.3861960995738774E-2</v>
      </c>
      <c r="R8" s="45" t="s">
        <v>33</v>
      </c>
      <c r="S8" s="59">
        <v>2808.8409999999999</v>
      </c>
      <c r="T8" s="59">
        <v>23.85277</v>
      </c>
      <c r="U8" s="59">
        <v>1476.8230000000001</v>
      </c>
      <c r="V8" s="18"/>
      <c r="W8" s="18"/>
      <c r="X8" s="18"/>
      <c r="Y8" s="18"/>
      <c r="AA8" s="18" t="s">
        <v>12</v>
      </c>
      <c r="AB8" s="21">
        <v>12.39805</v>
      </c>
      <c r="AC8" s="21">
        <v>3.7667470000000001</v>
      </c>
      <c r="AD8" s="21">
        <v>9.9105080000000001</v>
      </c>
      <c r="AE8" s="21">
        <v>14.3171</v>
      </c>
      <c r="AF8" s="21">
        <v>14.38397</v>
      </c>
      <c r="AG8" s="21">
        <v>14.707190000000001</v>
      </c>
      <c r="AH8" s="21">
        <v>11.350949999999999</v>
      </c>
      <c r="AI8" s="21">
        <v>9.2077449999999992</v>
      </c>
      <c r="AJ8" s="21">
        <v>21.34535</v>
      </c>
      <c r="AK8" s="21">
        <v>15.54501</v>
      </c>
      <c r="AL8" s="21">
        <v>11.155720000000001</v>
      </c>
      <c r="AM8" s="21">
        <v>9.0240209999999994</v>
      </c>
      <c r="AN8" s="21">
        <v>15.70415</v>
      </c>
    </row>
    <row r="9" spans="1:40">
      <c r="A9" s="4">
        <v>37680</v>
      </c>
      <c r="B9" s="28">
        <v>-1.3961651299245557E-2</v>
      </c>
      <c r="C9" s="28">
        <v>6.6694075190718008E-3</v>
      </c>
      <c r="D9" s="28">
        <v>-1.2508934953538208E-2</v>
      </c>
      <c r="E9" s="28">
        <v>-3.9821111315320543E-4</v>
      </c>
      <c r="F9" s="28">
        <v>-8.1838815894631992E-3</v>
      </c>
      <c r="G9" s="28">
        <v>2.1133534515277115E-2</v>
      </c>
      <c r="H9" s="28">
        <v>-1.3646482635796963E-2</v>
      </c>
      <c r="I9" s="28">
        <v>1.5730363478301715E-2</v>
      </c>
      <c r="J9" s="28">
        <v>-1.9006878207100512E-2</v>
      </c>
      <c r="K9" s="28">
        <v>9.1601188779869848E-4</v>
      </c>
      <c r="L9" s="28">
        <v>-6.4486685979602359E-2</v>
      </c>
      <c r="M9" s="28">
        <v>2.2228849971573084E-2</v>
      </c>
      <c r="N9" s="28">
        <v>-8.8967971530249572E-4</v>
      </c>
      <c r="R9" s="18"/>
      <c r="S9" s="18"/>
      <c r="T9" s="18"/>
      <c r="U9" s="18"/>
      <c r="V9" s="18"/>
      <c r="W9" s="18"/>
      <c r="X9" s="18"/>
      <c r="Y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</row>
    <row r="10" spans="1:40">
      <c r="A10" s="4">
        <v>37687</v>
      </c>
      <c r="B10" s="28">
        <v>-1.9764630874266127E-2</v>
      </c>
      <c r="C10" s="28">
        <v>7.9865680446521339E-3</v>
      </c>
      <c r="D10" s="28">
        <v>-1.4235734105441027E-2</v>
      </c>
      <c r="E10" s="28">
        <v>-8.9888558616532904E-4</v>
      </c>
      <c r="F10" s="28">
        <v>2.6129465484824119E-2</v>
      </c>
      <c r="G10" s="28">
        <v>-1.7436115292618171E-2</v>
      </c>
      <c r="H10" s="28">
        <v>7.3690387523415854E-3</v>
      </c>
      <c r="I10" s="28">
        <v>2.0124680491782395E-2</v>
      </c>
      <c r="J10" s="28">
        <v>-6.7484166009024451E-3</v>
      </c>
      <c r="K10" s="28">
        <v>3.1665005796099314E-2</v>
      </c>
      <c r="L10" s="28">
        <v>0.11522864172393309</v>
      </c>
      <c r="M10" s="28">
        <v>2.5255748646036413E-3</v>
      </c>
      <c r="N10" s="28">
        <v>5.2200079835416453E-3</v>
      </c>
      <c r="R10" s="60" t="s">
        <v>37</v>
      </c>
      <c r="S10" s="60"/>
      <c r="T10" s="60"/>
      <c r="U10" s="60"/>
      <c r="V10" s="18"/>
      <c r="W10" s="18"/>
      <c r="X10" s="18"/>
      <c r="Y10" s="18"/>
      <c r="AA10" s="18" t="s">
        <v>13</v>
      </c>
      <c r="AB10" s="22">
        <v>2808.8409999999999</v>
      </c>
      <c r="AC10" s="22">
        <v>23.85277</v>
      </c>
      <c r="AD10" s="22">
        <v>1476.8230000000001</v>
      </c>
      <c r="AE10" s="22">
        <v>4007.7869999999998</v>
      </c>
      <c r="AF10" s="22">
        <v>4168.8909999999996</v>
      </c>
      <c r="AG10" s="22">
        <v>4439.7610000000004</v>
      </c>
      <c r="AH10" s="22">
        <v>2251.11</v>
      </c>
      <c r="AI10" s="22">
        <v>1180.125</v>
      </c>
      <c r="AJ10" s="22">
        <v>10537.51</v>
      </c>
      <c r="AK10" s="22">
        <v>5023.0959999999995</v>
      </c>
      <c r="AL10" s="22">
        <v>2030.027</v>
      </c>
      <c r="AM10" s="22">
        <v>1209.002</v>
      </c>
      <c r="AN10" s="22">
        <v>4938.5990000000002</v>
      </c>
    </row>
    <row r="11" spans="1:40" ht="15.75" thickBot="1">
      <c r="A11" s="4">
        <v>37694</v>
      </c>
      <c r="B11" s="28">
        <v>3.2114691455053042E-3</v>
      </c>
      <c r="C11" s="28">
        <v>-9.4989420609552302E-3</v>
      </c>
      <c r="D11" s="28">
        <v>-3.8306204870884784E-2</v>
      </c>
      <c r="E11" s="28">
        <v>-1.8924251873511148E-2</v>
      </c>
      <c r="F11" s="28">
        <v>-1.3328865946998667E-2</v>
      </c>
      <c r="G11" s="28">
        <v>-4.1403099827996268E-2</v>
      </c>
      <c r="H11" s="28">
        <v>-1.7800530991295763E-2</v>
      </c>
      <c r="I11" s="28">
        <v>2.3537148104896759E-2</v>
      </c>
      <c r="J11" s="28">
        <v>4.9811043994662232E-3</v>
      </c>
      <c r="K11" s="28">
        <v>-5.8941807285917004E-2</v>
      </c>
      <c r="L11" s="28">
        <v>2.4609743480509927E-2</v>
      </c>
      <c r="M11" s="28">
        <v>-3.4832431449229193E-2</v>
      </c>
      <c r="N11" s="28">
        <v>-2.9813361028805298E-2</v>
      </c>
      <c r="R11" s="52"/>
      <c r="S11" s="52" t="s">
        <v>34</v>
      </c>
      <c r="T11" s="52" t="s">
        <v>35</v>
      </c>
      <c r="U11" s="52" t="s">
        <v>36</v>
      </c>
      <c r="V11" s="18"/>
      <c r="W11" s="18"/>
      <c r="X11" s="18"/>
      <c r="Y11" s="18"/>
      <c r="AA11" s="18" t="s">
        <v>14</v>
      </c>
      <c r="AB11" s="21">
        <v>0</v>
      </c>
      <c r="AC11" s="21">
        <v>6.9999999999999999E-6</v>
      </c>
      <c r="AD11" s="21">
        <v>0</v>
      </c>
      <c r="AE11" s="21">
        <v>0</v>
      </c>
      <c r="AF11" s="21">
        <v>0</v>
      </c>
      <c r="AG11" s="21">
        <v>0</v>
      </c>
      <c r="AH11" s="21">
        <v>0</v>
      </c>
      <c r="AI11" s="21">
        <v>0</v>
      </c>
      <c r="AJ11" s="21">
        <v>0</v>
      </c>
      <c r="AK11" s="21">
        <v>0</v>
      </c>
      <c r="AL11" s="21">
        <v>0</v>
      </c>
      <c r="AM11" s="21">
        <v>0</v>
      </c>
      <c r="AN11" s="21">
        <v>0</v>
      </c>
    </row>
    <row r="12" spans="1:40" ht="15.75" thickTop="1">
      <c r="A12" s="4">
        <v>37701</v>
      </c>
      <c r="B12" s="28">
        <v>6.1484433038427745E-2</v>
      </c>
      <c r="C12" s="28">
        <v>-1.6453049722752498E-2</v>
      </c>
      <c r="D12" s="28">
        <v>4.2758971748536517E-2</v>
      </c>
      <c r="E12" s="28">
        <v>1.6715298040850316E-2</v>
      </c>
      <c r="F12" s="28">
        <v>4.2829551966381572E-2</v>
      </c>
      <c r="G12" s="28">
        <v>-7.04004392673643E-3</v>
      </c>
      <c r="H12" s="28">
        <v>4.2063003261935718E-2</v>
      </c>
      <c r="I12" s="28">
        <v>4.0032344894048305E-2</v>
      </c>
      <c r="J12" s="28">
        <v>2.5197648489762834E-2</v>
      </c>
      <c r="K12" s="28">
        <v>2.326239054841011E-2</v>
      </c>
      <c r="L12" s="28">
        <v>0.16916257693764072</v>
      </c>
      <c r="M12" s="28">
        <v>-1.4690223792697214E-2</v>
      </c>
      <c r="N12" s="28">
        <v>2.250139059433471E-2</v>
      </c>
      <c r="R12" s="18" t="s">
        <v>29</v>
      </c>
      <c r="S12" s="20">
        <v>2.0200000000000001E-3</v>
      </c>
      <c r="T12" s="20">
        <v>1.6000000000000001E-3</v>
      </c>
      <c r="U12" s="20">
        <v>1.701E-3</v>
      </c>
      <c r="V12" s="18"/>
      <c r="W12" s="18"/>
      <c r="X12" s="18"/>
      <c r="Y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</row>
    <row r="13" spans="1:40">
      <c r="A13" s="4">
        <v>37708</v>
      </c>
      <c r="B13" s="28">
        <v>-2.9165129092597959E-2</v>
      </c>
      <c r="C13" s="28">
        <v>1.2153419593345635E-2</v>
      </c>
      <c r="D13" s="28">
        <v>-9.0309982914326941E-3</v>
      </c>
      <c r="E13" s="28">
        <v>-4.2331187733180226E-3</v>
      </c>
      <c r="F13" s="28">
        <v>-9.188969166581953E-3</v>
      </c>
      <c r="G13" s="28">
        <v>3.8866396761133501E-2</v>
      </c>
      <c r="H13" s="28">
        <v>-2.6475931965939125E-2</v>
      </c>
      <c r="I13" s="28">
        <v>-2.343142580225934E-3</v>
      </c>
      <c r="J13" s="28">
        <v>5.7342850928353783E-4</v>
      </c>
      <c r="K13" s="28">
        <v>2.2518603437160536E-4</v>
      </c>
      <c r="L13" s="28">
        <v>-7.6795092429717257E-2</v>
      </c>
      <c r="M13" s="28">
        <v>4.3580131208997126E-2</v>
      </c>
      <c r="N13" s="28">
        <v>1.2008991347368519E-3</v>
      </c>
      <c r="R13" s="18" t="s">
        <v>30</v>
      </c>
      <c r="S13" s="20">
        <v>2.2672999999999999E-2</v>
      </c>
      <c r="T13" s="20">
        <v>2.4451000000000001E-2</v>
      </c>
      <c r="U13" s="20">
        <v>2.7748999999999999E-2</v>
      </c>
      <c r="V13" s="18"/>
      <c r="W13" s="18"/>
      <c r="X13" s="18"/>
      <c r="Y13" s="18"/>
      <c r="AA13" s="18" t="s">
        <v>15</v>
      </c>
      <c r="AB13" s="21">
        <v>0.97539500000000001</v>
      </c>
      <c r="AC13" s="21">
        <v>0.60383500000000001</v>
      </c>
      <c r="AD13" s="21">
        <v>1.0738449999999999</v>
      </c>
      <c r="AE13" s="21">
        <v>1.4746049999999999</v>
      </c>
      <c r="AF13" s="21">
        <v>1.167937</v>
      </c>
      <c r="AG13" s="21">
        <v>1.2417670000000001</v>
      </c>
      <c r="AH13" s="21">
        <v>1.943913</v>
      </c>
      <c r="AI13" s="21">
        <v>3.5803769999999999</v>
      </c>
      <c r="AJ13" s="21">
        <v>1.037782</v>
      </c>
      <c r="AK13" s="21">
        <v>1.323828</v>
      </c>
      <c r="AL13" s="21">
        <v>1.051817</v>
      </c>
      <c r="AM13" s="21">
        <v>1.1729480000000001</v>
      </c>
      <c r="AN13" s="21">
        <v>1.4008130000000001</v>
      </c>
    </row>
    <row r="14" spans="1:40">
      <c r="A14" s="4">
        <v>37715</v>
      </c>
      <c r="B14" s="28">
        <v>1.5610459401009198E-2</v>
      </c>
      <c r="C14" s="28">
        <v>-4.5655846231107297E-4</v>
      </c>
      <c r="D14" s="28">
        <v>-1.3177339901477923E-2</v>
      </c>
      <c r="E14" s="28">
        <v>1.2722462970015763E-2</v>
      </c>
      <c r="F14" s="28">
        <v>2.385818603839085E-2</v>
      </c>
      <c r="G14" s="28">
        <v>-1.0579244529779559E-2</v>
      </c>
      <c r="H14" s="28">
        <v>3.0197758215566587E-2</v>
      </c>
      <c r="I14" s="28">
        <v>-2.498105069872222E-2</v>
      </c>
      <c r="J14" s="28">
        <v>2.3536619105964128E-2</v>
      </c>
      <c r="K14" s="28">
        <v>1.5554805104431909E-3</v>
      </c>
      <c r="L14" s="28">
        <v>0.1061783763705651</v>
      </c>
      <c r="M14" s="28">
        <v>1.9152699247637235E-3</v>
      </c>
      <c r="N14" s="28">
        <v>1.2753219060116399E-2</v>
      </c>
      <c r="R14" s="18" t="s">
        <v>31</v>
      </c>
      <c r="S14" s="21">
        <v>-0.95995900000000001</v>
      </c>
      <c r="T14" s="21">
        <v>-1.366069</v>
      </c>
      <c r="U14" s="21">
        <v>-1.492191</v>
      </c>
      <c r="V14" s="18"/>
      <c r="W14" s="18"/>
      <c r="X14" s="18"/>
      <c r="Y14" s="18"/>
      <c r="AA14" s="18" t="s">
        <v>16</v>
      </c>
      <c r="AB14" s="21">
        <v>0.41009099999999998</v>
      </c>
      <c r="AC14" s="21">
        <v>2.7247E-2</v>
      </c>
      <c r="AD14" s="21">
        <v>0.57025899999999996</v>
      </c>
      <c r="AE14" s="21">
        <v>0.37473800000000002</v>
      </c>
      <c r="AF14" s="21">
        <v>0.43584099999999998</v>
      </c>
      <c r="AG14" s="21">
        <v>0.56133699999999997</v>
      </c>
      <c r="AH14" s="21">
        <v>0.59498499999999999</v>
      </c>
      <c r="AI14" s="21">
        <v>0.94145199999999996</v>
      </c>
      <c r="AJ14" s="21">
        <v>0.33645599999999998</v>
      </c>
      <c r="AK14" s="21">
        <v>0.37071300000000001</v>
      </c>
      <c r="AL14" s="21">
        <v>1.127561</v>
      </c>
      <c r="AM14" s="21">
        <v>0.59677500000000006</v>
      </c>
      <c r="AN14" s="21">
        <v>0.49461899999999998</v>
      </c>
    </row>
    <row r="15" spans="1:40">
      <c r="A15" s="4">
        <v>37722</v>
      </c>
      <c r="B15" s="28">
        <v>-5.8849340526031272E-3</v>
      </c>
      <c r="C15" s="28">
        <v>7.7650390535781975E-4</v>
      </c>
      <c r="D15" s="28">
        <v>-1.2978909272432199E-2</v>
      </c>
      <c r="E15" s="28">
        <v>6.0882027097075922E-3</v>
      </c>
      <c r="F15" s="28">
        <v>2.9591734376567817E-3</v>
      </c>
      <c r="G15" s="28">
        <v>4.8888974282612539E-2</v>
      </c>
      <c r="H15" s="28">
        <v>3.7759322514813688E-3</v>
      </c>
      <c r="I15" s="28">
        <v>-1.5328858766463344E-4</v>
      </c>
      <c r="J15" s="28">
        <v>-2.6065298399395847E-3</v>
      </c>
      <c r="K15" s="28">
        <v>2.1283117573131904E-2</v>
      </c>
      <c r="L15" s="28">
        <v>5.2234258211349756E-2</v>
      </c>
      <c r="M15" s="28">
        <v>3.5881535140672466E-2</v>
      </c>
      <c r="N15" s="28">
        <v>2.7230027938616578E-3</v>
      </c>
      <c r="R15" s="18" t="s">
        <v>32</v>
      </c>
      <c r="S15" s="21">
        <v>14.3171</v>
      </c>
      <c r="T15" s="21">
        <v>14.38397</v>
      </c>
      <c r="U15" s="21">
        <v>14.707190000000001</v>
      </c>
      <c r="V15" s="18"/>
      <c r="W15" s="18"/>
      <c r="X15" s="18"/>
      <c r="Y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</row>
    <row r="16" spans="1:40">
      <c r="A16" s="4">
        <v>37729</v>
      </c>
      <c r="B16" s="28">
        <v>2.9170453070232413E-2</v>
      </c>
      <c r="C16" s="28">
        <v>5.6138749429485088E-3</v>
      </c>
      <c r="D16" s="28">
        <v>1.4793273485902158E-2</v>
      </c>
      <c r="E16" s="28">
        <v>1.0930838704463193E-2</v>
      </c>
      <c r="F16" s="28">
        <v>9.0613592038805268E-3</v>
      </c>
      <c r="G16" s="28">
        <v>-3.2148156289498186E-3</v>
      </c>
      <c r="H16" s="28">
        <v>2.8484762826297355E-3</v>
      </c>
      <c r="I16" s="28">
        <v>1.9711554256053091E-2</v>
      </c>
      <c r="J16" s="28">
        <v>2.7488481938905086E-3</v>
      </c>
      <c r="K16" s="28">
        <v>1.2905936730896986E-3</v>
      </c>
      <c r="L16" s="28">
        <v>1.6287068445873239E-2</v>
      </c>
      <c r="M16" s="28">
        <v>5.9158536046980065E-4</v>
      </c>
      <c r="N16" s="28">
        <v>1.7979547129430475E-2</v>
      </c>
      <c r="R16" s="45" t="s">
        <v>33</v>
      </c>
      <c r="S16" s="59">
        <v>4007.7869999999998</v>
      </c>
      <c r="T16" s="59">
        <v>4168.8909999999996</v>
      </c>
      <c r="U16" s="59">
        <v>4439.7610000000004</v>
      </c>
      <c r="V16" s="18"/>
      <c r="W16" s="18"/>
      <c r="X16" s="18"/>
      <c r="Y16" s="18"/>
      <c r="AA16" s="18" t="s">
        <v>17</v>
      </c>
      <c r="AB16" s="18">
        <v>730</v>
      </c>
      <c r="AC16" s="18">
        <v>730</v>
      </c>
      <c r="AD16" s="18">
        <v>730</v>
      </c>
      <c r="AE16" s="18">
        <v>730</v>
      </c>
      <c r="AF16" s="18">
        <v>730</v>
      </c>
      <c r="AG16" s="18">
        <v>730</v>
      </c>
      <c r="AH16" s="18">
        <v>730</v>
      </c>
      <c r="AI16" s="18">
        <v>730</v>
      </c>
      <c r="AJ16" s="18">
        <v>730</v>
      </c>
      <c r="AK16" s="18">
        <v>730</v>
      </c>
      <c r="AL16" s="18">
        <v>730</v>
      </c>
      <c r="AM16" s="18">
        <v>730</v>
      </c>
      <c r="AN16" s="18">
        <v>730</v>
      </c>
    </row>
    <row r="17" spans="1:25">
      <c r="A17" s="4">
        <v>37736</v>
      </c>
      <c r="B17" s="28">
        <v>2.0686958386417075E-3</v>
      </c>
      <c r="C17" s="28">
        <v>5.6279217537329486E-3</v>
      </c>
      <c r="D17" s="28">
        <v>4.2362322452029555E-3</v>
      </c>
      <c r="E17" s="28">
        <v>5.9959227725149176E-4</v>
      </c>
      <c r="F17" s="28">
        <v>1.3390688961354324E-2</v>
      </c>
      <c r="G17" s="28">
        <v>2.0995855960158537E-2</v>
      </c>
      <c r="H17" s="28">
        <v>5.2904890450016758E-3</v>
      </c>
      <c r="I17" s="28">
        <v>-6.2716797147673552E-3</v>
      </c>
      <c r="J17" s="28">
        <v>-1.2432432432432429E-2</v>
      </c>
      <c r="K17" s="28">
        <v>-1.7665337769651252E-2</v>
      </c>
      <c r="L17" s="28">
        <v>1.5589928475896927E-2</v>
      </c>
      <c r="M17" s="28">
        <v>2.2255166693139927E-2</v>
      </c>
      <c r="N17" s="28">
        <v>1.9258612824530393E-2</v>
      </c>
      <c r="R17" s="18"/>
      <c r="S17" s="18"/>
      <c r="T17" s="18"/>
      <c r="U17" s="18"/>
      <c r="V17" s="18"/>
      <c r="W17" s="18"/>
      <c r="X17" s="18"/>
      <c r="Y17" s="18"/>
    </row>
    <row r="18" spans="1:25">
      <c r="A18" s="4">
        <v>37743</v>
      </c>
      <c r="B18" s="28">
        <v>3.5359575030525843E-2</v>
      </c>
      <c r="C18" s="28">
        <v>5.8672202915557676E-3</v>
      </c>
      <c r="D18" s="28">
        <v>2.9156327543424426E-2</v>
      </c>
      <c r="E18" s="28">
        <v>2.0673537871524494E-2</v>
      </c>
      <c r="F18" s="28">
        <v>1.0367559320044623E-2</v>
      </c>
      <c r="G18" s="28">
        <v>3.053565643111688E-2</v>
      </c>
      <c r="H18" s="28">
        <v>7.0851621391366778E-3</v>
      </c>
      <c r="I18" s="28">
        <v>6.0313617844444625E-2</v>
      </c>
      <c r="J18" s="28">
        <v>2.4044100398779448E-3</v>
      </c>
      <c r="K18" s="28">
        <v>3.7573106850429798E-2</v>
      </c>
      <c r="L18" s="28">
        <v>7.1840413166829861E-2</v>
      </c>
      <c r="M18" s="28">
        <v>1.4001588342943983E-2</v>
      </c>
      <c r="N18" s="28">
        <v>1.3631056625802678E-2</v>
      </c>
      <c r="R18" s="60" t="s">
        <v>38</v>
      </c>
      <c r="S18" s="60"/>
      <c r="T18" s="60"/>
      <c r="U18" s="60"/>
      <c r="V18" s="60"/>
      <c r="W18" s="60"/>
      <c r="X18" s="60"/>
      <c r="Y18" s="60"/>
    </row>
    <row r="19" spans="1:25" ht="15.75" thickBot="1">
      <c r="A19" s="4">
        <v>37750</v>
      </c>
      <c r="B19" s="28">
        <v>1.0808510638297856E-2</v>
      </c>
      <c r="C19" s="28">
        <v>1.2832592991429914E-2</v>
      </c>
      <c r="D19" s="28">
        <v>3.0500301386377347E-2</v>
      </c>
      <c r="E19" s="28">
        <v>1.2632341141705397E-2</v>
      </c>
      <c r="F19" s="28">
        <v>1.6630849354320403E-2</v>
      </c>
      <c r="G19" s="28">
        <v>3.0181033805203237E-2</v>
      </c>
      <c r="H19" s="28">
        <v>6.4570706529886411E-3</v>
      </c>
      <c r="I19" s="28">
        <v>1.5604297042216258E-2</v>
      </c>
      <c r="J19" s="28">
        <v>-3.7832251018934475E-3</v>
      </c>
      <c r="K19" s="28">
        <v>1.1214696742444236E-2</v>
      </c>
      <c r="L19" s="28">
        <v>6.3184435731150956E-2</v>
      </c>
      <c r="M19" s="28">
        <v>3.5525173241618864E-2</v>
      </c>
      <c r="N19" s="28">
        <v>1.9370134669469543E-2</v>
      </c>
      <c r="R19" s="52"/>
      <c r="S19" s="52" t="s">
        <v>20</v>
      </c>
      <c r="T19" s="52" t="s">
        <v>23</v>
      </c>
      <c r="U19" s="52" t="s">
        <v>19</v>
      </c>
      <c r="V19" s="52" t="s">
        <v>18</v>
      </c>
      <c r="W19" s="52" t="s">
        <v>22</v>
      </c>
      <c r="X19" s="52" t="s">
        <v>24</v>
      </c>
      <c r="Y19" s="52" t="s">
        <v>21</v>
      </c>
    </row>
    <row r="20" spans="1:25" ht="15.75" thickTop="1">
      <c r="A20" s="4">
        <v>37757</v>
      </c>
      <c r="B20" s="28">
        <v>1.5516183740482779E-2</v>
      </c>
      <c r="C20" s="28">
        <v>8.8601426482966383E-3</v>
      </c>
      <c r="D20" s="28">
        <v>1.731399157697695E-2</v>
      </c>
      <c r="E20" s="28">
        <v>2.3355139193537326E-2</v>
      </c>
      <c r="F20" s="28">
        <v>1.8701199771471978E-2</v>
      </c>
      <c r="G20" s="28">
        <v>2.1701352095960587E-2</v>
      </c>
      <c r="H20" s="28">
        <v>3.8249156816223227E-2</v>
      </c>
      <c r="I20" s="28">
        <v>3.1682472778363127E-2</v>
      </c>
      <c r="J20" s="28">
        <v>3.1868454536556665E-2</v>
      </c>
      <c r="K20" s="28">
        <v>2.6068073638188031E-2</v>
      </c>
      <c r="L20" s="28">
        <v>6.1549747269201011E-3</v>
      </c>
      <c r="M20" s="28">
        <v>2.8855876815823793E-3</v>
      </c>
      <c r="N20" s="28">
        <v>8.5594026309098181E-3</v>
      </c>
      <c r="R20" s="24" t="s">
        <v>29</v>
      </c>
      <c r="S20" s="20">
        <v>2.663E-3</v>
      </c>
      <c r="T20" s="20">
        <v>4.9049999999999996E-3</v>
      </c>
      <c r="U20" s="20">
        <v>1.4220000000000001E-3</v>
      </c>
      <c r="V20" s="20">
        <v>1.8129999999999999E-3</v>
      </c>
      <c r="W20" s="20">
        <v>1.441E-3</v>
      </c>
      <c r="X20" s="20">
        <v>1.6069999999999999E-3</v>
      </c>
      <c r="Y20" s="20">
        <v>1.9189999999999999E-3</v>
      </c>
    </row>
    <row r="21" spans="1:25">
      <c r="A21" s="4">
        <v>37764</v>
      </c>
      <c r="B21" s="28">
        <v>-8.7055395657888984E-3</v>
      </c>
      <c r="C21" s="28">
        <v>6.4111008650595356E-3</v>
      </c>
      <c r="D21" s="28">
        <v>1.8399264029438922E-2</v>
      </c>
      <c r="E21" s="28">
        <v>1.0292145865201302E-2</v>
      </c>
      <c r="F21" s="28">
        <v>4.2314738652508774E-2</v>
      </c>
      <c r="G21" s="28">
        <v>4.0157643642397919E-2</v>
      </c>
      <c r="H21" s="28">
        <v>3.2720527955402472E-2</v>
      </c>
      <c r="I21" s="28">
        <v>-1.3521137721054773E-3</v>
      </c>
      <c r="J21" s="28">
        <v>3.1017016675203286E-3</v>
      </c>
      <c r="K21" s="28">
        <v>-3.4768806333970101E-3</v>
      </c>
      <c r="L21" s="28">
        <v>6.1427907975490754E-2</v>
      </c>
      <c r="M21" s="28">
        <v>5.0381178785146162E-2</v>
      </c>
      <c r="N21" s="28">
        <v>2.8625312768420737E-2</v>
      </c>
      <c r="R21" s="24" t="s">
        <v>30</v>
      </c>
      <c r="S21" s="20">
        <v>2.8569000000000001E-2</v>
      </c>
      <c r="T21" s="20">
        <v>3.5936000000000003E-2</v>
      </c>
      <c r="U21" s="20">
        <v>2.1482999999999999E-2</v>
      </c>
      <c r="V21" s="20">
        <v>2.2550000000000001E-2</v>
      </c>
      <c r="W21" s="20">
        <v>3.9328000000000002E-2</v>
      </c>
      <c r="X21" s="20">
        <v>2.8611999999999999E-2</v>
      </c>
      <c r="Y21" s="20">
        <v>2.6048000000000002E-2</v>
      </c>
    </row>
    <row r="22" spans="1:25">
      <c r="A22" s="4">
        <v>37771</v>
      </c>
      <c r="B22" s="28">
        <v>2.474490405524879E-2</v>
      </c>
      <c r="C22" s="28">
        <v>-2.4433875823552612E-3</v>
      </c>
      <c r="D22" s="28">
        <v>-5.6458897922309344E-4</v>
      </c>
      <c r="E22" s="28">
        <v>-1.2009794758682696E-2</v>
      </c>
      <c r="F22" s="28">
        <v>1.2474105693608777E-2</v>
      </c>
      <c r="G22" s="28">
        <v>-4.3792126989191634E-3</v>
      </c>
      <c r="H22" s="28">
        <v>-1.5261418776109623E-2</v>
      </c>
      <c r="I22" s="28">
        <v>-2.4575553022997701E-2</v>
      </c>
      <c r="J22" s="28">
        <v>8.595500836855615E-3</v>
      </c>
      <c r="K22" s="28">
        <v>-4.4702959971177708E-2</v>
      </c>
      <c r="L22" s="28">
        <v>0.10511310173510485</v>
      </c>
      <c r="M22" s="28">
        <v>5.7048760691766351E-3</v>
      </c>
      <c r="N22" s="28">
        <v>5.1554813295333415E-3</v>
      </c>
      <c r="R22" s="24" t="s">
        <v>31</v>
      </c>
      <c r="S22" s="21">
        <v>-1.033296</v>
      </c>
      <c r="T22" s="21">
        <v>0.25618600000000002</v>
      </c>
      <c r="U22" s="21">
        <v>-1.572152</v>
      </c>
      <c r="V22" s="21">
        <v>-1.3933340000000001</v>
      </c>
      <c r="W22" s="21">
        <v>-0.23705799999999999</v>
      </c>
      <c r="X22" s="21">
        <v>-0.92994299999999996</v>
      </c>
      <c r="Y22" s="21">
        <v>-0.49229699999999998</v>
      </c>
    </row>
    <row r="23" spans="1:25">
      <c r="A23" s="4">
        <v>37778</v>
      </c>
      <c r="B23" s="28">
        <v>2.9895645076662959E-2</v>
      </c>
      <c r="C23" s="28">
        <v>1.3996413419061068E-3</v>
      </c>
      <c r="D23" s="28">
        <v>3.1521861936504261E-2</v>
      </c>
      <c r="E23" s="28">
        <v>2.1360123355185511E-2</v>
      </c>
      <c r="F23" s="28">
        <v>9.6012470992541486E-3</v>
      </c>
      <c r="G23" s="28">
        <v>1.2001666453018858E-2</v>
      </c>
      <c r="H23" s="28">
        <v>8.4140307741916217E-3</v>
      </c>
      <c r="I23" s="28">
        <v>4.0143798681845352E-2</v>
      </c>
      <c r="J23" s="28">
        <v>7.7628396242337486E-3</v>
      </c>
      <c r="K23" s="28">
        <v>9.2180351134886207E-2</v>
      </c>
      <c r="L23" s="28">
        <v>-6.38585915349051E-4</v>
      </c>
      <c r="M23" s="28">
        <v>8.0625761443968366E-3</v>
      </c>
      <c r="N23" s="28">
        <v>1.5134276065088215E-2</v>
      </c>
      <c r="R23" s="24" t="s">
        <v>32</v>
      </c>
      <c r="S23" s="21">
        <v>11.350949999999999</v>
      </c>
      <c r="T23" s="21">
        <v>9.2077449999999992</v>
      </c>
      <c r="U23" s="21">
        <v>21.34535</v>
      </c>
      <c r="V23" s="21">
        <v>15.54501</v>
      </c>
      <c r="W23" s="21">
        <v>11.155720000000001</v>
      </c>
      <c r="X23" s="21">
        <v>9.0240209999999994</v>
      </c>
      <c r="Y23" s="21">
        <v>15.70415</v>
      </c>
    </row>
    <row r="24" spans="1:25">
      <c r="A24" s="4">
        <v>37785</v>
      </c>
      <c r="B24" s="28">
        <v>4.7209863125361696E-3</v>
      </c>
      <c r="C24" s="28">
        <v>1.2186066826818172E-2</v>
      </c>
      <c r="D24" s="28">
        <v>8.4337349397589929E-3</v>
      </c>
      <c r="E24" s="28">
        <v>8.4746547620148955E-3</v>
      </c>
      <c r="F24" s="28">
        <v>-8.5800010527608429E-3</v>
      </c>
      <c r="G24" s="28">
        <v>4.2742688854758779E-2</v>
      </c>
      <c r="H24" s="28">
        <v>-9.3330935108020385E-3</v>
      </c>
      <c r="I24" s="28">
        <v>3.3506144393241257E-3</v>
      </c>
      <c r="J24" s="28">
        <v>9.3031909945111169E-3</v>
      </c>
      <c r="K24" s="28">
        <v>-1.9600716057684386E-2</v>
      </c>
      <c r="L24" s="28">
        <v>-4.4145963262106853E-2</v>
      </c>
      <c r="M24" s="28">
        <v>2.7673856480840028E-2</v>
      </c>
      <c r="N24" s="28">
        <v>9.5892116920777565E-3</v>
      </c>
      <c r="R24" s="61" t="s">
        <v>33</v>
      </c>
      <c r="S24" s="45">
        <v>2251.11</v>
      </c>
      <c r="T24" s="45">
        <v>1180.125</v>
      </c>
      <c r="U24" s="45">
        <v>10537.51</v>
      </c>
      <c r="V24" s="45">
        <v>5023.0959999999995</v>
      </c>
      <c r="W24" s="45">
        <v>2030.027</v>
      </c>
      <c r="X24" s="45">
        <v>1209.002</v>
      </c>
      <c r="Y24" s="45">
        <v>4938.5990000000002</v>
      </c>
    </row>
    <row r="25" spans="1:25">
      <c r="A25" s="4">
        <v>37792</v>
      </c>
      <c r="B25" s="28">
        <v>7.5834403804115316E-3</v>
      </c>
      <c r="C25" s="28">
        <v>-1.2125658065072936E-2</v>
      </c>
      <c r="D25" s="28">
        <v>-3.2583903551631289E-4</v>
      </c>
      <c r="E25" s="28">
        <v>8.2656772344889145E-4</v>
      </c>
      <c r="F25" s="28">
        <v>8.6631034970975195E-3</v>
      </c>
      <c r="G25" s="28">
        <v>-1.9656374086081174E-2</v>
      </c>
      <c r="H25" s="28">
        <v>1.6683477910026303E-2</v>
      </c>
      <c r="I25" s="28">
        <v>-5.2339989857333128E-3</v>
      </c>
      <c r="J25" s="28">
        <v>6.0742925615263317E-3</v>
      </c>
      <c r="K25" s="28">
        <v>1.6590972286588065E-2</v>
      </c>
      <c r="L25" s="28">
        <v>-2.7765274243362935E-3</v>
      </c>
      <c r="M25" s="28">
        <v>-1.6464296147594412E-2</v>
      </c>
      <c r="N25" s="28">
        <v>-2.5551561288500354E-4</v>
      </c>
    </row>
    <row r="26" spans="1:25">
      <c r="A26" s="4">
        <v>37799</v>
      </c>
      <c r="B26" s="28">
        <v>-2.2377794428477284E-2</v>
      </c>
      <c r="C26" s="28">
        <v>-9.0420652601231524E-3</v>
      </c>
      <c r="D26" s="28">
        <v>-2.303346371142986E-2</v>
      </c>
      <c r="E26" s="28">
        <v>-2.2592545010736615E-2</v>
      </c>
      <c r="F26" s="28">
        <v>-1.2808478159790073E-2</v>
      </c>
      <c r="G26" s="28">
        <v>8.5576654998295865E-3</v>
      </c>
      <c r="H26" s="28">
        <v>-1.0298232037621395E-2</v>
      </c>
      <c r="I26" s="28">
        <v>-9.4938535234026771E-3</v>
      </c>
      <c r="J26" s="28">
        <v>-3.0298032964113219E-2</v>
      </c>
      <c r="K26" s="28">
        <v>-8.014223194748326E-3</v>
      </c>
      <c r="L26" s="28">
        <v>1.6817275806898575E-2</v>
      </c>
      <c r="M26" s="28">
        <v>-2.5475427065642101E-2</v>
      </c>
      <c r="N26" s="28">
        <v>-1.5070461015097019E-2</v>
      </c>
    </row>
    <row r="27" spans="1:25">
      <c r="A27" s="4">
        <v>37806</v>
      </c>
      <c r="B27" s="28">
        <v>1.0844448511748175E-2</v>
      </c>
      <c r="C27" s="28">
        <v>-3.5264039495729743E-4</v>
      </c>
      <c r="D27" s="28">
        <v>1.979537366548044E-2</v>
      </c>
      <c r="E27" s="28">
        <v>-1.3144058885371853E-4</v>
      </c>
      <c r="F27" s="28">
        <v>1.5276333679916869E-2</v>
      </c>
      <c r="G27" s="28">
        <v>-5.0987107326324194E-3</v>
      </c>
      <c r="H27" s="28">
        <v>1.1327639440235266E-3</v>
      </c>
      <c r="I27" s="28">
        <v>3.8184025248846745E-2</v>
      </c>
      <c r="J27" s="28">
        <v>-5.8294438880596286E-3</v>
      </c>
      <c r="K27" s="28">
        <v>6.1120761757705267E-3</v>
      </c>
      <c r="L27" s="28">
        <v>0.1083636235776039</v>
      </c>
      <c r="M27" s="28">
        <v>-1.1480329483111512E-2</v>
      </c>
      <c r="N27" s="28">
        <v>3.0781069642170557E-3</v>
      </c>
    </row>
    <row r="28" spans="1:25">
      <c r="A28" s="4">
        <v>37813</v>
      </c>
      <c r="B28" s="28">
        <v>6.6428264264536191E-3</v>
      </c>
      <c r="C28" s="28">
        <v>-7.0552958814708788E-4</v>
      </c>
      <c r="D28" s="28">
        <v>9.814612868048354E-4</v>
      </c>
      <c r="E28" s="28">
        <v>-1.2234971548761454E-2</v>
      </c>
      <c r="F28" s="28">
        <v>-1.1028832519300575E-2</v>
      </c>
      <c r="G28" s="28">
        <v>-1.8191641261143181E-2</v>
      </c>
      <c r="H28" s="28">
        <v>-3.3043286705584311E-2</v>
      </c>
      <c r="I28" s="28">
        <v>-3.9660639621353225E-3</v>
      </c>
      <c r="J28" s="28">
        <v>-1.2316464718460476E-2</v>
      </c>
      <c r="K28" s="28">
        <v>-2.2655436391208393E-2</v>
      </c>
      <c r="L28" s="28">
        <v>3.7953651418057059E-2</v>
      </c>
      <c r="M28" s="28">
        <v>-6.4116247262608816E-3</v>
      </c>
      <c r="N28" s="28">
        <v>-3.9874755800572937E-3</v>
      </c>
    </row>
    <row r="29" spans="1:25">
      <c r="A29" s="4">
        <v>37820</v>
      </c>
      <c r="B29" s="28">
        <v>-8.8361269434420586E-3</v>
      </c>
      <c r="C29" s="28">
        <v>-1.1472950313299772E-2</v>
      </c>
      <c r="D29" s="28">
        <v>-1.9609979300578145E-3</v>
      </c>
      <c r="E29" s="28">
        <v>-4.1057084462189315E-2</v>
      </c>
      <c r="F29" s="28">
        <v>-1.5046111907669978E-2</v>
      </c>
      <c r="G29" s="28">
        <v>-2.5383623671467175E-2</v>
      </c>
      <c r="H29" s="28">
        <v>-3.2132464869678766E-2</v>
      </c>
      <c r="I29" s="28">
        <v>-6.9363184733713279E-2</v>
      </c>
      <c r="J29" s="28">
        <v>-3.875722849252853E-2</v>
      </c>
      <c r="K29" s="28">
        <v>-3.7238517189164863E-2</v>
      </c>
      <c r="L29" s="28">
        <v>-2.3702277389998729E-2</v>
      </c>
      <c r="M29" s="28">
        <v>-1.4942949442225349E-2</v>
      </c>
      <c r="N29" s="28">
        <v>-1.4562845934762741E-2</v>
      </c>
    </row>
    <row r="30" spans="1:25">
      <c r="A30" s="4">
        <v>37827</v>
      </c>
      <c r="B30" s="28">
        <v>1.4676693093787987E-2</v>
      </c>
      <c r="C30" s="28">
        <v>-1.0266940451746191E-3</v>
      </c>
      <c r="D30" s="28">
        <v>1.6810391878615941E-2</v>
      </c>
      <c r="E30" s="28">
        <v>3.3040564653634093E-2</v>
      </c>
      <c r="F30" s="28">
        <v>7.9345110795609117E-3</v>
      </c>
      <c r="G30" s="28">
        <v>1.7373910097677803E-2</v>
      </c>
      <c r="H30" s="28">
        <v>2.2371771553292195E-2</v>
      </c>
      <c r="I30" s="28">
        <v>4.5440326145090137E-2</v>
      </c>
      <c r="J30" s="28">
        <v>1.9148957467893211E-2</v>
      </c>
      <c r="K30" s="28">
        <v>1.3485175045144852E-2</v>
      </c>
      <c r="L30" s="28">
        <v>3.3982539142140521E-2</v>
      </c>
      <c r="M30" s="28">
        <v>1.7891760904685049E-2</v>
      </c>
      <c r="N30" s="28">
        <v>1.3169375068164476E-2</v>
      </c>
    </row>
    <row r="31" spans="1:25">
      <c r="A31" s="4">
        <v>37834</v>
      </c>
      <c r="B31" s="28">
        <v>-1.5448072344373582E-2</v>
      </c>
      <c r="C31" s="28">
        <v>-1.7203628401626501E-2</v>
      </c>
      <c r="D31" s="28">
        <v>7.8368223295758425E-3</v>
      </c>
      <c r="E31" s="28">
        <v>-3.7453578865549016E-2</v>
      </c>
      <c r="F31" s="28">
        <v>-1.3987821947240372E-2</v>
      </c>
      <c r="G31" s="28">
        <v>-3.1316150412658214E-3</v>
      </c>
      <c r="H31" s="28">
        <v>-2.7020521782810312E-2</v>
      </c>
      <c r="I31" s="28">
        <v>-6.1949806949806903E-2</v>
      </c>
      <c r="J31" s="28">
        <v>-2.9828903687115726E-2</v>
      </c>
      <c r="K31" s="28">
        <v>-1.6562730503587655E-2</v>
      </c>
      <c r="L31" s="28">
        <v>-3.0821982613434683E-2</v>
      </c>
      <c r="M31" s="28">
        <v>-1.0776494861722932E-2</v>
      </c>
      <c r="N31" s="28">
        <v>-1.6146828493770016E-2</v>
      </c>
    </row>
    <row r="32" spans="1:25">
      <c r="A32" s="4">
        <v>37841</v>
      </c>
      <c r="B32" s="28">
        <v>-2.7134731320745996E-3</v>
      </c>
      <c r="C32" s="28">
        <v>1.1685005001363977E-2</v>
      </c>
      <c r="D32" s="28">
        <v>-1.2143161482743935E-2</v>
      </c>
      <c r="E32" s="28">
        <v>7.0883097720973957E-3</v>
      </c>
      <c r="F32" s="28">
        <v>7.3688969258590333E-3</v>
      </c>
      <c r="G32" s="28">
        <v>1.4100749176859653E-2</v>
      </c>
      <c r="H32" s="28">
        <v>2.0951868781930647E-2</v>
      </c>
      <c r="I32" s="28">
        <v>2.761828322117256E-2</v>
      </c>
      <c r="J32" s="28">
        <v>-1.3069844194498687E-2</v>
      </c>
      <c r="K32" s="28">
        <v>1.1688842999357114E-2</v>
      </c>
      <c r="L32" s="28">
        <v>1.6186158393958316E-2</v>
      </c>
      <c r="M32" s="28">
        <v>3.7141917421405213E-3</v>
      </c>
      <c r="N32" s="28">
        <v>4.1941336834526509E-4</v>
      </c>
    </row>
    <row r="33" spans="1:14">
      <c r="A33" s="4">
        <v>37848</v>
      </c>
      <c r="B33" s="28">
        <v>1.9193989071038267E-2</v>
      </c>
      <c r="C33" s="28">
        <v>-1.1909577097658431E-2</v>
      </c>
      <c r="D33" s="28">
        <v>2.0487384084537479E-2</v>
      </c>
      <c r="E33" s="28">
        <v>-2.4451329974161909E-3</v>
      </c>
      <c r="F33" s="28">
        <v>9.4062738410447579E-3</v>
      </c>
      <c r="G33" s="28">
        <v>2.43116280164075E-3</v>
      </c>
      <c r="H33" s="28">
        <v>-7.5850952877596E-3</v>
      </c>
      <c r="I33" s="28">
        <v>-1.0433981535257203E-2</v>
      </c>
      <c r="J33" s="28">
        <v>-9.6013786594998391E-3</v>
      </c>
      <c r="K33" s="28">
        <v>2.2751343128382E-2</v>
      </c>
      <c r="L33" s="28">
        <v>3.5415097529858372E-2</v>
      </c>
      <c r="M33" s="28">
        <v>3.3567774936061742E-3</v>
      </c>
      <c r="N33" s="28">
        <v>1.5311283869380125E-2</v>
      </c>
    </row>
    <row r="34" spans="1:14">
      <c r="A34" s="4">
        <v>37855</v>
      </c>
      <c r="B34" s="28">
        <v>2.7701449858141972E-3</v>
      </c>
      <c r="C34" s="28">
        <v>-2.2741744746662134E-4</v>
      </c>
      <c r="D34" s="28">
        <v>2.6204564666103169E-2</v>
      </c>
      <c r="E34" s="28">
        <v>-2.5434156991168001E-2</v>
      </c>
      <c r="F34" s="28">
        <v>3.6011843895325164E-3</v>
      </c>
      <c r="G34" s="28">
        <v>-1.0366058785332614E-2</v>
      </c>
      <c r="H34" s="28">
        <v>3.237688820950573E-3</v>
      </c>
      <c r="I34" s="28">
        <v>-2.0359426859872101E-2</v>
      </c>
      <c r="J34" s="28">
        <v>-2.3096841015018077E-2</v>
      </c>
      <c r="K34" s="28">
        <v>-1.8658507884207989E-2</v>
      </c>
      <c r="L34" s="28">
        <v>5.5881741660604861E-2</v>
      </c>
      <c r="M34" s="28">
        <v>-3.4148478572566601E-2</v>
      </c>
      <c r="N34" s="28">
        <v>-1.1965566456917612E-2</v>
      </c>
    </row>
    <row r="35" spans="1:14">
      <c r="A35" s="4">
        <v>37862</v>
      </c>
      <c r="B35" s="28">
        <v>8.4434245995500274E-3</v>
      </c>
      <c r="C35" s="28">
        <v>2.7751239707019025E-3</v>
      </c>
      <c r="D35" s="28">
        <v>5.4571663920922686E-3</v>
      </c>
      <c r="E35" s="28">
        <v>-7.9729550846681409E-3</v>
      </c>
      <c r="F35" s="28">
        <v>1.144700003543949E-2</v>
      </c>
      <c r="G35" s="28">
        <v>-1.5937262838350685E-2</v>
      </c>
      <c r="H35" s="28">
        <v>-6.3486688957548566E-3</v>
      </c>
      <c r="I35" s="28">
        <v>-1.5411312647192454E-2</v>
      </c>
      <c r="J35" s="28">
        <v>-2.6293469041560836E-3</v>
      </c>
      <c r="K35" s="28">
        <v>1.5243229761230846E-2</v>
      </c>
      <c r="L35" s="28">
        <v>4.0245904232322556E-2</v>
      </c>
      <c r="M35" s="28">
        <v>-8.1894880951399671E-3</v>
      </c>
      <c r="N35" s="28">
        <v>8.3855728172980998E-3</v>
      </c>
    </row>
    <row r="36" spans="1:14">
      <c r="A36" s="4">
        <v>37869</v>
      </c>
      <c r="B36" s="28">
        <v>1.938541068351517E-2</v>
      </c>
      <c r="C36" s="28">
        <v>-2.5406043008800194E-3</v>
      </c>
      <c r="D36" s="28">
        <v>1.5053763440860202E-2</v>
      </c>
      <c r="E36" s="28">
        <v>1.2276235835112535E-2</v>
      </c>
      <c r="F36" s="28">
        <v>1.1737911702873241E-2</v>
      </c>
      <c r="G36" s="28">
        <v>9.9534061696658904E-3</v>
      </c>
      <c r="H36" s="28">
        <v>4.3127316096604699E-3</v>
      </c>
      <c r="I36" s="28">
        <v>3.8365505665127919E-2</v>
      </c>
      <c r="J36" s="28">
        <v>6.6332171102985041E-3</v>
      </c>
      <c r="K36" s="28">
        <v>3.995010960768007E-2</v>
      </c>
      <c r="L36" s="28">
        <v>1.716500366614719E-3</v>
      </c>
      <c r="M36" s="28">
        <v>1.040246133377681E-2</v>
      </c>
      <c r="N36" s="28">
        <v>1.1541268368275426E-2</v>
      </c>
    </row>
    <row r="37" spans="1:14">
      <c r="A37" s="4">
        <v>37876</v>
      </c>
      <c r="B37" s="28">
        <v>1.3002914820072658E-4</v>
      </c>
      <c r="C37" s="28">
        <v>1.1689256799781647E-2</v>
      </c>
      <c r="D37" s="28">
        <v>1.008878127522138E-3</v>
      </c>
      <c r="E37" s="28">
        <v>1.6588927195294971E-2</v>
      </c>
      <c r="F37" s="28">
        <v>1.2034632034632902E-3</v>
      </c>
      <c r="G37" s="28">
        <v>1.9432225836985527E-2</v>
      </c>
      <c r="H37" s="28">
        <v>1.7007199431679582E-2</v>
      </c>
      <c r="I37" s="28">
        <v>2.3470099113935581E-2</v>
      </c>
      <c r="J37" s="28">
        <v>1.8247866858156599E-2</v>
      </c>
      <c r="K37" s="28">
        <v>2.3959658368162929E-2</v>
      </c>
      <c r="L37" s="28">
        <v>-4.5696032166336747E-2</v>
      </c>
      <c r="M37" s="28">
        <v>1.5052135197636587E-2</v>
      </c>
      <c r="N37" s="28">
        <v>7.1254252988160429E-5</v>
      </c>
    </row>
    <row r="38" spans="1:14">
      <c r="A38" s="4">
        <v>37883</v>
      </c>
      <c r="B38" s="28">
        <v>2.1116155104605693E-2</v>
      </c>
      <c r="C38" s="28">
        <v>9.6659623252259384E-3</v>
      </c>
      <c r="D38" s="28">
        <v>1.3706913928643413E-2</v>
      </c>
      <c r="E38" s="28">
        <v>2.8606766677306161E-2</v>
      </c>
      <c r="F38" s="28">
        <v>7.1688617162029792E-3</v>
      </c>
      <c r="G38" s="28">
        <v>1.600318347091979E-2</v>
      </c>
      <c r="H38" s="28">
        <v>2.6950384186327787E-2</v>
      </c>
      <c r="I38" s="28">
        <v>4.2161895360315928E-2</v>
      </c>
      <c r="J38" s="28">
        <v>2.1498796980004998E-2</v>
      </c>
      <c r="K38" s="28">
        <v>3.859907539686061E-2</v>
      </c>
      <c r="L38" s="28">
        <v>-2.8118284130754345E-2</v>
      </c>
      <c r="M38" s="28">
        <v>3.08902221501536E-3</v>
      </c>
      <c r="N38" s="28">
        <v>1.2887194741810822E-2</v>
      </c>
    </row>
    <row r="39" spans="1:14">
      <c r="A39" s="4">
        <v>37890</v>
      </c>
      <c r="B39" s="28">
        <v>-3.213861302096592E-2</v>
      </c>
      <c r="C39" s="28">
        <v>1.0597559889571624E-2</v>
      </c>
      <c r="D39" s="28">
        <v>5.4682839530721533E-3</v>
      </c>
      <c r="E39" s="28">
        <v>7.4958302625965038E-3</v>
      </c>
      <c r="F39" s="28">
        <v>-1.4038190747673297E-2</v>
      </c>
      <c r="G39" s="28">
        <v>1.1557985761790261E-2</v>
      </c>
      <c r="H39" s="28">
        <v>5.1877119246309857E-3</v>
      </c>
      <c r="I39" s="28">
        <v>-9.6049104394200103E-3</v>
      </c>
      <c r="J39" s="28">
        <v>1.4071494563286205E-2</v>
      </c>
      <c r="K39" s="28">
        <v>6.322246618879479E-3</v>
      </c>
      <c r="L39" s="28">
        <v>-5.6554297581076308E-2</v>
      </c>
      <c r="M39" s="28">
        <v>1.4508450465159549E-2</v>
      </c>
      <c r="N39" s="28">
        <v>-1.2802363513263939E-2</v>
      </c>
    </row>
    <row r="40" spans="1:14">
      <c r="A40" s="4">
        <v>37897</v>
      </c>
      <c r="B40" s="28">
        <v>3.512426139291152E-2</v>
      </c>
      <c r="C40" s="28">
        <v>6.0363059569968477E-3</v>
      </c>
      <c r="D40" s="28">
        <v>4.7562543261149039E-2</v>
      </c>
      <c r="E40" s="28">
        <v>-3.1762226050793309E-4</v>
      </c>
      <c r="F40" s="28">
        <v>2.4609650535995745E-2</v>
      </c>
      <c r="G40" s="28">
        <v>3.6357976890022528E-2</v>
      </c>
      <c r="H40" s="28">
        <v>5.6255239211013197E-3</v>
      </c>
      <c r="I40" s="28">
        <v>-2.6397084843673702E-3</v>
      </c>
      <c r="J40" s="28">
        <v>-2.0423895958271952E-3</v>
      </c>
      <c r="K40" s="28">
        <v>-6.8173907137459768E-3</v>
      </c>
      <c r="L40" s="28">
        <v>9.7938760326436808E-2</v>
      </c>
      <c r="M40" s="28">
        <v>2.1941425794321012E-2</v>
      </c>
      <c r="N40" s="28">
        <v>1.9604000961940975E-2</v>
      </c>
    </row>
    <row r="41" spans="1:14">
      <c r="A41" s="4">
        <v>37904</v>
      </c>
      <c r="B41" s="28">
        <v>1.2751130550819147E-2</v>
      </c>
      <c r="C41" s="28">
        <v>-6.306661411115605E-3</v>
      </c>
      <c r="D41" s="28">
        <v>1.6518784217481593E-2</v>
      </c>
      <c r="E41" s="28">
        <v>9.0117846414541122E-3</v>
      </c>
      <c r="F41" s="28">
        <v>1.2340747414137451E-2</v>
      </c>
      <c r="G41" s="28">
        <v>2.1566659585222778E-2</v>
      </c>
      <c r="H41" s="28">
        <v>-5.9355227478156891E-3</v>
      </c>
      <c r="I41" s="28">
        <v>2.2564033716592644E-2</v>
      </c>
      <c r="J41" s="28">
        <v>-4.3138474503150111E-4</v>
      </c>
      <c r="K41" s="28">
        <v>-1.8805990562814341E-4</v>
      </c>
      <c r="L41" s="28">
        <v>4.9994206725114329E-2</v>
      </c>
      <c r="M41" s="28">
        <v>3.4365011304279977E-2</v>
      </c>
      <c r="N41" s="28">
        <v>1.1740657267152415E-2</v>
      </c>
    </row>
    <row r="42" spans="1:14">
      <c r="A42" s="4">
        <v>37911</v>
      </c>
      <c r="B42" s="28">
        <v>3.3045060495466429E-3</v>
      </c>
      <c r="C42" s="28">
        <v>-4.7600158667194855E-3</v>
      </c>
      <c r="D42" s="28">
        <v>-2.4143374500881316E-3</v>
      </c>
      <c r="E42" s="28">
        <v>5.200381679389356E-3</v>
      </c>
      <c r="F42" s="28">
        <v>-3.0979506510732239E-3</v>
      </c>
      <c r="G42" s="28">
        <v>-1.9569597923284856E-2</v>
      </c>
      <c r="H42" s="28">
        <v>-5.7486941674496014E-3</v>
      </c>
      <c r="I42" s="28">
        <v>2.1756662978038559E-3</v>
      </c>
      <c r="J42" s="28">
        <v>1.7784736440643972E-2</v>
      </c>
      <c r="K42" s="28">
        <v>2.5127819291735864E-2</v>
      </c>
      <c r="L42" s="28">
        <v>4.0026483688454847E-3</v>
      </c>
      <c r="M42" s="28">
        <v>-9.9488988377877605E-3</v>
      </c>
      <c r="N42" s="28">
        <v>-2.5470997599682651E-3</v>
      </c>
    </row>
    <row r="43" spans="1:14">
      <c r="A43" s="4">
        <v>37918</v>
      </c>
      <c r="B43" s="28">
        <v>-1.3883243175635468E-2</v>
      </c>
      <c r="C43" s="28">
        <v>5.6241973340419391E-3</v>
      </c>
      <c r="D43" s="28">
        <v>-2.1502373638648441E-2</v>
      </c>
      <c r="E43" s="28">
        <v>9.1888556647207395E-3</v>
      </c>
      <c r="F43" s="28">
        <v>-3.9076316720285153E-3</v>
      </c>
      <c r="G43" s="28">
        <v>2.0311288600225262E-2</v>
      </c>
      <c r="H43" s="28">
        <v>1.3016969820140174E-2</v>
      </c>
      <c r="I43" s="28">
        <v>-1.7779274979886451E-4</v>
      </c>
      <c r="J43" s="28">
        <v>1.6754102240454299E-2</v>
      </c>
      <c r="K43" s="28">
        <v>9.2909984070192082E-3</v>
      </c>
      <c r="L43" s="28">
        <v>-1.9017548767855982E-2</v>
      </c>
      <c r="M43" s="28">
        <v>1.2469739186041284E-2</v>
      </c>
      <c r="N43" s="28">
        <v>-7.9984072435792079E-3</v>
      </c>
    </row>
    <row r="44" spans="1:14">
      <c r="A44" s="4">
        <v>37925</v>
      </c>
      <c r="B44" s="28">
        <v>1.7545528532623079E-2</v>
      </c>
      <c r="C44" s="28">
        <v>-1.3211203100229495E-4</v>
      </c>
      <c r="D44" s="28">
        <v>6.373668188736698E-3</v>
      </c>
      <c r="E44" s="28">
        <v>-3.9223801416572498E-3</v>
      </c>
      <c r="F44" s="28">
        <v>1.6004666971034396E-2</v>
      </c>
      <c r="G44" s="28">
        <v>-2.4874730284805105E-3</v>
      </c>
      <c r="H44" s="28">
        <v>-9.0680201823634676E-3</v>
      </c>
      <c r="I44" s="28">
        <v>-6.4578322273910779E-4</v>
      </c>
      <c r="J44" s="28">
        <v>8.1759725333877074E-3</v>
      </c>
      <c r="K44" s="28">
        <v>1.7262322852538835E-2</v>
      </c>
      <c r="L44" s="28">
        <v>0.10471618359538136</v>
      </c>
      <c r="M44" s="28">
        <v>-1.1466510270985593E-2</v>
      </c>
      <c r="N44" s="28">
        <v>1.0802886587142891E-2</v>
      </c>
    </row>
    <row r="45" spans="1:14">
      <c r="A45" s="4">
        <v>37932</v>
      </c>
      <c r="B45" s="28">
        <v>4.7989529557187572E-3</v>
      </c>
      <c r="C45" s="28">
        <v>-7.7515965646334254E-3</v>
      </c>
      <c r="D45" s="28">
        <v>6.9004631817751183E-3</v>
      </c>
      <c r="E45" s="28">
        <v>1.0633073959356341E-2</v>
      </c>
      <c r="F45" s="28">
        <v>7.1481472235397211E-3</v>
      </c>
      <c r="G45" s="28">
        <v>-1.5917845233988797E-2</v>
      </c>
      <c r="H45" s="28">
        <v>9.5964043851924016E-3</v>
      </c>
      <c r="I45" s="28">
        <v>1.1369383206278541E-2</v>
      </c>
      <c r="J45" s="28">
        <v>9.5430495430496136E-3</v>
      </c>
      <c r="K45" s="28">
        <v>1.6660709643878339E-2</v>
      </c>
      <c r="L45" s="28">
        <v>4.2258022877725253E-3</v>
      </c>
      <c r="M45" s="28">
        <v>-6.8836473442812135E-3</v>
      </c>
      <c r="N45" s="28">
        <v>7.9162961747974089E-3</v>
      </c>
    </row>
    <row r="46" spans="1:14">
      <c r="A46" s="4">
        <v>37939</v>
      </c>
      <c r="B46" s="28">
        <v>2.7808503819792014E-3</v>
      </c>
      <c r="C46" s="28">
        <v>1.136313196324738E-2</v>
      </c>
      <c r="D46" s="28">
        <v>-1.1265490048816217E-3</v>
      </c>
      <c r="E46" s="28">
        <v>1.0792173571788936E-2</v>
      </c>
      <c r="F46" s="28">
        <v>-7.7914566636371673E-3</v>
      </c>
      <c r="G46" s="28">
        <v>2.1433213813651635E-2</v>
      </c>
      <c r="H46" s="28">
        <v>-6.9684664360555922E-3</v>
      </c>
      <c r="I46" s="28">
        <v>2.0927476109341345E-2</v>
      </c>
      <c r="J46" s="28">
        <v>5.5840368965713438E-3</v>
      </c>
      <c r="K46" s="28">
        <v>-6.5758459510207494E-3</v>
      </c>
      <c r="L46" s="28">
        <v>-7.4856850809623163E-2</v>
      </c>
      <c r="M46" s="28">
        <v>2.1590613176477664E-2</v>
      </c>
      <c r="N46" s="28">
        <v>1.0337975572571335E-2</v>
      </c>
    </row>
    <row r="47" spans="1:14">
      <c r="A47" s="4">
        <v>37946</v>
      </c>
      <c r="B47" s="28">
        <v>-1.4473928372610837E-2</v>
      </c>
      <c r="C47" s="28">
        <v>7.7682685977617308E-3</v>
      </c>
      <c r="D47" s="28">
        <v>-1.8327067669172959E-2</v>
      </c>
      <c r="E47" s="28">
        <v>1.5160339073925225E-2</v>
      </c>
      <c r="F47" s="28">
        <v>-7.3113659263700261E-3</v>
      </c>
      <c r="G47" s="28">
        <v>2.5694921070693245E-2</v>
      </c>
      <c r="H47" s="28">
        <v>1.4670840064620327E-2</v>
      </c>
      <c r="I47" s="28">
        <v>-2.0362442404672974E-2</v>
      </c>
      <c r="J47" s="28">
        <v>2.0421120460920282E-2</v>
      </c>
      <c r="K47" s="28">
        <v>-1.8498857896600892E-4</v>
      </c>
      <c r="L47" s="28">
        <v>-2.4578477457599104E-3</v>
      </c>
      <c r="M47" s="28">
        <v>2.1126813359823117E-2</v>
      </c>
      <c r="N47" s="28">
        <v>-3.1027203906374605E-3</v>
      </c>
    </row>
    <row r="48" spans="1:14">
      <c r="A48" s="4">
        <v>37953</v>
      </c>
      <c r="B48" s="28">
        <v>2.0962781648151598E-2</v>
      </c>
      <c r="C48" s="28">
        <v>-2.3517115233864299E-3</v>
      </c>
      <c r="D48" s="28">
        <v>2.6424126376256494E-2</v>
      </c>
      <c r="E48" s="28">
        <v>1.2702951273482081E-2</v>
      </c>
      <c r="F48" s="28">
        <v>2.1013514080312882E-2</v>
      </c>
      <c r="G48" s="28">
        <v>1.4637614487042854E-4</v>
      </c>
      <c r="H48" s="28">
        <v>1.3702446936602644E-2</v>
      </c>
      <c r="I48" s="28">
        <v>1.0258594350366324E-2</v>
      </c>
      <c r="J48" s="28">
        <v>2.3494887772443362E-2</v>
      </c>
      <c r="K48" s="28">
        <v>-9.251140303597194E-4</v>
      </c>
      <c r="L48" s="28">
        <v>5.4955331383433899E-2</v>
      </c>
      <c r="M48" s="28">
        <v>1.6556169834731949E-2</v>
      </c>
      <c r="N48" s="28">
        <v>9.3711467324290847E-3</v>
      </c>
    </row>
    <row r="49" spans="1:14">
      <c r="A49" s="4">
        <v>37960</v>
      </c>
      <c r="B49" s="28">
        <v>1.2089916190242073E-2</v>
      </c>
      <c r="C49" s="28">
        <v>-7.4209883010309017E-4</v>
      </c>
      <c r="D49" s="28">
        <v>1.5390355377296949E-2</v>
      </c>
      <c r="E49" s="28">
        <v>8.6681293385606779E-3</v>
      </c>
      <c r="F49" s="28">
        <v>8.9554200831450613E-4</v>
      </c>
      <c r="G49" s="28">
        <v>4.0094224563897919E-2</v>
      </c>
      <c r="H49" s="28">
        <v>-1.6000785314616622E-3</v>
      </c>
      <c r="I49" s="28">
        <v>3.6658571232186222E-3</v>
      </c>
      <c r="J49" s="28">
        <v>9.5360801357371548E-3</v>
      </c>
      <c r="K49" s="28">
        <v>2.4727442549559588E-2</v>
      </c>
      <c r="L49" s="28">
        <v>-1.2359882562255257E-2</v>
      </c>
      <c r="M49" s="28">
        <v>2.9431307688974274E-2</v>
      </c>
      <c r="N49" s="28">
        <v>6.7314253940706243E-3</v>
      </c>
    </row>
    <row r="50" spans="1:14">
      <c r="A50" s="4">
        <v>37967</v>
      </c>
      <c r="B50" s="28">
        <v>7.4912433439290327E-3</v>
      </c>
      <c r="C50" s="28">
        <v>7.6449259534314799E-3</v>
      </c>
      <c r="D50" s="28">
        <v>1.0012860554841112E-2</v>
      </c>
      <c r="E50" s="28">
        <v>1.7695407217229987E-2</v>
      </c>
      <c r="F50" s="28">
        <v>2.7827257578617115E-3</v>
      </c>
      <c r="G50" s="28">
        <v>-1.2463146609488925E-3</v>
      </c>
      <c r="H50" s="28">
        <v>5.800977317195451E-3</v>
      </c>
      <c r="I50" s="28">
        <v>1.73766150755604E-2</v>
      </c>
      <c r="J50" s="28">
        <v>3.0495038826574485E-2</v>
      </c>
      <c r="K50" s="28">
        <v>1.0607786901346867E-3</v>
      </c>
      <c r="L50" s="28">
        <v>-2.9287637574237566E-2</v>
      </c>
      <c r="M50" s="28">
        <v>1.1085152210366404E-3</v>
      </c>
      <c r="N50" s="28">
        <v>1.3255673830086294E-2</v>
      </c>
    </row>
    <row r="51" spans="1:14">
      <c r="A51" s="4">
        <v>37974</v>
      </c>
      <c r="B51" s="28">
        <v>1.336387934326074E-2</v>
      </c>
      <c r="C51" s="28">
        <v>8.107170727477693E-3</v>
      </c>
      <c r="D51" s="28">
        <v>7.27603456116401E-4</v>
      </c>
      <c r="E51" s="28">
        <v>1.6932227293033661E-2</v>
      </c>
      <c r="F51" s="28">
        <v>-1.0641607046380664E-3</v>
      </c>
      <c r="G51" s="28">
        <v>5.4141452091187999E-3</v>
      </c>
      <c r="H51" s="28">
        <v>2.3500200396883549E-2</v>
      </c>
      <c r="I51" s="28">
        <v>1.6487461630975149E-2</v>
      </c>
      <c r="J51" s="28">
        <v>6.0179491875773363E-4</v>
      </c>
      <c r="K51" s="28">
        <v>2.8492935635793634E-3</v>
      </c>
      <c r="L51" s="28">
        <v>-6.5391879131255923E-2</v>
      </c>
      <c r="M51" s="28">
        <v>7.5267536144536153E-3</v>
      </c>
      <c r="N51" s="28">
        <v>6.8384539147670741E-3</v>
      </c>
    </row>
    <row r="52" spans="1:14">
      <c r="A52" s="4">
        <v>37981</v>
      </c>
      <c r="B52" s="28">
        <v>9.707293856343913E-3</v>
      </c>
      <c r="C52" s="28">
        <v>1.0751300907409797E-3</v>
      </c>
      <c r="D52" s="28">
        <v>8.3613559938198832E-3</v>
      </c>
      <c r="E52" s="28">
        <v>1.3497682912122801E-2</v>
      </c>
      <c r="F52" s="28">
        <v>2.0806018093614872E-2</v>
      </c>
      <c r="G52" s="28">
        <v>2.188694857234504E-3</v>
      </c>
      <c r="H52" s="28">
        <v>1.3189940879265666E-2</v>
      </c>
      <c r="I52" s="28">
        <v>2.0996865480552712E-2</v>
      </c>
      <c r="J52" s="28">
        <v>4.9422101354532301E-3</v>
      </c>
      <c r="K52" s="28">
        <v>3.1801069167129666E-2</v>
      </c>
      <c r="L52" s="28">
        <v>3.9442479863040551E-2</v>
      </c>
      <c r="M52" s="28">
        <v>4.7299412235244703E-3</v>
      </c>
      <c r="N52" s="28">
        <v>2.1524428257374422E-2</v>
      </c>
    </row>
    <row r="53" spans="1:14">
      <c r="A53" s="4">
        <v>37988</v>
      </c>
      <c r="B53" s="28">
        <v>1.9394879751745541E-2</v>
      </c>
      <c r="C53" s="28">
        <v>1.0310164103445704E-3</v>
      </c>
      <c r="D53" s="28">
        <v>1.892744479495263E-2</v>
      </c>
      <c r="E53" s="28">
        <v>2.6848318474260925E-2</v>
      </c>
      <c r="F53" s="28">
        <v>6.7270873638325783E-3</v>
      </c>
      <c r="G53" s="28">
        <v>3.859137486766661E-2</v>
      </c>
      <c r="H53" s="28">
        <v>1.6063045568522432E-2</v>
      </c>
      <c r="I53" s="28">
        <v>2.0565063606409913E-2</v>
      </c>
      <c r="J53" s="28">
        <v>2.4424726566226788E-2</v>
      </c>
      <c r="K53" s="28">
        <v>3.0714730022908993E-2</v>
      </c>
      <c r="L53" s="28">
        <v>6.7163700551147662E-3</v>
      </c>
      <c r="M53" s="28">
        <v>3.658832081415065E-2</v>
      </c>
      <c r="N53" s="28">
        <v>1.1474962258696531E-2</v>
      </c>
    </row>
    <row r="54" spans="1:14">
      <c r="A54" s="4">
        <v>37995</v>
      </c>
      <c r="B54" s="28">
        <v>1.8033639674007309E-2</v>
      </c>
      <c r="C54" s="28">
        <v>4.3773066689553764E-3</v>
      </c>
      <c r="D54" s="28">
        <v>3.7151702786377735E-2</v>
      </c>
      <c r="E54" s="28">
        <v>8.7568283396788002E-3</v>
      </c>
      <c r="F54" s="28">
        <v>1.1992759690293514E-2</v>
      </c>
      <c r="G54" s="28">
        <v>-1.0481777093951284E-2</v>
      </c>
      <c r="H54" s="28">
        <v>3.2100643868406254E-3</v>
      </c>
      <c r="I54" s="28">
        <v>1.9616815381617046E-2</v>
      </c>
      <c r="J54" s="28">
        <v>-5.1816542346475643E-3</v>
      </c>
      <c r="K54" s="28">
        <v>2.600919963201466E-2</v>
      </c>
      <c r="L54" s="28">
        <v>0.17306499575903267</v>
      </c>
      <c r="M54" s="28">
        <v>-3.0388031790556033E-3</v>
      </c>
      <c r="N54" s="28">
        <v>-3.8583371043417409E-3</v>
      </c>
    </row>
    <row r="55" spans="1:14">
      <c r="A55" s="4">
        <v>38002</v>
      </c>
      <c r="B55" s="28">
        <v>2.6968716289105929E-3</v>
      </c>
      <c r="C55" s="28">
        <v>8.8019142027004026E-3</v>
      </c>
      <c r="D55" s="28">
        <v>-1.4498933901919123E-3</v>
      </c>
      <c r="E55" s="28">
        <v>-1.4071448497677894E-2</v>
      </c>
      <c r="F55" s="28">
        <v>-4.5464215643789118E-3</v>
      </c>
      <c r="G55" s="28">
        <v>-4.2630385487527874E-3</v>
      </c>
      <c r="H55" s="28">
        <v>-6.4273295601672458E-3</v>
      </c>
      <c r="I55" s="28">
        <v>2.0735335671425999E-2</v>
      </c>
      <c r="J55" s="28">
        <v>-3.430725890873805E-2</v>
      </c>
      <c r="K55" s="28">
        <v>-5.9537045671369535E-3</v>
      </c>
      <c r="L55" s="28">
        <v>-4.0565528160661682E-2</v>
      </c>
      <c r="M55" s="28">
        <v>-1.2694691006531599E-2</v>
      </c>
      <c r="N55" s="28">
        <v>-5.0846782227536233E-3</v>
      </c>
    </row>
    <row r="56" spans="1:14">
      <c r="A56" s="4">
        <v>38009</v>
      </c>
      <c r="B56" s="28">
        <v>1.1381331219387846E-2</v>
      </c>
      <c r="C56" s="28">
        <v>-1.8636171113934677E-3</v>
      </c>
      <c r="D56" s="28">
        <v>3.1004441407584519E-2</v>
      </c>
      <c r="E56" s="28">
        <v>1.7967261136955567E-2</v>
      </c>
      <c r="F56" s="28">
        <v>1.4880952380953245E-3</v>
      </c>
      <c r="G56" s="28">
        <v>1.7710746167660014E-2</v>
      </c>
      <c r="H56" s="28">
        <v>5.7522082708936998E-3</v>
      </c>
      <c r="I56" s="28">
        <v>1.7521433631056564E-2</v>
      </c>
      <c r="J56" s="28">
        <v>2.0949006750920963E-2</v>
      </c>
      <c r="K56" s="28">
        <v>3.268893555300567E-3</v>
      </c>
      <c r="L56" s="28">
        <v>-3.3406908959843225E-2</v>
      </c>
      <c r="M56" s="28">
        <v>2.6184014113176921E-2</v>
      </c>
      <c r="N56" s="28">
        <v>8.5791872601873147E-3</v>
      </c>
    </row>
    <row r="57" spans="1:14">
      <c r="A57" s="4">
        <v>38016</v>
      </c>
      <c r="B57" s="28">
        <v>-1.8102249717735622E-2</v>
      </c>
      <c r="C57" s="28">
        <v>-7.5108206738522037E-3</v>
      </c>
      <c r="D57" s="28">
        <v>-1.6982851462182067E-2</v>
      </c>
      <c r="E57" s="28">
        <v>-9.5403933879433557E-3</v>
      </c>
      <c r="F57" s="28">
        <v>-1.2448231165628655E-2</v>
      </c>
      <c r="G57" s="28">
        <v>-3.504162031531715E-2</v>
      </c>
      <c r="H57" s="28">
        <v>1.9434547221325841E-4</v>
      </c>
      <c r="I57" s="28">
        <v>-8.4178182487417135E-3</v>
      </c>
      <c r="J57" s="28">
        <v>-1.1437894391547179E-2</v>
      </c>
      <c r="K57" s="28">
        <v>9.4582542148570776E-3</v>
      </c>
      <c r="L57" s="28">
        <v>-2.1547393788483013E-2</v>
      </c>
      <c r="M57" s="28">
        <v>-3.1380794636304152E-2</v>
      </c>
      <c r="N57" s="28">
        <v>-1.8990056231534023E-2</v>
      </c>
    </row>
    <row r="58" spans="1:14">
      <c r="A58" s="4">
        <v>38023</v>
      </c>
      <c r="B58" s="28">
        <v>1.1318172747056498E-2</v>
      </c>
      <c r="C58" s="28">
        <v>5.1733720979948179E-3</v>
      </c>
      <c r="D58" s="28">
        <v>1.9635934603067576E-2</v>
      </c>
      <c r="E58" s="28">
        <v>3.1051132846353944E-2</v>
      </c>
      <c r="F58" s="28">
        <v>-2.9211918462733522E-3</v>
      </c>
      <c r="G58" s="28">
        <v>-1.3515930909741168E-3</v>
      </c>
      <c r="H58" s="28">
        <v>1.0927495466153398E-2</v>
      </c>
      <c r="I58" s="28">
        <v>2.917988073046526E-2</v>
      </c>
      <c r="J58" s="28">
        <v>1.3954138214079898E-2</v>
      </c>
      <c r="K58" s="28">
        <v>1.7912744839576101E-2</v>
      </c>
      <c r="L58" s="28">
        <v>3.6840712814407407E-2</v>
      </c>
      <c r="M58" s="28">
        <v>1.3188343470336423E-2</v>
      </c>
      <c r="N58" s="28">
        <v>8.1770120712127952E-3</v>
      </c>
    </row>
    <row r="59" spans="1:14">
      <c r="A59" s="4">
        <v>38030</v>
      </c>
      <c r="B59" s="28">
        <v>9.5094906972372582E-3</v>
      </c>
      <c r="C59" s="28">
        <v>8.5495533815398532E-3</v>
      </c>
      <c r="D59" s="28">
        <v>1.3968096536903975E-2</v>
      </c>
      <c r="E59" s="28">
        <v>2.4472249573716895E-2</v>
      </c>
      <c r="F59" s="28">
        <v>7.9143389199256148E-3</v>
      </c>
      <c r="G59" s="28">
        <v>1.4509483908206198E-2</v>
      </c>
      <c r="H59" s="28">
        <v>1.8351226923675329E-2</v>
      </c>
      <c r="I59" s="28">
        <v>2.1758391682413732E-2</v>
      </c>
      <c r="J59" s="28">
        <v>3.4827241723793298E-2</v>
      </c>
      <c r="K59" s="28">
        <v>8.4697713161747186E-4</v>
      </c>
      <c r="L59" s="28">
        <v>-3.0255255939415316E-3</v>
      </c>
      <c r="M59" s="28">
        <v>1.50446353377126E-2</v>
      </c>
      <c r="N59" s="28">
        <v>1.1917094284773517E-2</v>
      </c>
    </row>
    <row r="60" spans="1:14">
      <c r="A60" s="4">
        <v>38037</v>
      </c>
      <c r="B60" s="28">
        <v>-3.3416486707870266E-3</v>
      </c>
      <c r="C60" s="28">
        <v>1.3495845809961332E-3</v>
      </c>
      <c r="D60" s="28">
        <v>-6.2764916856864212E-3</v>
      </c>
      <c r="E60" s="28">
        <v>4.3290043290043004E-3</v>
      </c>
      <c r="F60" s="28">
        <v>-6.928406466512738E-3</v>
      </c>
      <c r="G60" s="28">
        <v>-6.7030264982081665E-3</v>
      </c>
      <c r="H60" s="28">
        <v>9.3473063579659656E-3</v>
      </c>
      <c r="I60" s="28">
        <v>-1.241635459512542E-2</v>
      </c>
      <c r="J60" s="28">
        <v>1.1501331557922908E-2</v>
      </c>
      <c r="K60" s="28">
        <v>8.9731574603797368E-3</v>
      </c>
      <c r="L60" s="28">
        <v>-3.9603538054192075E-2</v>
      </c>
      <c r="M60" s="28">
        <v>-1.2412218401942751E-3</v>
      </c>
      <c r="N60" s="28">
        <v>-7.031132202744126E-3</v>
      </c>
    </row>
    <row r="61" spans="1:14">
      <c r="A61" s="4">
        <v>38044</v>
      </c>
      <c r="B61" s="28">
        <v>-1.9425999084735901E-3</v>
      </c>
      <c r="C61" s="28">
        <v>-7.2021227309101961E-3</v>
      </c>
      <c r="D61" s="28">
        <v>5.1677466983841335E-3</v>
      </c>
      <c r="E61" s="28">
        <v>4.707145524710534E-3</v>
      </c>
      <c r="F61" s="28">
        <v>1.0721732157177137E-2</v>
      </c>
      <c r="G61" s="28">
        <v>5.2010981559143486E-3</v>
      </c>
      <c r="H61" s="28">
        <v>1.3054086303004472E-2</v>
      </c>
      <c r="I61" s="28">
        <v>-1.260354018058342E-2</v>
      </c>
      <c r="J61" s="28">
        <v>-1.5632456270264975E-4</v>
      </c>
      <c r="K61" s="28">
        <v>2.9362631268845456E-2</v>
      </c>
      <c r="L61" s="28">
        <v>3.4263415872207837E-4</v>
      </c>
      <c r="M61" s="28">
        <v>8.3271859693894324E-3</v>
      </c>
      <c r="N61" s="28">
        <v>1.0285714285714198E-2</v>
      </c>
    </row>
    <row r="62" spans="1:14">
      <c r="A62" s="4">
        <v>38051</v>
      </c>
      <c r="B62" s="28">
        <v>1.2642118560801E-2</v>
      </c>
      <c r="C62" s="28">
        <v>-3.2665874766672756E-3</v>
      </c>
      <c r="D62" s="28">
        <v>2.007507752570584E-2</v>
      </c>
      <c r="E62" s="28">
        <v>8.7971316394725805E-3</v>
      </c>
      <c r="F62" s="28">
        <v>3.0689400731531272E-2</v>
      </c>
      <c r="G62" s="28">
        <v>-2.6460397822911587E-3</v>
      </c>
      <c r="H62" s="28">
        <v>1.1505871598340409E-2</v>
      </c>
      <c r="I62" s="28">
        <v>2.3404054394359112E-2</v>
      </c>
      <c r="J62" s="28">
        <v>2.3946084280342668E-3</v>
      </c>
      <c r="K62" s="28">
        <v>1.4121117029514971E-2</v>
      </c>
      <c r="L62" s="28">
        <v>8.7199068861734147E-2</v>
      </c>
      <c r="M62" s="28">
        <v>4.7850043500039484E-3</v>
      </c>
      <c r="N62" s="28">
        <v>2.2387115147296289E-2</v>
      </c>
    </row>
    <row r="63" spans="1:14">
      <c r="A63" s="4">
        <v>38058</v>
      </c>
      <c r="B63" s="28">
        <v>-3.7175648702594821E-2</v>
      </c>
      <c r="C63" s="28">
        <v>1.1066184294530849E-2</v>
      </c>
      <c r="D63" s="28">
        <v>-3.4720000000000029E-2</v>
      </c>
      <c r="E63" s="28">
        <v>-3.7875473059592185E-2</v>
      </c>
      <c r="F63" s="28">
        <v>-2.507986605596392E-2</v>
      </c>
      <c r="G63" s="28">
        <v>-4.2672235465631723E-2</v>
      </c>
      <c r="H63" s="28">
        <v>-3.8617621244905635E-2</v>
      </c>
      <c r="I63" s="28">
        <v>-5.2173846177506526E-2</v>
      </c>
      <c r="J63" s="28">
        <v>-2.3806787397179303E-2</v>
      </c>
      <c r="K63" s="28">
        <v>-3.7490537722944549E-2</v>
      </c>
      <c r="L63" s="28">
        <v>-6.6795407341718988E-2</v>
      </c>
      <c r="M63" s="28">
        <v>-2.7340111511971181E-2</v>
      </c>
      <c r="N63" s="28">
        <v>-2.2129029262933208E-2</v>
      </c>
    </row>
    <row r="64" spans="1:14">
      <c r="A64" s="4">
        <v>38065</v>
      </c>
      <c r="B64" s="28">
        <v>1.9483074678720957E-3</v>
      </c>
      <c r="C64" s="28">
        <v>5.6409177015364128E-3</v>
      </c>
      <c r="D64" s="28">
        <v>2.6935189789491134E-2</v>
      </c>
      <c r="E64" s="28">
        <v>1.8318905333705698E-2</v>
      </c>
      <c r="F64" s="28">
        <v>5.6298214722811293E-3</v>
      </c>
      <c r="G64" s="28">
        <v>2.7418215243622215E-2</v>
      </c>
      <c r="H64" s="28">
        <v>2.6447804904504074E-2</v>
      </c>
      <c r="I64" s="28">
        <v>-2.1904738725142731E-4</v>
      </c>
      <c r="J64" s="28">
        <v>1.7281396639588234E-2</v>
      </c>
      <c r="K64" s="28">
        <v>2.9685689055687383E-2</v>
      </c>
      <c r="L64" s="28">
        <v>1.3750742396299033E-2</v>
      </c>
      <c r="M64" s="28">
        <v>1.2604361958970108E-2</v>
      </c>
      <c r="N64" s="28">
        <v>5.2301751831749198E-3</v>
      </c>
    </row>
    <row r="65" spans="1:14">
      <c r="A65" s="4">
        <v>38072</v>
      </c>
      <c r="B65" s="28">
        <v>-3.8124066056170907E-3</v>
      </c>
      <c r="C65" s="28">
        <v>-4.6046297459075404E-4</v>
      </c>
      <c r="D65" s="28">
        <v>-3.8737793559840998E-3</v>
      </c>
      <c r="E65" s="28">
        <v>-2.4829390978680772E-2</v>
      </c>
      <c r="F65" s="28">
        <v>-1.487123115577876E-2</v>
      </c>
      <c r="G65" s="28">
        <v>-4.2062813801943934E-3</v>
      </c>
      <c r="H65" s="28">
        <v>-1.8290051867311252E-2</v>
      </c>
      <c r="I65" s="28">
        <v>-2.1309054319424828E-2</v>
      </c>
      <c r="J65" s="28">
        <v>-2.837917152328295E-2</v>
      </c>
      <c r="K65" s="28">
        <v>-2.7020870322602211E-2</v>
      </c>
      <c r="L65" s="28">
        <v>-3.7584525868847404E-2</v>
      </c>
      <c r="M65" s="28">
        <v>-9.8167844370000926E-3</v>
      </c>
      <c r="N65" s="28">
        <v>-1.5813543445919998E-2</v>
      </c>
    </row>
    <row r="66" spans="1:14">
      <c r="A66" s="4">
        <v>38079</v>
      </c>
      <c r="B66" s="28">
        <v>3.2067924383161125E-2</v>
      </c>
      <c r="C66" s="28">
        <v>-7.5383197922776956E-4</v>
      </c>
      <c r="D66" s="28">
        <v>2.4710362148586219E-2</v>
      </c>
      <c r="E66" s="28">
        <v>3.4283556426861275E-2</v>
      </c>
      <c r="F66" s="28">
        <v>2.3974622606921337E-2</v>
      </c>
      <c r="G66" s="28">
        <v>1.743258283829268E-2</v>
      </c>
      <c r="H66" s="28">
        <v>2.244308498232897E-2</v>
      </c>
      <c r="I66" s="28">
        <v>3.4226585301140866E-2</v>
      </c>
      <c r="J66" s="28">
        <v>4.4947930846719442E-2</v>
      </c>
      <c r="K66" s="28">
        <v>2.4824062469873679E-2</v>
      </c>
      <c r="L66" s="28">
        <v>6.597142124823796E-2</v>
      </c>
      <c r="M66" s="28">
        <v>2.0951458530909347E-2</v>
      </c>
      <c r="N66" s="28">
        <v>2.3609578194731019E-2</v>
      </c>
    </row>
    <row r="67" spans="1:14">
      <c r="A67" s="4">
        <v>38086</v>
      </c>
      <c r="B67" s="28">
        <v>-1.5372718548814098E-3</v>
      </c>
      <c r="C67" s="28">
        <v>-1.3872590108968996E-2</v>
      </c>
      <c r="D67" s="28">
        <v>-2.3640101201771103E-2</v>
      </c>
      <c r="E67" s="28">
        <v>6.797225178475713E-3</v>
      </c>
      <c r="F67" s="28">
        <v>-2.4051559070317093E-3</v>
      </c>
      <c r="G67" s="28">
        <v>-4.3889130520739141E-3</v>
      </c>
      <c r="H67" s="28">
        <v>-1.087871982032554E-2</v>
      </c>
      <c r="I67" s="28">
        <v>4.9624807593638201E-3</v>
      </c>
      <c r="J67" s="28">
        <v>2.4833291266008958E-3</v>
      </c>
      <c r="K67" s="28">
        <v>5.7919597922420785E-3</v>
      </c>
      <c r="L67" s="28">
        <v>6.3418402156826786E-2</v>
      </c>
      <c r="M67" s="28">
        <v>1.6608253399388661E-2</v>
      </c>
      <c r="N67" s="28">
        <v>-5.883456003000307E-3</v>
      </c>
    </row>
    <row r="68" spans="1:14">
      <c r="A68" s="4">
        <v>38093</v>
      </c>
      <c r="B68" s="28">
        <v>-8.4820095550912078E-3</v>
      </c>
      <c r="C68" s="28">
        <v>-1.1942708997407465E-2</v>
      </c>
      <c r="D68" s="28">
        <v>-3.6602154020568434E-2</v>
      </c>
      <c r="E68" s="28">
        <v>-8.1941915372981469E-3</v>
      </c>
      <c r="F68" s="28">
        <v>-2.5599812741388187E-2</v>
      </c>
      <c r="G68" s="28">
        <v>-2.5946518400847263E-2</v>
      </c>
      <c r="H68" s="28">
        <v>-1.539771517774793E-2</v>
      </c>
      <c r="I68" s="28">
        <v>-2.4043715846994433E-2</v>
      </c>
      <c r="J68" s="28">
        <v>-6.7005620350216039E-3</v>
      </c>
      <c r="K68" s="28">
        <v>-2.0903339590751618E-2</v>
      </c>
      <c r="L68" s="28">
        <v>3.8274672070681824E-2</v>
      </c>
      <c r="M68" s="28">
        <v>-1.7010880483173809E-2</v>
      </c>
      <c r="N68" s="28">
        <v>-2.9143382613001288E-2</v>
      </c>
    </row>
    <row r="69" spans="1:14">
      <c r="A69" s="4">
        <v>38100</v>
      </c>
      <c r="B69" s="28">
        <v>1.035206429573153E-3</v>
      </c>
      <c r="C69" s="28">
        <v>-7.7426015141078119E-4</v>
      </c>
      <c r="D69" s="28">
        <v>-2.3199125830041231E-2</v>
      </c>
      <c r="E69" s="28">
        <v>-1.7558463381618587E-2</v>
      </c>
      <c r="F69" s="28">
        <v>4.1718714967490123E-3</v>
      </c>
      <c r="G69" s="28">
        <v>-9.2416417504756123E-3</v>
      </c>
      <c r="H69" s="28">
        <v>-1.2143268953588948E-2</v>
      </c>
      <c r="I69" s="28">
        <v>1.3249850826787266E-2</v>
      </c>
      <c r="J69" s="28">
        <v>-4.7588287721076509E-3</v>
      </c>
      <c r="K69" s="28">
        <v>-5.7143831877729263E-2</v>
      </c>
      <c r="L69" s="28">
        <v>4.6437622668114777E-2</v>
      </c>
      <c r="M69" s="28">
        <v>-2.4510838035968607E-2</v>
      </c>
      <c r="N69" s="28">
        <v>-7.5612224246103367E-3</v>
      </c>
    </row>
    <row r="70" spans="1:14">
      <c r="A70" s="4">
        <v>38107</v>
      </c>
      <c r="B70" s="28">
        <v>-2.6351662608466726E-2</v>
      </c>
      <c r="C70" s="28">
        <v>-5.5962117950926014E-3</v>
      </c>
      <c r="D70" s="28">
        <v>-1.8587040702177066E-2</v>
      </c>
      <c r="E70" s="28">
        <v>-2.9773924060656383E-3</v>
      </c>
      <c r="F70" s="28">
        <v>-2.6418404369841619E-2</v>
      </c>
      <c r="G70" s="28">
        <v>-4.2023319615912193E-2</v>
      </c>
      <c r="H70" s="28">
        <v>-1.1325916469086126E-2</v>
      </c>
      <c r="I70" s="28">
        <v>-1.7037479227505117E-2</v>
      </c>
      <c r="J70" s="28">
        <v>-9.3659883171620158E-3</v>
      </c>
      <c r="K70" s="28">
        <v>-9.9214820711363821E-3</v>
      </c>
      <c r="L70" s="28">
        <v>-8.0174396220721478E-2</v>
      </c>
      <c r="M70" s="28">
        <v>-1.2265999864837528E-2</v>
      </c>
      <c r="N70" s="28">
        <v>-1.4585083733716267E-2</v>
      </c>
    </row>
    <row r="71" spans="1:14">
      <c r="A71" s="4">
        <v>38114</v>
      </c>
      <c r="B71" s="28">
        <v>-1.0167429465268498E-2</v>
      </c>
      <c r="C71" s="28">
        <v>1.9480519480518988E-3</v>
      </c>
      <c r="D71" s="28">
        <v>-2.1569487067075791E-2</v>
      </c>
      <c r="E71" s="28">
        <v>1.2413727374532488E-2</v>
      </c>
      <c r="F71" s="28">
        <v>-7.43701471021865E-3</v>
      </c>
      <c r="G71" s="28">
        <v>2.5724370493939462E-2</v>
      </c>
      <c r="H71" s="28">
        <v>-1.5015956759947584E-2</v>
      </c>
      <c r="I71" s="28">
        <v>1.8054985638079979E-3</v>
      </c>
      <c r="J71" s="28">
        <v>3.6391683322690153E-2</v>
      </c>
      <c r="K71" s="28">
        <v>2.0173374069905058E-2</v>
      </c>
      <c r="L71" s="28">
        <v>3.4983823163419935E-2</v>
      </c>
      <c r="M71" s="28">
        <v>1.7303547603571525E-2</v>
      </c>
      <c r="N71" s="28">
        <v>-2.6158290770925243E-3</v>
      </c>
    </row>
    <row r="72" spans="1:14">
      <c r="A72" s="4">
        <v>38121</v>
      </c>
      <c r="B72" s="28">
        <v>-1.7744090993337482E-2</v>
      </c>
      <c r="C72" s="28">
        <v>-1.9010585439619691E-2</v>
      </c>
      <c r="D72" s="28">
        <v>-2.9662156107178081E-2</v>
      </c>
      <c r="E72" s="28">
        <v>-1.7093950043931189E-2</v>
      </c>
      <c r="F72" s="28">
        <v>-1.9210456825983609E-2</v>
      </c>
      <c r="G72" s="28">
        <v>-4.5223570142253006E-2</v>
      </c>
      <c r="H72" s="28">
        <v>-2.2136904204513624E-2</v>
      </c>
      <c r="I72" s="28">
        <v>-1.0002457606291501E-2</v>
      </c>
      <c r="J72" s="28">
        <v>-1.8237106389789294E-2</v>
      </c>
      <c r="K72" s="28">
        <v>-3.0012753091550073E-2</v>
      </c>
      <c r="L72" s="28">
        <v>-3.6440941955722089E-2</v>
      </c>
      <c r="M72" s="28">
        <v>-3.1207123833095603E-2</v>
      </c>
      <c r="N72" s="28">
        <v>-1.350353150132378E-2</v>
      </c>
    </row>
    <row r="73" spans="1:14">
      <c r="A73" s="4">
        <v>38128</v>
      </c>
      <c r="B73" s="28">
        <v>9.3153514608616157E-3</v>
      </c>
      <c r="C73" s="28">
        <v>7.1790354547456303E-3</v>
      </c>
      <c r="D73" s="28">
        <v>3.4724787587735548E-2</v>
      </c>
      <c r="E73" s="28">
        <v>1.561140686231469E-2</v>
      </c>
      <c r="F73" s="28">
        <v>-3.3317628054116213E-3</v>
      </c>
      <c r="G73" s="28">
        <v>3.8936448639125223E-2</v>
      </c>
      <c r="H73" s="28">
        <v>4.1560530902264936E-3</v>
      </c>
      <c r="I73" s="28">
        <v>3.0749116666252994E-2</v>
      </c>
      <c r="J73" s="28">
        <v>1.0482043590955878E-2</v>
      </c>
      <c r="K73" s="28">
        <v>1.5422683458285711E-2</v>
      </c>
      <c r="L73" s="28">
        <v>1.9700759444850859E-2</v>
      </c>
      <c r="M73" s="28">
        <v>2.3187359417955529E-2</v>
      </c>
      <c r="N73" s="28">
        <v>-2.6417634191484712E-3</v>
      </c>
    </row>
    <row r="74" spans="1:14">
      <c r="A74" s="4">
        <v>38135</v>
      </c>
      <c r="B74" s="28">
        <v>2.5120040931989784E-2</v>
      </c>
      <c r="C74" s="28">
        <v>1.3381143956620614E-2</v>
      </c>
      <c r="D74" s="28">
        <v>5.3016779721528004E-2</v>
      </c>
      <c r="E74" s="28">
        <v>2.8141674983693344E-2</v>
      </c>
      <c r="F74" s="28">
        <v>3.0584163430693923E-2</v>
      </c>
      <c r="G74" s="28">
        <v>3.5985448199671997E-2</v>
      </c>
      <c r="H74" s="28">
        <v>3.9395384321953247E-2</v>
      </c>
      <c r="I74" s="28">
        <v>3.7129209649580538E-2</v>
      </c>
      <c r="J74" s="28">
        <v>2.8788758751976295E-2</v>
      </c>
      <c r="K74" s="28">
        <v>1.5697627897841706E-2</v>
      </c>
      <c r="L74" s="28">
        <v>5.6575438089066711E-2</v>
      </c>
      <c r="M74" s="28">
        <v>2.9677576941866152E-2</v>
      </c>
      <c r="N74" s="28">
        <v>1.6356519831963855E-2</v>
      </c>
    </row>
    <row r="75" spans="1:14">
      <c r="A75" s="4">
        <v>38142</v>
      </c>
      <c r="B75" s="28">
        <v>1.5165330901762775E-3</v>
      </c>
      <c r="C75" s="28">
        <v>-5.3939760075947182E-3</v>
      </c>
      <c r="D75" s="28">
        <v>-1.3646380742498724E-2</v>
      </c>
      <c r="E75" s="28">
        <v>8.7365283191928947E-3</v>
      </c>
      <c r="F75" s="28">
        <v>-1.7119500667577944E-3</v>
      </c>
      <c r="G75" s="28">
        <v>-1.8889198312809434E-2</v>
      </c>
      <c r="H75" s="28">
        <v>-6.0738960097623824E-3</v>
      </c>
      <c r="I75" s="28">
        <v>8.9867636813994109E-3</v>
      </c>
      <c r="J75" s="28">
        <v>1.4944214017453168E-2</v>
      </c>
      <c r="K75" s="28">
        <v>7.813451167720694E-3</v>
      </c>
      <c r="L75" s="28">
        <v>2.2715547647374971E-3</v>
      </c>
      <c r="M75" s="28">
        <v>-1.3310665665071904E-3</v>
      </c>
      <c r="N75" s="28">
        <v>1.9670498402291725E-3</v>
      </c>
    </row>
    <row r="76" spans="1:14">
      <c r="A76" s="4">
        <v>38149</v>
      </c>
      <c r="B76" s="28">
        <v>8.3858045101252599E-3</v>
      </c>
      <c r="C76" s="28">
        <v>-2.9936222829623745E-3</v>
      </c>
      <c r="D76" s="28">
        <v>1.1514995273695877E-2</v>
      </c>
      <c r="E76" s="28">
        <v>-1.7488425662824915E-2</v>
      </c>
      <c r="F76" s="28">
        <v>5.5303017870915938E-3</v>
      </c>
      <c r="G76" s="28">
        <v>3.0475056422469282E-2</v>
      </c>
      <c r="H76" s="28">
        <v>-4.3663284992938346E-3</v>
      </c>
      <c r="I76" s="28">
        <v>-1.7913172894722641E-2</v>
      </c>
      <c r="J76" s="28">
        <v>-8.7603420704998325E-3</v>
      </c>
      <c r="K76" s="28">
        <v>-4.931709327610505E-3</v>
      </c>
      <c r="L76" s="28">
        <v>2.8228972711205249E-2</v>
      </c>
      <c r="M76" s="28">
        <v>-1.3526353295151327E-3</v>
      </c>
      <c r="N76" s="28">
        <v>-3.2554132635311405E-3</v>
      </c>
    </row>
    <row r="77" spans="1:14">
      <c r="A77" s="4">
        <v>38156</v>
      </c>
      <c r="B77" s="28">
        <v>4.2673306848638147E-3</v>
      </c>
      <c r="C77" s="28">
        <v>2.8285465622279252E-3</v>
      </c>
      <c r="D77" s="28">
        <v>-1.6141364370061825E-3</v>
      </c>
      <c r="E77" s="28">
        <v>1.6743145798789039E-2</v>
      </c>
      <c r="F77" s="28">
        <v>1.5618369944837836E-2</v>
      </c>
      <c r="G77" s="28">
        <v>-9.6608620874987297E-3</v>
      </c>
      <c r="H77" s="28">
        <v>1.9303515798843054E-2</v>
      </c>
      <c r="I77" s="28">
        <v>2.6957567804024488E-2</v>
      </c>
      <c r="J77" s="28">
        <v>3.8967212986957303E-5</v>
      </c>
      <c r="K77" s="28">
        <v>-1.0362213271631381E-2</v>
      </c>
      <c r="L77" s="28">
        <v>2.0419995504791438E-2</v>
      </c>
      <c r="M77" s="28">
        <v>4.6778680021935283E-3</v>
      </c>
      <c r="N77" s="28">
        <v>1.7709779022513233E-2</v>
      </c>
    </row>
    <row r="78" spans="1:14">
      <c r="A78" s="4">
        <v>38163</v>
      </c>
      <c r="B78" s="28">
        <v>2.8201803779798972E-3</v>
      </c>
      <c r="C78" s="28">
        <v>7.2466912562378647E-3</v>
      </c>
      <c r="D78" s="28">
        <v>7.2328114363513323E-3</v>
      </c>
      <c r="E78" s="28">
        <v>-5.681301010346195E-3</v>
      </c>
      <c r="F78" s="28">
        <v>1.1232344008613086E-2</v>
      </c>
      <c r="G78" s="28">
        <v>1.6966284512583946E-2</v>
      </c>
      <c r="H78" s="28">
        <v>3.4746857319579542E-3</v>
      </c>
      <c r="I78" s="28">
        <v>-1.1128267930355229E-2</v>
      </c>
      <c r="J78" s="28">
        <v>-5.9773375520192585E-3</v>
      </c>
      <c r="K78" s="28">
        <v>-3.0993599226422888E-2</v>
      </c>
      <c r="L78" s="28">
        <v>3.1462519053971932E-2</v>
      </c>
      <c r="M78" s="28">
        <v>1.9051815413753892E-2</v>
      </c>
      <c r="N78" s="28">
        <v>2.3109586803855583E-3</v>
      </c>
    </row>
    <row r="79" spans="1:14">
      <c r="A79" s="4">
        <v>38170</v>
      </c>
      <c r="B79" s="28">
        <v>-4.6241683574766105E-3</v>
      </c>
      <c r="C79" s="28">
        <v>3.4464931931752575E-4</v>
      </c>
      <c r="D79" s="28">
        <v>1.6473768691391302E-2</v>
      </c>
      <c r="E79" s="28">
        <v>2.2961849763898927E-3</v>
      </c>
      <c r="F79" s="28">
        <v>-3.7740346416653427E-3</v>
      </c>
      <c r="G79" s="28">
        <v>4.91625030851639E-2</v>
      </c>
      <c r="H79" s="28">
        <v>-9.4271211022480886E-3</v>
      </c>
      <c r="I79" s="28">
        <v>2.9222177779145264E-2</v>
      </c>
      <c r="J79" s="28">
        <v>-1.7875202860032424E-2</v>
      </c>
      <c r="K79" s="28">
        <v>-5.2203571588150246E-3</v>
      </c>
      <c r="L79" s="28">
        <v>-3.6365577673001026E-2</v>
      </c>
      <c r="M79" s="28">
        <v>3.2693151604326447E-2</v>
      </c>
      <c r="N79" s="28">
        <v>7.2264813472050467E-3</v>
      </c>
    </row>
    <row r="80" spans="1:14">
      <c r="A80" s="4">
        <v>38177</v>
      </c>
      <c r="B80" s="28">
        <v>-6.6556055937425761E-3</v>
      </c>
      <c r="C80" s="28">
        <v>9.9483204134367034E-3</v>
      </c>
      <c r="D80" s="28">
        <v>6.6489361702128606E-3</v>
      </c>
      <c r="E80" s="28">
        <v>1.667579992084502E-2</v>
      </c>
      <c r="F80" s="28">
        <v>2.5999920245643347E-3</v>
      </c>
      <c r="G80" s="28">
        <v>2.8865533662680229E-2</v>
      </c>
      <c r="H80" s="28">
        <v>9.3978770131771441E-3</v>
      </c>
      <c r="I80" s="28">
        <v>8.8189353004042917E-3</v>
      </c>
      <c r="J80" s="28">
        <v>2.2958226564807491E-2</v>
      </c>
      <c r="K80" s="28">
        <v>-4.1023798294667789E-3</v>
      </c>
      <c r="L80" s="28">
        <v>5.1321180437513452E-3</v>
      </c>
      <c r="M80" s="28">
        <v>2.2109459949256904E-2</v>
      </c>
      <c r="N80" s="28">
        <v>6.8106446655343145E-3</v>
      </c>
    </row>
    <row r="81" spans="1:14">
      <c r="A81" s="4">
        <v>38184</v>
      </c>
      <c r="B81" s="28">
        <v>-8.1414104778902707E-3</v>
      </c>
      <c r="C81" s="28">
        <v>-1.7483262973860246E-3</v>
      </c>
      <c r="D81" s="28">
        <v>1.0485468956406835E-2</v>
      </c>
      <c r="E81" s="28">
        <v>1.0810082423135414E-2</v>
      </c>
      <c r="F81" s="28">
        <v>-4.7728520177224673E-4</v>
      </c>
      <c r="G81" s="28">
        <v>9.8256715753821701E-4</v>
      </c>
      <c r="H81" s="28">
        <v>1.3036344021685034E-2</v>
      </c>
      <c r="I81" s="28">
        <v>1.6698399057659085E-2</v>
      </c>
      <c r="J81" s="28">
        <v>9.5281200496305299E-3</v>
      </c>
      <c r="K81" s="28">
        <v>1.8333796877466571E-2</v>
      </c>
      <c r="L81" s="28">
        <v>-1.7367122223753202E-2</v>
      </c>
      <c r="M81" s="28">
        <v>9.5377842993407485E-4</v>
      </c>
      <c r="N81" s="28">
        <v>-3.0287936242688971E-3</v>
      </c>
    </row>
    <row r="82" spans="1:14">
      <c r="A82" s="4">
        <v>38191</v>
      </c>
      <c r="B82" s="28">
        <v>-2.15742879137799E-2</v>
      </c>
      <c r="C82" s="28">
        <v>5.5531824006832748E-4</v>
      </c>
      <c r="D82" s="28">
        <v>-2.4838630607075793E-2</v>
      </c>
      <c r="E82" s="28">
        <v>-2.9646800915399577E-2</v>
      </c>
      <c r="F82" s="28">
        <v>-1.5527134682573152E-2</v>
      </c>
      <c r="G82" s="28">
        <v>-2.0162983084331308E-2</v>
      </c>
      <c r="H82" s="28">
        <v>-1.7029844735782337E-2</v>
      </c>
      <c r="I82" s="28">
        <v>-2.8658452166689691E-2</v>
      </c>
      <c r="J82" s="28">
        <v>-3.4707191886710849E-2</v>
      </c>
      <c r="K82" s="28">
        <v>-3.2132101098381931E-2</v>
      </c>
      <c r="L82" s="28">
        <v>-4.7305928156384403E-2</v>
      </c>
      <c r="M82" s="28">
        <v>-2.8439492780180417E-2</v>
      </c>
      <c r="N82" s="28">
        <v>-1.1966638462468379E-2</v>
      </c>
    </row>
    <row r="83" spans="1:14">
      <c r="A83" s="4">
        <v>38198</v>
      </c>
      <c r="B83" s="28">
        <v>1.0041503570093861E-2</v>
      </c>
      <c r="C83" s="28">
        <v>-7.5993681424241181E-3</v>
      </c>
      <c r="D83" s="28">
        <v>-3.3514872224542976E-4</v>
      </c>
      <c r="E83" s="28">
        <v>-1.0456418867349397E-3</v>
      </c>
      <c r="F83" s="28">
        <v>8.7712206952303227E-3</v>
      </c>
      <c r="G83" s="28">
        <v>4.4104489837065407E-3</v>
      </c>
      <c r="H83" s="28">
        <v>8.0206114236812381E-3</v>
      </c>
      <c r="I83" s="28">
        <v>1.0742363319930337E-2</v>
      </c>
      <c r="J83" s="28">
        <v>-5.933791380387324E-3</v>
      </c>
      <c r="K83" s="28">
        <v>7.0546602704413541E-3</v>
      </c>
      <c r="L83" s="28">
        <v>2.9989910586925496E-2</v>
      </c>
      <c r="M83" s="28">
        <v>-2.2444360618634079E-3</v>
      </c>
      <c r="N83" s="28">
        <v>-1.3620422477773799E-3</v>
      </c>
    </row>
    <row r="84" spans="1:14">
      <c r="A84" s="4">
        <v>38205</v>
      </c>
      <c r="B84" s="28">
        <v>-2.2570813737232166E-2</v>
      </c>
      <c r="C84" s="28">
        <v>8.0877608087761843E-3</v>
      </c>
      <c r="D84" s="28">
        <v>1.3997150280781172E-2</v>
      </c>
      <c r="E84" s="28">
        <v>2.8636262921846244E-2</v>
      </c>
      <c r="F84" s="28">
        <v>-7.7733701967367872E-4</v>
      </c>
      <c r="G84" s="28">
        <v>1.2527130615880537E-2</v>
      </c>
      <c r="H84" s="28">
        <v>2.2127290626157165E-2</v>
      </c>
      <c r="I84" s="28">
        <v>1.3188754304714561E-2</v>
      </c>
      <c r="J84" s="28">
        <v>3.3817475853291139E-2</v>
      </c>
      <c r="K84" s="28">
        <v>3.1050255975269948E-4</v>
      </c>
      <c r="L84" s="28">
        <v>-5.4650331934574442E-2</v>
      </c>
      <c r="M84" s="28">
        <v>2.4215043193890517E-2</v>
      </c>
      <c r="N84" s="28">
        <v>1.0413008501915176E-2</v>
      </c>
    </row>
    <row r="85" spans="1:14">
      <c r="A85" s="4">
        <v>38212</v>
      </c>
      <c r="B85" s="28">
        <v>-4.4729580299059536E-3</v>
      </c>
      <c r="C85" s="28">
        <v>8.8336960696453418E-3</v>
      </c>
      <c r="D85" s="28">
        <v>-6.1167135063647637E-3</v>
      </c>
      <c r="E85" s="28">
        <v>2.7259695018235571E-3</v>
      </c>
      <c r="F85" s="28">
        <v>3.2882073655844256E-3</v>
      </c>
      <c r="G85" s="28">
        <v>-2.4533643927612176E-3</v>
      </c>
      <c r="H85" s="28">
        <v>-9.8698452811183529E-3</v>
      </c>
      <c r="I85" s="28">
        <v>-1.0607048412971672E-2</v>
      </c>
      <c r="J85" s="28">
        <v>2.3103596057194135E-2</v>
      </c>
      <c r="K85" s="28">
        <v>1.2348109172124143E-2</v>
      </c>
      <c r="L85" s="28">
        <v>3.706930671298838E-2</v>
      </c>
      <c r="M85" s="28">
        <v>-4.8294021384716551E-3</v>
      </c>
      <c r="N85" s="28">
        <v>7.3635202638257157E-3</v>
      </c>
    </row>
    <row r="86" spans="1:14">
      <c r="A86" s="4">
        <v>38219</v>
      </c>
      <c r="B86" s="28">
        <v>2.4036344714405775E-2</v>
      </c>
      <c r="C86" s="28">
        <v>6.1759729272419959E-3</v>
      </c>
      <c r="D86" s="28">
        <v>2.6280771789753916E-2</v>
      </c>
      <c r="E86" s="28">
        <v>-4.022281811582441E-3</v>
      </c>
      <c r="F86" s="28">
        <v>1.1686837519384714E-2</v>
      </c>
      <c r="G86" s="28">
        <v>3.1959755302300906E-2</v>
      </c>
      <c r="H86" s="28">
        <v>1.1779824373528984E-3</v>
      </c>
      <c r="I86" s="28">
        <v>-4.4793247695555337E-3</v>
      </c>
      <c r="J86" s="28">
        <v>-1.063214013709066E-2</v>
      </c>
      <c r="K86" s="28">
        <v>1.3977384905321596E-2</v>
      </c>
      <c r="L86" s="28">
        <v>2.1427492387078282E-2</v>
      </c>
      <c r="M86" s="28">
        <v>2.0351011677722117E-2</v>
      </c>
      <c r="N86" s="28">
        <v>8.4891959335306605E-3</v>
      </c>
    </row>
    <row r="87" spans="1:14">
      <c r="A87" s="4">
        <v>38226</v>
      </c>
      <c r="B87" s="28">
        <v>9.0488009850097501E-3</v>
      </c>
      <c r="C87" s="28">
        <v>-3.1110737408560039E-3</v>
      </c>
      <c r="D87" s="28">
        <v>1.5235008103727677E-2</v>
      </c>
      <c r="E87" s="28">
        <v>5.3400766055558095E-3</v>
      </c>
      <c r="F87" s="28">
        <v>4.8198482933006271E-4</v>
      </c>
      <c r="G87" s="28">
        <v>6.3793549629576956E-3</v>
      </c>
      <c r="H87" s="28">
        <v>5.143152565336739E-3</v>
      </c>
      <c r="I87" s="28">
        <v>1.5789082254945724E-2</v>
      </c>
      <c r="J87" s="28">
        <v>1.2847949254834382E-2</v>
      </c>
      <c r="K87" s="28">
        <v>4.3883910462072101E-3</v>
      </c>
      <c r="L87" s="28">
        <v>2.6068748637793137E-2</v>
      </c>
      <c r="M87" s="28">
        <v>-2.9081567738847248E-3</v>
      </c>
      <c r="N87" s="28">
        <v>-6.9617382863780665E-3</v>
      </c>
    </row>
    <row r="88" spans="1:14">
      <c r="A88" s="4">
        <v>38233</v>
      </c>
      <c r="B88" s="28">
        <v>3.5250823164827624E-3</v>
      </c>
      <c r="C88" s="28">
        <v>3.5003373819162621E-3</v>
      </c>
      <c r="D88" s="28">
        <v>1.2292464878671711E-2</v>
      </c>
      <c r="E88" s="28">
        <v>7.3683353924230699E-3</v>
      </c>
      <c r="F88" s="28">
        <v>1.6877137283704827E-2</v>
      </c>
      <c r="G88" s="28">
        <v>-2.3968281495745109E-2</v>
      </c>
      <c r="H88" s="28">
        <v>1.3585775728284427E-2</v>
      </c>
      <c r="I88" s="28">
        <v>-1.8435676475110255E-2</v>
      </c>
      <c r="J88" s="28">
        <v>5.2138356653719988E-3</v>
      </c>
      <c r="K88" s="28">
        <v>-8.2244088706116239E-4</v>
      </c>
      <c r="L88" s="28">
        <v>-5.1991270726336252E-3</v>
      </c>
      <c r="M88" s="28">
        <v>1.123513577561326E-2</v>
      </c>
      <c r="N88" s="28">
        <v>1.6809281158862946E-2</v>
      </c>
    </row>
    <row r="89" spans="1:14">
      <c r="A89" s="4">
        <v>38240</v>
      </c>
      <c r="B89" s="28">
        <v>1.2815563962016495E-2</v>
      </c>
      <c r="C89" s="28">
        <v>2.521538138264437E-4</v>
      </c>
      <c r="D89" s="28">
        <v>1.0250749093203055E-2</v>
      </c>
      <c r="E89" s="28">
        <v>1.5767171676372763E-2</v>
      </c>
      <c r="F89" s="28">
        <v>1.0220724149179143E-2</v>
      </c>
      <c r="G89" s="28">
        <v>1.1108183784379848E-2</v>
      </c>
      <c r="H89" s="28">
        <v>-2.6509882149137534E-3</v>
      </c>
      <c r="I89" s="28">
        <v>1.3090664975944469E-2</v>
      </c>
      <c r="J89" s="28">
        <v>7.1828760235601778E-4</v>
      </c>
      <c r="K89" s="28">
        <v>4.1317576505864734E-2</v>
      </c>
      <c r="L89" s="28">
        <v>2.580612361621271E-2</v>
      </c>
      <c r="M89" s="28">
        <v>2.9299010948071764E-2</v>
      </c>
      <c r="N89" s="28">
        <v>1.7949728153809946E-2</v>
      </c>
    </row>
    <row r="90" spans="1:14">
      <c r="A90" s="4">
        <v>38247</v>
      </c>
      <c r="B90" s="28">
        <v>2.0009147038645373E-3</v>
      </c>
      <c r="C90" s="28">
        <v>5.2518801731019707E-3</v>
      </c>
      <c r="D90" s="28">
        <v>-2.8879175772713434E-3</v>
      </c>
      <c r="E90" s="28">
        <v>-1.2435293096966563E-3</v>
      </c>
      <c r="F90" s="28">
        <v>6.550117625351709E-3</v>
      </c>
      <c r="G90" s="28">
        <v>2.0421024565826706E-3</v>
      </c>
      <c r="H90" s="28">
        <v>6.4038458164464391E-3</v>
      </c>
      <c r="I90" s="28">
        <v>-2.8640848181417317E-3</v>
      </c>
      <c r="J90" s="28">
        <v>7.5554951115877914E-6</v>
      </c>
      <c r="K90" s="28">
        <v>-3.1194862022726182E-3</v>
      </c>
      <c r="L90" s="28">
        <v>4.006968209403136E-3</v>
      </c>
      <c r="M90" s="28">
        <v>-3.0940232810657184E-3</v>
      </c>
      <c r="N90" s="28">
        <v>5.1243149518530283E-3</v>
      </c>
    </row>
    <row r="91" spans="1:14">
      <c r="A91" s="4">
        <v>38254</v>
      </c>
      <c r="B91" s="28">
        <v>-9.5947205264258189E-3</v>
      </c>
      <c r="C91" s="28">
        <v>3.2182562902282465E-3</v>
      </c>
      <c r="D91" s="28">
        <v>-1.1663405088062581E-2</v>
      </c>
      <c r="E91" s="28">
        <v>6.5873291637710716E-3</v>
      </c>
      <c r="F91" s="28">
        <v>-1.4015550769136695E-2</v>
      </c>
      <c r="G91" s="28">
        <v>3.6193102447343063E-2</v>
      </c>
      <c r="H91" s="28">
        <v>-1.1889404135141819E-2</v>
      </c>
      <c r="I91" s="28">
        <v>4.5484416418693522E-3</v>
      </c>
      <c r="J91" s="28">
        <v>1.2043368214272264E-2</v>
      </c>
      <c r="K91" s="28">
        <v>4.8071477118259822E-3</v>
      </c>
      <c r="L91" s="28">
        <v>-7.8560780325991272E-3</v>
      </c>
      <c r="M91" s="28">
        <v>1.7673100346669069E-2</v>
      </c>
      <c r="N91" s="28">
        <v>-2.1948402002309659E-3</v>
      </c>
    </row>
    <row r="92" spans="1:14">
      <c r="A92" s="4">
        <v>38261</v>
      </c>
      <c r="B92" s="28">
        <v>2.0469885648997089E-2</v>
      </c>
      <c r="C92" s="28">
        <v>-8.7489063867019943E-4</v>
      </c>
      <c r="D92" s="28">
        <v>1.1880247109139869E-2</v>
      </c>
      <c r="E92" s="28">
        <v>1.7086887108605283E-2</v>
      </c>
      <c r="F92" s="28">
        <v>2.7050685175573699E-2</v>
      </c>
      <c r="G92" s="28">
        <v>9.845460699862205E-3</v>
      </c>
      <c r="H92" s="28">
        <v>2.3165137614678893E-2</v>
      </c>
      <c r="I92" s="28">
        <v>1.9280101729549359E-2</v>
      </c>
      <c r="J92" s="28">
        <v>1.8559302421070629E-2</v>
      </c>
      <c r="K92" s="28">
        <v>2.8253961543610383E-3</v>
      </c>
      <c r="L92" s="28">
        <v>3.3262766150639084E-2</v>
      </c>
      <c r="M92" s="28">
        <v>1.0432370846903726E-2</v>
      </c>
      <c r="N92" s="28">
        <v>2.4150040520202185E-2</v>
      </c>
    </row>
    <row r="93" spans="1:14">
      <c r="A93" s="4">
        <v>38268</v>
      </c>
      <c r="B93" s="28">
        <v>1.1760831726019664E-3</v>
      </c>
      <c r="C93" s="28">
        <v>-5.9628054374114203E-3</v>
      </c>
      <c r="D93" s="28">
        <v>1.0801502817783196E-2</v>
      </c>
      <c r="E93" s="28">
        <v>1.2939263239766349E-3</v>
      </c>
      <c r="F93" s="28">
        <v>2.3230730938356764E-3</v>
      </c>
      <c r="G93" s="28">
        <v>1.729129944808858E-2</v>
      </c>
      <c r="H93" s="28">
        <v>3.052092493921845E-3</v>
      </c>
      <c r="I93" s="28">
        <v>9.0142063892694889E-4</v>
      </c>
      <c r="J93" s="28">
        <v>-5.5337706600212229E-3</v>
      </c>
      <c r="K93" s="28">
        <v>2.1794727671294461E-2</v>
      </c>
      <c r="L93" s="28">
        <v>2.7133611972495572E-2</v>
      </c>
      <c r="M93" s="28">
        <v>9.2198702726097835E-3</v>
      </c>
      <c r="N93" s="28">
        <v>-1.8463532639004367E-3</v>
      </c>
    </row>
    <row r="94" spans="1:14">
      <c r="A94" s="4">
        <v>38275</v>
      </c>
      <c r="B94" s="28">
        <v>-1.2104125552109653E-2</v>
      </c>
      <c r="C94" s="28">
        <v>1.2668316624019507E-2</v>
      </c>
      <c r="D94" s="28">
        <v>2.9425429766147121E-3</v>
      </c>
      <c r="E94" s="28">
        <v>3.488380304068007E-3</v>
      </c>
      <c r="F94" s="28">
        <v>2.8369114537477947E-3</v>
      </c>
      <c r="G94" s="28">
        <v>2.1383083276997335E-2</v>
      </c>
      <c r="H94" s="28">
        <v>4.4008939315797581E-3</v>
      </c>
      <c r="I94" s="28">
        <v>9.6401167189018918E-3</v>
      </c>
      <c r="J94" s="28">
        <v>1.2345224056603774E-2</v>
      </c>
      <c r="K94" s="28">
        <v>9.7710238602764475E-3</v>
      </c>
      <c r="L94" s="28">
        <v>1.8109708360093783E-2</v>
      </c>
      <c r="M94" s="28">
        <v>4.3844304754595926E-3</v>
      </c>
      <c r="N94" s="28">
        <v>-2.1366714735482541E-3</v>
      </c>
    </row>
    <row r="95" spans="1:14">
      <c r="A95" s="4">
        <v>38282</v>
      </c>
      <c r="B95" s="28">
        <v>-1.3317859249254113E-3</v>
      </c>
      <c r="C95" s="28">
        <v>5.5921461414191386E-3</v>
      </c>
      <c r="D95" s="28">
        <v>-6.1766522544790382E-4</v>
      </c>
      <c r="E95" s="28">
        <v>1.6839423814449722E-2</v>
      </c>
      <c r="F95" s="28">
        <v>-3.1215295494793063E-3</v>
      </c>
      <c r="G95" s="28">
        <v>1.5595886334688589E-2</v>
      </c>
      <c r="H95" s="28">
        <v>-1.4462739191456325E-3</v>
      </c>
      <c r="I95" s="28">
        <v>1.2345414713165481E-2</v>
      </c>
      <c r="J95" s="28">
        <v>2.1171417130792586E-2</v>
      </c>
      <c r="K95" s="28">
        <v>3.3258200488930904E-2</v>
      </c>
      <c r="L95" s="28">
        <v>2.230930037665768E-3</v>
      </c>
      <c r="M95" s="28">
        <v>1.8770190173881207E-2</v>
      </c>
      <c r="N95" s="28">
        <v>5.5309232329040338E-3</v>
      </c>
    </row>
    <row r="96" spans="1:14">
      <c r="A96" s="4">
        <v>38289</v>
      </c>
      <c r="B96" s="28">
        <v>2.1794212341163351E-2</v>
      </c>
      <c r="C96" s="28">
        <v>1.0710166419509776E-3</v>
      </c>
      <c r="D96" s="28">
        <v>1.2901730531520519E-2</v>
      </c>
      <c r="E96" s="28">
        <v>1.2747404844290707E-2</v>
      </c>
      <c r="F96" s="28">
        <v>2.1354590070153341E-2</v>
      </c>
      <c r="G96" s="28">
        <v>5.7559078835674529E-3</v>
      </c>
      <c r="H96" s="28">
        <v>1.1861196575336722E-2</v>
      </c>
      <c r="I96" s="28">
        <v>2.4213501758739001E-2</v>
      </c>
      <c r="J96" s="28">
        <v>2.2279574798770879E-2</v>
      </c>
      <c r="K96" s="28">
        <v>-6.1950110389812985E-4</v>
      </c>
      <c r="L96" s="28">
        <v>2.673683775271821E-2</v>
      </c>
      <c r="M96" s="28">
        <v>-6.8767371068071429E-3</v>
      </c>
      <c r="N96" s="28">
        <v>2.7133795345267345E-2</v>
      </c>
    </row>
    <row r="97" spans="1:14">
      <c r="A97" s="4">
        <v>38296</v>
      </c>
      <c r="B97" s="28">
        <v>3.3373729840589124E-2</v>
      </c>
      <c r="C97" s="28">
        <v>2.1808904616904003E-3</v>
      </c>
      <c r="D97" s="28">
        <v>2.4483258332697575E-2</v>
      </c>
      <c r="E97" s="28">
        <v>2.3807246040097797E-2</v>
      </c>
      <c r="F97" s="28">
        <v>2.0097428678816986E-2</v>
      </c>
      <c r="G97" s="28">
        <v>2.1247399888916711E-2</v>
      </c>
      <c r="H97" s="28">
        <v>2.9440910669365689E-2</v>
      </c>
      <c r="I97" s="28">
        <v>2.9057523159300214E-2</v>
      </c>
      <c r="J97" s="28">
        <v>1.559405250090656E-2</v>
      </c>
      <c r="K97" s="28">
        <v>2.6688032919856785E-2</v>
      </c>
      <c r="L97" s="28">
        <v>2.6186022785240595E-2</v>
      </c>
      <c r="M97" s="28">
        <v>2.8324883807450754E-2</v>
      </c>
      <c r="N97" s="28">
        <v>9.9631509930185689E-3</v>
      </c>
    </row>
    <row r="98" spans="1:14">
      <c r="A98" s="4">
        <v>38303</v>
      </c>
      <c r="B98" s="28">
        <v>1.2936400541271915E-2</v>
      </c>
      <c r="C98" s="28">
        <v>-3.572161773763106E-3</v>
      </c>
      <c r="D98" s="28">
        <v>2.5982727814175172E-2</v>
      </c>
      <c r="E98" s="28">
        <v>-1.0959379546941168E-2</v>
      </c>
      <c r="F98" s="28">
        <v>2.477314761299269E-2</v>
      </c>
      <c r="G98" s="28">
        <v>1.494017531511932E-2</v>
      </c>
      <c r="H98" s="28">
        <v>-8.4332293920670043E-3</v>
      </c>
      <c r="I98" s="28">
        <v>9.590690208667681E-3</v>
      </c>
      <c r="J98" s="28">
        <v>-3.0928967752568232E-2</v>
      </c>
      <c r="K98" s="28">
        <v>3.0676738091567742E-2</v>
      </c>
      <c r="L98" s="28">
        <v>5.7094579863079378E-2</v>
      </c>
      <c r="M98" s="28">
        <v>1.0886116960958935E-2</v>
      </c>
      <c r="N98" s="28">
        <v>1.7241754495404844E-2</v>
      </c>
    </row>
    <row r="99" spans="1:14">
      <c r="A99" s="4">
        <v>38310</v>
      </c>
      <c r="B99" s="28">
        <v>-1.4605820954008344E-3</v>
      </c>
      <c r="C99" s="28">
        <v>8.6533706939178924E-3</v>
      </c>
      <c r="D99" s="28">
        <v>-1.5238371671142004E-3</v>
      </c>
      <c r="E99" s="28">
        <v>1.2794903633320762E-2</v>
      </c>
      <c r="F99" s="28">
        <v>-1.4036448235750348E-2</v>
      </c>
      <c r="G99" s="28">
        <v>2.302075124770157E-2</v>
      </c>
      <c r="H99" s="28">
        <v>-3.8998323901826058E-4</v>
      </c>
      <c r="I99" s="28">
        <v>1.1877790585211431E-2</v>
      </c>
      <c r="J99" s="28">
        <v>-6.6609977324266908E-4</v>
      </c>
      <c r="K99" s="28">
        <v>7.0857014657492584E-3</v>
      </c>
      <c r="L99" s="28">
        <v>-2.5723578778460061E-2</v>
      </c>
      <c r="M99" s="28">
        <v>1.5544373577770016E-2</v>
      </c>
      <c r="N99" s="28">
        <v>7.1306332002281803E-4</v>
      </c>
    </row>
    <row r="100" spans="1:14">
      <c r="A100" s="4">
        <v>38317</v>
      </c>
      <c r="B100" s="28">
        <v>1.038173385658212E-2</v>
      </c>
      <c r="C100" s="28">
        <v>2.655445706348581E-3</v>
      </c>
      <c r="D100" s="28">
        <v>2.3909883720930176E-2</v>
      </c>
      <c r="E100" s="28">
        <v>3.562100213219619E-2</v>
      </c>
      <c r="F100" s="28">
        <v>2.4675733264690313E-2</v>
      </c>
      <c r="G100" s="28">
        <v>2.7144999281063269E-2</v>
      </c>
      <c r="H100" s="28">
        <v>2.8023341717093732E-2</v>
      </c>
      <c r="I100" s="28">
        <v>1.9542118666815E-2</v>
      </c>
      <c r="J100" s="28">
        <v>4.2729709415285116E-2</v>
      </c>
      <c r="K100" s="28">
        <v>2.7561710632978735E-2</v>
      </c>
      <c r="L100" s="28">
        <v>1.829902090500124E-2</v>
      </c>
      <c r="M100" s="28">
        <v>3.585705569231408E-2</v>
      </c>
      <c r="N100" s="28">
        <v>3.1808465156049501E-2</v>
      </c>
    </row>
    <row r="101" spans="1:14">
      <c r="A101" s="4">
        <v>38324</v>
      </c>
      <c r="B101" s="28">
        <v>1.0133822958228893E-2</v>
      </c>
      <c r="C101" s="28">
        <v>-4.0744815222262965E-3</v>
      </c>
      <c r="D101" s="28">
        <v>1.8028248988572793E-2</v>
      </c>
      <c r="E101" s="28">
        <v>3.0541865582335018E-2</v>
      </c>
      <c r="F101" s="28">
        <v>-1.0850982170894216E-2</v>
      </c>
      <c r="G101" s="28">
        <v>1.0764031237188639E-2</v>
      </c>
      <c r="H101" s="28">
        <v>-8.6719904398168783E-3</v>
      </c>
      <c r="I101" s="28">
        <v>2.2956104076233531E-2</v>
      </c>
      <c r="J101" s="28">
        <v>6.8193564181377994E-2</v>
      </c>
      <c r="K101" s="28">
        <v>3.6885369305350635E-2</v>
      </c>
      <c r="L101" s="28">
        <v>4.4154181019876629E-2</v>
      </c>
      <c r="M101" s="28">
        <v>1.1892369486068904E-2</v>
      </c>
      <c r="N101" s="28">
        <v>-5.1725090467114234E-3</v>
      </c>
    </row>
    <row r="102" spans="1:14">
      <c r="A102" s="4">
        <v>38331</v>
      </c>
      <c r="B102" s="28">
        <v>-1.4183095637583909E-2</v>
      </c>
      <c r="C102" s="28">
        <v>8.1004786646483237E-3</v>
      </c>
      <c r="D102" s="28">
        <v>-1.3316600432266587E-2</v>
      </c>
      <c r="E102" s="28">
        <v>-7.5793048766022364E-3</v>
      </c>
      <c r="F102" s="28">
        <v>-1.7580246913580299E-2</v>
      </c>
      <c r="G102" s="28">
        <v>-4.8468870411681207E-2</v>
      </c>
      <c r="H102" s="28">
        <v>-1.4832251390778131E-2</v>
      </c>
      <c r="I102" s="28">
        <v>-3.2572328899546081E-2</v>
      </c>
      <c r="J102" s="28">
        <v>1.1942959001782525E-2</v>
      </c>
      <c r="K102" s="28">
        <v>-3.8273899407596226E-3</v>
      </c>
      <c r="L102" s="28">
        <v>-5.2745799967347476E-2</v>
      </c>
      <c r="M102" s="28">
        <v>-2.5296700539455569E-2</v>
      </c>
      <c r="N102" s="28">
        <v>-8.5592308493283309E-3</v>
      </c>
    </row>
    <row r="103" spans="1:14">
      <c r="A103" s="4">
        <v>38338</v>
      </c>
      <c r="B103" s="28">
        <v>9.9282858637165881E-3</v>
      </c>
      <c r="C103" s="28">
        <v>1.2174830566941738E-3</v>
      </c>
      <c r="D103" s="28">
        <v>1.1023176936122118E-2</v>
      </c>
      <c r="E103" s="28">
        <v>1.8910536679269608E-2</v>
      </c>
      <c r="F103" s="28">
        <v>2.5018311335794099E-2</v>
      </c>
      <c r="G103" s="28">
        <v>3.4542449005052732E-2</v>
      </c>
      <c r="H103" s="28">
        <v>2.9251273232356729E-2</v>
      </c>
      <c r="I103" s="28">
        <v>1.2237376555626144E-2</v>
      </c>
      <c r="J103" s="28">
        <v>1.8715871058657744E-2</v>
      </c>
      <c r="K103" s="28">
        <v>3.9412083651564475E-3</v>
      </c>
      <c r="L103" s="28">
        <v>2.7252893229024324E-2</v>
      </c>
      <c r="M103" s="28">
        <v>2.1407168672837998E-2</v>
      </c>
      <c r="N103" s="28">
        <v>2.573833162958087E-2</v>
      </c>
    </row>
    <row r="104" spans="1:14">
      <c r="A104" s="4">
        <v>38345</v>
      </c>
      <c r="B104" s="28">
        <v>2.0855093962028975E-2</v>
      </c>
      <c r="C104" s="28">
        <v>-1.4592031129666962E-3</v>
      </c>
      <c r="D104" s="28">
        <v>1.8870561923399417E-2</v>
      </c>
      <c r="E104" s="28">
        <v>1.9800574198129185E-2</v>
      </c>
      <c r="F104" s="28">
        <v>9.912989869834991E-3</v>
      </c>
      <c r="G104" s="28">
        <v>2.2957837772652499E-2</v>
      </c>
      <c r="H104" s="28">
        <v>1.8989477066430935E-2</v>
      </c>
      <c r="I104" s="28">
        <v>1.1903540934847783E-2</v>
      </c>
      <c r="J104" s="28">
        <v>6.4533659398138994E-3</v>
      </c>
      <c r="K104" s="28">
        <v>1.7189614220921598E-3</v>
      </c>
      <c r="L104" s="28">
        <v>-8.6632346562124322E-3</v>
      </c>
      <c r="M104" s="28">
        <v>3.0641356506310721E-2</v>
      </c>
      <c r="N104" s="28">
        <v>1.7222078117107412E-2</v>
      </c>
    </row>
    <row r="105" spans="1:14">
      <c r="A105" s="4">
        <v>38352</v>
      </c>
      <c r="B105" s="28">
        <v>5.4081939727440471E-3</v>
      </c>
      <c r="C105" s="28">
        <v>0</v>
      </c>
      <c r="D105" s="28">
        <v>1.4336671697077811E-2</v>
      </c>
      <c r="E105" s="28">
        <v>6.1693265202334866E-3</v>
      </c>
      <c r="F105" s="28">
        <v>4.481225330715842E-3</v>
      </c>
      <c r="G105" s="28">
        <v>1.3119762655585485E-2</v>
      </c>
      <c r="H105" s="28">
        <v>-5.9911394201206977E-4</v>
      </c>
      <c r="I105" s="28">
        <v>8.5391578667308697E-3</v>
      </c>
      <c r="J105" s="28">
        <v>4.6019045749067346E-3</v>
      </c>
      <c r="K105" s="28">
        <v>9.6293762645440102E-3</v>
      </c>
      <c r="L105" s="28">
        <v>1.3529467613901438E-2</v>
      </c>
      <c r="M105" s="28">
        <v>9.0917538428433101E-3</v>
      </c>
      <c r="N105" s="28">
        <v>7.3815099885251069E-3</v>
      </c>
    </row>
    <row r="106" spans="1:14">
      <c r="A106" s="4">
        <v>38359</v>
      </c>
      <c r="B106" s="28">
        <v>-2.5168043511724424E-2</v>
      </c>
      <c r="C106" s="28">
        <v>-2.2325959001420052E-3</v>
      </c>
      <c r="D106" s="28">
        <v>-4.4363292080881869E-2</v>
      </c>
      <c r="E106" s="28">
        <v>-2.8786155688334591E-2</v>
      </c>
      <c r="F106" s="28">
        <v>-3.0441358259152038E-2</v>
      </c>
      <c r="G106" s="28">
        <v>-7.5294414250183985E-3</v>
      </c>
      <c r="H106" s="28">
        <v>-2.6132294246635757E-2</v>
      </c>
      <c r="I106" s="28">
        <v>-2.4948338347706493E-2</v>
      </c>
      <c r="J106" s="28">
        <v>-2.8187337380745935E-2</v>
      </c>
      <c r="K106" s="28">
        <v>-3.4940340158710052E-2</v>
      </c>
      <c r="L106" s="28">
        <v>1.7309740496443359E-3</v>
      </c>
      <c r="M106" s="28">
        <v>-1.9924392962729669E-2</v>
      </c>
      <c r="N106" s="28">
        <v>-3.9394888123580378E-2</v>
      </c>
    </row>
    <row r="107" spans="1:14">
      <c r="A107" s="4">
        <v>38366</v>
      </c>
      <c r="B107" s="28">
        <v>1.0176241984015005E-3</v>
      </c>
      <c r="C107" s="28">
        <v>7.5671277461350087E-3</v>
      </c>
      <c r="D107" s="28">
        <v>5.2367136083788061E-3</v>
      </c>
      <c r="E107" s="28">
        <v>1.544542677826864E-2</v>
      </c>
      <c r="F107" s="28">
        <v>1.6054702802806343E-2</v>
      </c>
      <c r="G107" s="28">
        <v>1.7815968422698263E-2</v>
      </c>
      <c r="H107" s="28">
        <v>7.5001012432673146E-3</v>
      </c>
      <c r="I107" s="28">
        <v>1.9834189014217095E-2</v>
      </c>
      <c r="J107" s="28">
        <v>2.6459515684019563E-3</v>
      </c>
      <c r="K107" s="28">
        <v>1.5077140936163073E-2</v>
      </c>
      <c r="L107" s="28">
        <v>1.8713038952801707E-2</v>
      </c>
      <c r="M107" s="28">
        <v>2.8830129710857893E-2</v>
      </c>
      <c r="N107" s="28">
        <v>1.8535854708856034E-2</v>
      </c>
    </row>
    <row r="108" spans="1:14">
      <c r="A108" s="4">
        <v>38373</v>
      </c>
      <c r="B108" s="28">
        <v>-1.1261359951624273E-2</v>
      </c>
      <c r="C108" s="28">
        <v>-2.2611644997173638E-3</v>
      </c>
      <c r="D108" s="28">
        <v>7.0397747272083291E-4</v>
      </c>
      <c r="E108" s="28">
        <v>3.6302623550945978E-3</v>
      </c>
      <c r="F108" s="28">
        <v>4.8861190754930124E-3</v>
      </c>
      <c r="G108" s="28">
        <v>1.993270970621679E-2</v>
      </c>
      <c r="H108" s="28">
        <v>6.2303542860817898E-3</v>
      </c>
      <c r="I108" s="28">
        <v>5.324793451072435E-3</v>
      </c>
      <c r="J108" s="28">
        <v>3.9239776345811441E-3</v>
      </c>
      <c r="K108" s="28">
        <v>2.0239972333429057E-2</v>
      </c>
      <c r="L108" s="28">
        <v>-2.0494584001850952E-3</v>
      </c>
      <c r="M108" s="28">
        <v>9.877480785776516E-3</v>
      </c>
      <c r="N108" s="28">
        <v>3.0092592592593087E-3</v>
      </c>
    </row>
    <row r="109" spans="1:14">
      <c r="A109" s="4">
        <v>38380</v>
      </c>
      <c r="B109" s="28">
        <v>4.5824395951144922E-3</v>
      </c>
      <c r="C109" s="28">
        <v>3.6422501011737523E-4</v>
      </c>
      <c r="D109" s="28">
        <v>-5.6982061202954784E-3</v>
      </c>
      <c r="E109" s="28">
        <v>1.6413872762090033E-2</v>
      </c>
      <c r="F109" s="28">
        <v>2.560238862612192E-3</v>
      </c>
      <c r="G109" s="28">
        <v>1.7952603245115429E-2</v>
      </c>
      <c r="H109" s="28">
        <v>1.4101273508780229E-2</v>
      </c>
      <c r="I109" s="28">
        <v>3.0208784925766157E-2</v>
      </c>
      <c r="J109" s="28">
        <v>-1.4491939210030119E-2</v>
      </c>
      <c r="K109" s="28">
        <v>-1.489750425150517E-2</v>
      </c>
      <c r="L109" s="28">
        <v>-1.9930771215063172E-2</v>
      </c>
      <c r="M109" s="28">
        <v>2.8209838936907428E-2</v>
      </c>
      <c r="N109" s="28">
        <v>1.0012082377377446E-2</v>
      </c>
    </row>
    <row r="110" spans="1:14">
      <c r="A110" s="4">
        <v>38387</v>
      </c>
      <c r="B110" s="28">
        <v>2.1687150936570754E-2</v>
      </c>
      <c r="C110" s="28">
        <v>0</v>
      </c>
      <c r="D110" s="28">
        <v>1.0117447290222207E-2</v>
      </c>
      <c r="E110" s="28">
        <v>2.8792727055234828E-2</v>
      </c>
      <c r="F110" s="28">
        <v>2.7965458935517194E-2</v>
      </c>
      <c r="G110" s="28">
        <v>4.2700826094795134E-2</v>
      </c>
      <c r="H110" s="28">
        <v>3.6681346558366315E-2</v>
      </c>
      <c r="I110" s="28">
        <v>1.1185177505229661E-2</v>
      </c>
      <c r="J110" s="28">
        <v>3.4453265077263324E-2</v>
      </c>
      <c r="K110" s="28">
        <v>5.0354887060182027E-2</v>
      </c>
      <c r="L110" s="28">
        <v>-3.3849267721387565E-3</v>
      </c>
      <c r="M110" s="28">
        <v>3.4425614842314246E-2</v>
      </c>
      <c r="N110" s="28">
        <v>3.0316471434235836E-2</v>
      </c>
    </row>
    <row r="111" spans="1:14">
      <c r="A111" s="4">
        <v>38394</v>
      </c>
      <c r="B111" s="28">
        <v>4.6028826308107526E-3</v>
      </c>
      <c r="C111" s="28">
        <v>2.7104656337231113E-3</v>
      </c>
      <c r="D111" s="28">
        <v>1.3728374308327936E-2</v>
      </c>
      <c r="E111" s="28">
        <v>-1.5638716578782665E-3</v>
      </c>
      <c r="F111" s="28">
        <v>-1.5094901578534227E-3</v>
      </c>
      <c r="G111" s="28">
        <v>4.291617159374983E-3</v>
      </c>
      <c r="H111" s="28">
        <v>1.7630920987636801E-3</v>
      </c>
      <c r="I111" s="28">
        <v>6.9661823511317509E-3</v>
      </c>
      <c r="J111" s="28">
        <v>-7.3801868014086386E-3</v>
      </c>
      <c r="K111" s="28">
        <v>-1.1260598455276863E-2</v>
      </c>
      <c r="L111" s="28">
        <v>-1.1364404090448499E-2</v>
      </c>
      <c r="M111" s="28">
        <v>3.5799309073343029E-4</v>
      </c>
      <c r="N111" s="28">
        <v>-1.8263887076995034E-3</v>
      </c>
    </row>
    <row r="112" spans="1:14">
      <c r="A112" s="4">
        <v>38401</v>
      </c>
      <c r="B112" s="28">
        <v>5.0373936215938513E-3</v>
      </c>
      <c r="C112" s="28">
        <v>-1.6138142499798501E-3</v>
      </c>
      <c r="D112" s="28">
        <v>5.6657223796035489E-3</v>
      </c>
      <c r="E112" s="28">
        <v>6.8068009782227944E-3</v>
      </c>
      <c r="F112" s="28">
        <v>-5.4233978943608353E-5</v>
      </c>
      <c r="G112" s="28">
        <v>-1.4175098444314808E-2</v>
      </c>
      <c r="H112" s="28">
        <v>7.3813334951714224E-3</v>
      </c>
      <c r="I112" s="28">
        <v>6.2591341431275579E-3</v>
      </c>
      <c r="J112" s="28">
        <v>4.4486950083297561E-3</v>
      </c>
      <c r="K112" s="28">
        <v>4.121997652595296E-3</v>
      </c>
      <c r="L112" s="28">
        <v>3.8338883090635059E-2</v>
      </c>
      <c r="M112" s="28">
        <v>-1.4354858911732668E-2</v>
      </c>
      <c r="N112" s="28">
        <v>-9.4100426065821588E-4</v>
      </c>
    </row>
    <row r="113" spans="1:14">
      <c r="A113" s="4">
        <v>38408</v>
      </c>
      <c r="B113" s="28">
        <v>6.8254131171097349E-3</v>
      </c>
      <c r="C113" s="28">
        <v>-2.3842237129233146E-3</v>
      </c>
      <c r="D113" s="28">
        <v>-1.5733424939883341E-2</v>
      </c>
      <c r="E113" s="28">
        <v>-2.7320729401014415E-2</v>
      </c>
      <c r="F113" s="28">
        <v>-7.0440200405421658E-3</v>
      </c>
      <c r="G113" s="28">
        <v>-3.2465642394307538E-3</v>
      </c>
      <c r="H113" s="28">
        <v>-2.9979215615398645E-2</v>
      </c>
      <c r="I113" s="28">
        <v>-9.7558943101529755E-3</v>
      </c>
      <c r="J113" s="28">
        <v>-2.0940961109643743E-2</v>
      </c>
      <c r="K113" s="28">
        <v>-8.4841976924324939E-3</v>
      </c>
      <c r="L113" s="28">
        <v>-1.3328201221336275E-2</v>
      </c>
      <c r="M113" s="28">
        <v>-1.8398921661621395E-2</v>
      </c>
      <c r="N113" s="28">
        <v>-8.3854425577561658E-3</v>
      </c>
    </row>
    <row r="114" spans="1:14">
      <c r="A114" s="4">
        <v>38415</v>
      </c>
      <c r="B114" s="28">
        <v>1.298910919686695E-2</v>
      </c>
      <c r="C114" s="28">
        <v>1.5392716814517577E-3</v>
      </c>
      <c r="D114" s="28">
        <v>1.0540276420494342E-2</v>
      </c>
      <c r="E114" s="28">
        <v>-3.4783125724647912E-3</v>
      </c>
      <c r="F114" s="28">
        <v>1.4263085305403518E-2</v>
      </c>
      <c r="G114" s="28">
        <v>3.7962513702444957E-3</v>
      </c>
      <c r="H114" s="28">
        <v>1.1179169480867741E-3</v>
      </c>
      <c r="I114" s="28">
        <v>-5.0672629566847214E-3</v>
      </c>
      <c r="J114" s="28">
        <v>2.1646108092507597E-3</v>
      </c>
      <c r="K114" s="28">
        <v>1.6205453335288753E-2</v>
      </c>
      <c r="L114" s="28">
        <v>-3.854588820277647E-3</v>
      </c>
      <c r="M114" s="28">
        <v>-6.0753172896871599E-3</v>
      </c>
      <c r="N114" s="28">
        <v>1.9194997427474512E-2</v>
      </c>
    </row>
    <row r="115" spans="1:14">
      <c r="A115" s="4">
        <v>38422</v>
      </c>
      <c r="B115" s="28">
        <v>-9.1074528483853362E-3</v>
      </c>
      <c r="C115" s="28">
        <v>-3.3164812942365752E-3</v>
      </c>
      <c r="D115" s="28">
        <v>-7.3910340540168651E-3</v>
      </c>
      <c r="E115" s="28">
        <v>-2.1646778042959412E-2</v>
      </c>
      <c r="F115" s="28">
        <v>-7.9433999097952585E-3</v>
      </c>
      <c r="G115" s="28">
        <v>-2.5466247152390446E-3</v>
      </c>
      <c r="H115" s="28">
        <v>-1.9479663448489698E-2</v>
      </c>
      <c r="I115" s="28">
        <v>-1.1883832067617658E-2</v>
      </c>
      <c r="J115" s="28">
        <v>-1.9934012408672246E-2</v>
      </c>
      <c r="K115" s="28">
        <v>-9.8468574980989064E-3</v>
      </c>
      <c r="L115" s="28">
        <v>2.0487878123807955E-2</v>
      </c>
      <c r="M115" s="28">
        <v>-1.7425606244563237E-2</v>
      </c>
      <c r="N115" s="28">
        <v>-1.5144454799627127E-2</v>
      </c>
    </row>
    <row r="116" spans="1:14">
      <c r="A116" s="4">
        <v>38429</v>
      </c>
      <c r="B116" s="28">
        <v>-1.0477584908215241E-2</v>
      </c>
      <c r="C116" s="28">
        <v>-2.5970863937021253E-3</v>
      </c>
      <c r="D116" s="28">
        <v>-6.263048016699721E-4</v>
      </c>
      <c r="E116" s="28">
        <v>1.2258190422755049E-3</v>
      </c>
      <c r="F116" s="28">
        <v>-2.144248189942446E-3</v>
      </c>
      <c r="G116" s="28">
        <v>8.5433268719936669E-3</v>
      </c>
      <c r="H116" s="28">
        <v>-3.2109329895685587E-3</v>
      </c>
      <c r="I116" s="28">
        <v>-1.6386225787517509E-3</v>
      </c>
      <c r="J116" s="28">
        <v>-1.2903802789009933E-3</v>
      </c>
      <c r="K116" s="28">
        <v>1.0028870140426662E-2</v>
      </c>
      <c r="L116" s="28">
        <v>-1.5628572848834392E-2</v>
      </c>
      <c r="M116" s="28">
        <v>1.2318617587880214E-2</v>
      </c>
      <c r="N116" s="28">
        <v>5.7172147306987545E-4</v>
      </c>
    </row>
    <row r="117" spans="1:14">
      <c r="A117" s="4">
        <v>38436</v>
      </c>
      <c r="B117" s="28">
        <v>-1.8944739520522832E-2</v>
      </c>
      <c r="C117" s="28">
        <v>-8.096342406118966E-3</v>
      </c>
      <c r="D117" s="28">
        <v>-3.0011837615764932E-2</v>
      </c>
      <c r="E117" s="28">
        <v>-1.883379118369042E-2</v>
      </c>
      <c r="F117" s="28">
        <v>-2.2522185576824925E-2</v>
      </c>
      <c r="G117" s="28">
        <v>-4.9375355922551267E-2</v>
      </c>
      <c r="H117" s="28">
        <v>-1.4860715504177179E-2</v>
      </c>
      <c r="I117" s="28">
        <v>-3.1858602190049233E-2</v>
      </c>
      <c r="J117" s="28">
        <v>-1.8613159695793694E-3</v>
      </c>
      <c r="K117" s="28">
        <v>-3.3562001176640377E-2</v>
      </c>
      <c r="L117" s="28">
        <v>-2.8650783230484735E-2</v>
      </c>
      <c r="M117" s="28">
        <v>-3.9008170156247739E-2</v>
      </c>
      <c r="N117" s="28">
        <v>-2.3079095488608144E-2</v>
      </c>
    </row>
    <row r="118" spans="1:14">
      <c r="A118" s="4">
        <v>38443</v>
      </c>
      <c r="B118" s="28">
        <v>9.7642627981597699E-4</v>
      </c>
      <c r="C118" s="28">
        <v>4.8810500410172179E-3</v>
      </c>
      <c r="D118" s="28">
        <v>-1.2203876525485708E-3</v>
      </c>
      <c r="E118" s="28">
        <v>8.8092326220969921E-3</v>
      </c>
      <c r="F118" s="28">
        <v>1.0546600530112669E-2</v>
      </c>
      <c r="G118" s="28">
        <v>1.0684700706697423E-2</v>
      </c>
      <c r="H118" s="28">
        <v>5.7585129345058654E-3</v>
      </c>
      <c r="I118" s="28">
        <v>3.8777343404056814E-3</v>
      </c>
      <c r="J118" s="28">
        <v>2.0736943287407817E-2</v>
      </c>
      <c r="K118" s="28">
        <v>8.4421140891419904E-4</v>
      </c>
      <c r="L118" s="28">
        <v>9.6260821284267755E-3</v>
      </c>
      <c r="M118" s="28">
        <v>1.1139445023018536E-2</v>
      </c>
      <c r="N118" s="28">
        <v>1.1879390903895825E-2</v>
      </c>
    </row>
    <row r="119" spans="1:14">
      <c r="A119" s="4">
        <v>38450</v>
      </c>
      <c r="B119" s="28">
        <v>4.7815635451505089E-3</v>
      </c>
      <c r="C119" s="28">
        <v>-1.6735376954161254E-3</v>
      </c>
      <c r="D119" s="28">
        <v>2.5875080859628667E-3</v>
      </c>
      <c r="E119" s="28">
        <v>1.321846153846155E-2</v>
      </c>
      <c r="F119" s="28">
        <v>6.4092414239394274E-3</v>
      </c>
      <c r="G119" s="28">
        <v>1.4132704801507726E-2</v>
      </c>
      <c r="H119" s="28">
        <v>7.9436894914277599E-3</v>
      </c>
      <c r="I119" s="28">
        <v>2.5898736570149658E-3</v>
      </c>
      <c r="J119" s="28">
        <v>3.004658287608461E-2</v>
      </c>
      <c r="K119" s="28">
        <v>9.7891825516140934E-3</v>
      </c>
      <c r="L119" s="28">
        <v>8.7330847974294318E-3</v>
      </c>
      <c r="M119" s="28">
        <v>1.4212489471784478E-2</v>
      </c>
      <c r="N119" s="28">
        <v>5.9995216328267518E-3</v>
      </c>
    </row>
    <row r="120" spans="1:14">
      <c r="A120" s="4">
        <v>38457</v>
      </c>
      <c r="B120" s="28">
        <v>-2.5857062367269236E-2</v>
      </c>
      <c r="C120" s="28">
        <v>7.1142366505845961E-3</v>
      </c>
      <c r="D120" s="28">
        <v>7.8858699548344121E-4</v>
      </c>
      <c r="E120" s="28">
        <v>5.9277974831154889E-3</v>
      </c>
      <c r="F120" s="28">
        <v>-1.8462275121417338E-2</v>
      </c>
      <c r="G120" s="28">
        <v>-3.5081390835825836E-2</v>
      </c>
      <c r="H120" s="28">
        <v>1.255253394348124E-3</v>
      </c>
      <c r="I120" s="28">
        <v>-5.5057634532952818E-3</v>
      </c>
      <c r="J120" s="28">
        <v>1.1702179530937665E-2</v>
      </c>
      <c r="K120" s="28">
        <v>-1.6882600295488145E-2</v>
      </c>
      <c r="L120" s="28">
        <v>-3.3078101071975501E-2</v>
      </c>
      <c r="M120" s="28">
        <v>-1.1521961960441991E-2</v>
      </c>
      <c r="N120" s="28">
        <v>-1.6325991480368542E-2</v>
      </c>
    </row>
    <row r="121" spans="1:14">
      <c r="A121" s="4">
        <v>38464</v>
      </c>
      <c r="B121" s="28">
        <v>5.3745261696712676E-3</v>
      </c>
      <c r="C121" s="28">
        <v>5.805456316986062E-3</v>
      </c>
      <c r="D121" s="28">
        <v>1.1174785100286549E-2</v>
      </c>
      <c r="E121" s="28">
        <v>4.347196058542405E-4</v>
      </c>
      <c r="F121" s="28">
        <v>1.3945125478252985E-2</v>
      </c>
      <c r="G121" s="28">
        <v>2.812769139039005E-2</v>
      </c>
      <c r="H121" s="28">
        <v>8.1171793793492122E-3</v>
      </c>
      <c r="I121" s="28">
        <v>5.7637616128421399E-3</v>
      </c>
      <c r="J121" s="28">
        <v>2.7290471829967545E-3</v>
      </c>
      <c r="K121" s="28">
        <v>-9.3000942147517876E-3</v>
      </c>
      <c r="L121" s="28">
        <v>4.6753246753247447E-3</v>
      </c>
      <c r="M121" s="28">
        <v>1.2424387902064384E-2</v>
      </c>
      <c r="N121" s="28">
        <v>1.1642037557991928E-2</v>
      </c>
    </row>
    <row r="122" spans="1:14">
      <c r="A122" s="4">
        <v>38471</v>
      </c>
      <c r="B122" s="28">
        <v>-5.5051068273943675E-3</v>
      </c>
      <c r="C122" s="28">
        <v>1.4127144298687964E-3</v>
      </c>
      <c r="D122" s="28">
        <v>1.5089260413714901E-2</v>
      </c>
      <c r="E122" s="28">
        <v>-6.1739571263036029E-3</v>
      </c>
      <c r="F122" s="28">
        <v>-5.4573447337311013E-3</v>
      </c>
      <c r="G122" s="28">
        <v>1.1815010171863096E-2</v>
      </c>
      <c r="H122" s="28">
        <v>1.1570065799830026E-2</v>
      </c>
      <c r="I122" s="28">
        <v>-4.5808146183910995E-3</v>
      </c>
      <c r="J122" s="28">
        <v>7.8284117876775954E-3</v>
      </c>
      <c r="K122" s="28">
        <v>-2.5478413068844848E-2</v>
      </c>
      <c r="L122" s="28">
        <v>2.8522544791114309E-3</v>
      </c>
      <c r="M122" s="28">
        <v>-2.2030651340996184E-2</v>
      </c>
      <c r="N122" s="28">
        <v>-8.9927460727250701E-3</v>
      </c>
    </row>
    <row r="123" spans="1:14">
      <c r="A123" s="4">
        <v>38478</v>
      </c>
      <c r="B123" s="28">
        <v>1.5102701933003273E-2</v>
      </c>
      <c r="C123" s="28">
        <v>2.8214429665458164E-3</v>
      </c>
      <c r="D123" s="28">
        <v>2.3728103845348835E-3</v>
      </c>
      <c r="E123" s="28">
        <v>1.8278649201751295E-3</v>
      </c>
      <c r="F123" s="28">
        <v>2.1541417296714587E-2</v>
      </c>
      <c r="G123" s="28">
        <v>-6.1455741403700827E-3</v>
      </c>
      <c r="H123" s="28">
        <v>5.4465383358441618E-5</v>
      </c>
      <c r="I123" s="28">
        <v>1.3578431063107188E-2</v>
      </c>
      <c r="J123" s="28">
        <v>6.4084221570450918E-3</v>
      </c>
      <c r="K123" s="28">
        <v>-2.7180257793369958E-3</v>
      </c>
      <c r="L123" s="28">
        <v>2.8353394631550434E-2</v>
      </c>
      <c r="M123" s="28">
        <v>1.9055284568612776E-3</v>
      </c>
      <c r="N123" s="28">
        <v>1.5402954688525467E-2</v>
      </c>
    </row>
    <row r="124" spans="1:14">
      <c r="A124" s="4">
        <v>38485</v>
      </c>
      <c r="B124" s="28">
        <v>-1.947203689253979E-2</v>
      </c>
      <c r="C124" s="28">
        <v>-5.3054662379422085E-3</v>
      </c>
      <c r="D124" s="28">
        <v>-8.4940472046229811E-3</v>
      </c>
      <c r="E124" s="28">
        <v>-7.7648599173202716E-3</v>
      </c>
      <c r="F124" s="28">
        <v>-6.4810743158679116E-3</v>
      </c>
      <c r="G124" s="28">
        <v>-1.6678719528382225E-2</v>
      </c>
      <c r="H124" s="28">
        <v>3.960195753487653E-3</v>
      </c>
      <c r="I124" s="28">
        <v>-1.1534341446401565E-2</v>
      </c>
      <c r="J124" s="28">
        <v>-1.7734550387091839E-2</v>
      </c>
      <c r="K124" s="28">
        <v>-2.7356389460856372E-2</v>
      </c>
      <c r="L124" s="28">
        <v>-7.5899471923920733E-3</v>
      </c>
      <c r="M124" s="28">
        <v>-1.0874246860405933E-2</v>
      </c>
      <c r="N124" s="28">
        <v>-1.0618511825460775E-2</v>
      </c>
    </row>
    <row r="125" spans="1:14">
      <c r="A125" s="4">
        <v>38492</v>
      </c>
      <c r="B125" s="28">
        <v>1.7462446351931303E-2</v>
      </c>
      <c r="C125" s="28">
        <v>-1.616292225634303E-3</v>
      </c>
      <c r="D125" s="28">
        <v>1.2148023312969523E-2</v>
      </c>
      <c r="E125" s="28">
        <v>-2.6329775860911417E-3</v>
      </c>
      <c r="F125" s="28">
        <v>2.0809358763967788E-2</v>
      </c>
      <c r="G125" s="28">
        <v>9.2115919902437948E-3</v>
      </c>
      <c r="H125" s="28">
        <v>1.5344317177883962E-3</v>
      </c>
      <c r="I125" s="28">
        <v>8.02081758153134E-3</v>
      </c>
      <c r="J125" s="28">
        <v>-3.8654276393151107E-3</v>
      </c>
      <c r="K125" s="28">
        <v>8.8321339077408901E-3</v>
      </c>
      <c r="L125" s="28">
        <v>2.5215382245725674E-2</v>
      </c>
      <c r="M125" s="28">
        <v>6.9182143765778182E-3</v>
      </c>
      <c r="N125" s="28">
        <v>1.4958803295736378E-2</v>
      </c>
    </row>
    <row r="126" spans="1:14">
      <c r="A126" s="4">
        <v>38499</v>
      </c>
      <c r="B126" s="28">
        <v>8.5594017206682381E-3</v>
      </c>
      <c r="C126" s="28">
        <v>3.7639630888780086E-3</v>
      </c>
      <c r="D126" s="28">
        <v>-4.3707506590814175E-3</v>
      </c>
      <c r="E126" s="28">
        <v>1.5116806115323875E-2</v>
      </c>
      <c r="F126" s="28">
        <v>1.2874133664191866E-2</v>
      </c>
      <c r="G126" s="28">
        <v>2.8780031086123363E-2</v>
      </c>
      <c r="H126" s="28">
        <v>1.7038596056826436E-2</v>
      </c>
      <c r="I126" s="28">
        <v>2.4083507828859083E-2</v>
      </c>
      <c r="J126" s="28">
        <v>2.2659030922342928E-2</v>
      </c>
      <c r="K126" s="28">
        <v>5.9283096669991093E-3</v>
      </c>
      <c r="L126" s="28">
        <v>3.1938910623534017E-2</v>
      </c>
      <c r="M126" s="28">
        <v>1.2186470491054473E-2</v>
      </c>
      <c r="N126" s="28">
        <v>6.9882303488861524E-3</v>
      </c>
    </row>
    <row r="127" spans="1:14">
      <c r="A127" s="4">
        <v>38506</v>
      </c>
      <c r="B127" s="28">
        <v>-8.8875722115240596E-4</v>
      </c>
      <c r="C127" s="28">
        <v>3.1047135196161858E-3</v>
      </c>
      <c r="D127" s="28">
        <v>1.3796947947878325E-2</v>
      </c>
      <c r="E127" s="28">
        <v>8.2664574911006953E-4</v>
      </c>
      <c r="F127" s="28">
        <v>1.273025427579798E-2</v>
      </c>
      <c r="G127" s="28">
        <v>2.053286828030491E-2</v>
      </c>
      <c r="H127" s="28">
        <v>1.10166009829728E-2</v>
      </c>
      <c r="I127" s="28">
        <v>-7.8614240896495973E-3</v>
      </c>
      <c r="J127" s="28">
        <v>-3.5280676726000774E-3</v>
      </c>
      <c r="K127" s="28">
        <v>4.0748804904453453E-3</v>
      </c>
      <c r="L127" s="28">
        <v>2.800365720852481E-2</v>
      </c>
      <c r="M127" s="28">
        <v>1.8074024290720605E-2</v>
      </c>
      <c r="N127" s="28">
        <v>3.4503000260892014E-3</v>
      </c>
    </row>
    <row r="128" spans="1:14">
      <c r="A128" s="4">
        <v>38513</v>
      </c>
      <c r="B128" s="28">
        <v>6.5407927440805824E-4</v>
      </c>
      <c r="C128" s="28">
        <v>-3.7382426240051723E-3</v>
      </c>
      <c r="D128" s="28">
        <v>9.2789882466148485E-3</v>
      </c>
      <c r="E128" s="28">
        <v>-5.7696829387401732E-3</v>
      </c>
      <c r="F128" s="28">
        <v>6.7630839662883907E-4</v>
      </c>
      <c r="G128" s="28">
        <v>1.1979599098564813E-2</v>
      </c>
      <c r="H128" s="28">
        <v>-9.383983263850067E-3</v>
      </c>
      <c r="I128" s="28">
        <v>-1.4998462011688779E-2</v>
      </c>
      <c r="J128" s="28">
        <v>7.6573499272285031E-3</v>
      </c>
      <c r="K128" s="28">
        <v>3.3290528917209822E-2</v>
      </c>
      <c r="L128" s="28">
        <v>-5.6649413772983147E-3</v>
      </c>
      <c r="M128" s="28">
        <v>7.4360485677236743E-3</v>
      </c>
      <c r="N128" s="28">
        <v>-2.3724561095620324E-3</v>
      </c>
    </row>
    <row r="129" spans="1:14">
      <c r="A129" s="4">
        <v>38520</v>
      </c>
      <c r="B129" s="28">
        <v>1.6942652954505689E-2</v>
      </c>
      <c r="C129" s="28">
        <v>-2.6225539640912072E-3</v>
      </c>
      <c r="D129" s="28">
        <v>2.1383819122854714E-2</v>
      </c>
      <c r="E129" s="28">
        <v>-2.5286519919955402E-3</v>
      </c>
      <c r="F129" s="28">
        <v>2.2868468936833933E-2</v>
      </c>
      <c r="G129" s="28">
        <v>3.8986126304457275E-2</v>
      </c>
      <c r="H129" s="28">
        <v>8.0523249189065952E-4</v>
      </c>
      <c r="I129" s="28">
        <v>1.4745927850504728E-2</v>
      </c>
      <c r="J129" s="28">
        <v>1.3913125501107744E-3</v>
      </c>
      <c r="K129" s="28">
        <v>-1.6413815743205858E-4</v>
      </c>
      <c r="L129" s="28">
        <v>3.367624242032935E-2</v>
      </c>
      <c r="M129" s="28">
        <v>1.2328459363825353E-2</v>
      </c>
      <c r="N129" s="28">
        <v>2.1878501993693254E-2</v>
      </c>
    </row>
    <row r="130" spans="1:14">
      <c r="A130" s="4">
        <v>38527</v>
      </c>
      <c r="B130" s="28">
        <v>-1.459497446093721E-2</v>
      </c>
      <c r="C130" s="28">
        <v>7.5242718446602496E-3</v>
      </c>
      <c r="D130" s="28">
        <v>-8.6678223763167299E-3</v>
      </c>
      <c r="E130" s="28">
        <v>2.0791158286369909E-3</v>
      </c>
      <c r="F130" s="28">
        <v>7.6493497417391238E-3</v>
      </c>
      <c r="G130" s="28">
        <v>-4.2252814974200283E-2</v>
      </c>
      <c r="H130" s="28">
        <v>3.9090667577516133E-3</v>
      </c>
      <c r="I130" s="28">
        <v>-1.7122845026558219E-2</v>
      </c>
      <c r="J130" s="28">
        <v>-7.1235134816907512E-3</v>
      </c>
      <c r="K130" s="28">
        <v>-1.2599671669793627E-2</v>
      </c>
      <c r="L130" s="28">
        <v>5.8206229584094181E-2</v>
      </c>
      <c r="M130" s="28">
        <v>-6.5098989301202699E-3</v>
      </c>
      <c r="N130" s="28">
        <v>-2.2761760242793151E-3</v>
      </c>
    </row>
    <row r="131" spans="1:14">
      <c r="A131" s="4">
        <v>38534</v>
      </c>
      <c r="B131" s="28">
        <v>-1.7220236386881469E-3</v>
      </c>
      <c r="C131" s="28">
        <v>-6.9461174014293333E-3</v>
      </c>
      <c r="D131" s="28">
        <v>1.3451708366950368E-4</v>
      </c>
      <c r="E131" s="28">
        <v>1.1399278065944849E-2</v>
      </c>
      <c r="F131" s="28">
        <v>2.2540557240405289E-2</v>
      </c>
      <c r="G131" s="28">
        <v>-1.4788511202625842E-3</v>
      </c>
      <c r="H131" s="28">
        <v>1.136398003931665E-2</v>
      </c>
      <c r="I131" s="28">
        <v>4.9094814360232681E-3</v>
      </c>
      <c r="J131" s="28">
        <v>4.9807293210786725E-4</v>
      </c>
      <c r="K131" s="28">
        <v>-1.9030823402271798E-2</v>
      </c>
      <c r="L131" s="28">
        <v>1.1944693292221397E-2</v>
      </c>
      <c r="M131" s="28">
        <v>2.4520890924152119E-2</v>
      </c>
      <c r="N131" s="28">
        <v>2.3618877208678172E-2</v>
      </c>
    </row>
    <row r="132" spans="1:14">
      <c r="A132" s="4">
        <v>38541</v>
      </c>
      <c r="B132" s="28">
        <v>7.7276251709748993E-3</v>
      </c>
      <c r="C132" s="28">
        <v>-2.9110904459628789E-3</v>
      </c>
      <c r="D132" s="28">
        <v>5.5817081371890556E-3</v>
      </c>
      <c r="E132" s="28">
        <v>-2.7058315438415564E-2</v>
      </c>
      <c r="F132" s="28">
        <v>1.7721269222705921E-2</v>
      </c>
      <c r="G132" s="28">
        <v>-3.9372108365043887E-2</v>
      </c>
      <c r="H132" s="28">
        <v>-1.9841062177134328E-2</v>
      </c>
      <c r="I132" s="28">
        <v>-3.3176507244119025E-2</v>
      </c>
      <c r="J132" s="28">
        <v>-3.4480306280891722E-2</v>
      </c>
      <c r="K132" s="28">
        <v>-2.3637156035495051E-2</v>
      </c>
      <c r="L132" s="28">
        <v>3.6600053528414653E-2</v>
      </c>
      <c r="M132" s="28">
        <v>-1.6211894779397221E-2</v>
      </c>
      <c r="N132" s="28">
        <v>8.6901692460404616E-3</v>
      </c>
    </row>
    <row r="133" spans="1:14">
      <c r="A133" s="4">
        <v>38548</v>
      </c>
      <c r="B133" s="28">
        <v>1.4740209215872702E-2</v>
      </c>
      <c r="C133" s="28">
        <v>-6.4879769676827784E-4</v>
      </c>
      <c r="D133" s="28">
        <v>1.1770213335116637E-2</v>
      </c>
      <c r="E133" s="28">
        <v>2.4968712046016133E-3</v>
      </c>
      <c r="F133" s="28">
        <v>-5.8708770569275469E-3</v>
      </c>
      <c r="G133" s="28">
        <v>2.2616779075954729E-2</v>
      </c>
      <c r="H133" s="28">
        <v>1.8457924322510834E-3</v>
      </c>
      <c r="I133" s="28">
        <v>1.3386958511385671E-2</v>
      </c>
      <c r="J133" s="28">
        <v>-1.000515603132914E-2</v>
      </c>
      <c r="K133" s="28">
        <v>-1.3657695860534017E-2</v>
      </c>
      <c r="L133" s="28">
        <v>-1.637203513400343E-2</v>
      </c>
      <c r="M133" s="28">
        <v>1.68114951657139E-2</v>
      </c>
      <c r="N133" s="28">
        <v>-5.9353976221274089E-3</v>
      </c>
    </row>
    <row r="134" spans="1:14">
      <c r="A134" s="4">
        <v>38555</v>
      </c>
      <c r="B134" s="28">
        <v>7.148029818956422E-3</v>
      </c>
      <c r="C134" s="28">
        <v>1.7853519983769435E-3</v>
      </c>
      <c r="D134" s="28">
        <v>1.6326260823583839E-2</v>
      </c>
      <c r="E134" s="28">
        <v>3.5976089737283141E-3</v>
      </c>
      <c r="F134" s="28">
        <v>-2.3037121456823515E-3</v>
      </c>
      <c r="G134" s="28">
        <v>2.9116671262241392E-2</v>
      </c>
      <c r="H134" s="28">
        <v>1.1648179305829211E-3</v>
      </c>
      <c r="I134" s="28">
        <v>-1.7935736637239783E-3</v>
      </c>
      <c r="J134" s="28">
        <v>-3.3232890641468572E-3</v>
      </c>
      <c r="K134" s="28">
        <v>-5.8894517844348248E-3</v>
      </c>
      <c r="L134" s="28">
        <v>9.1450743636726783E-3</v>
      </c>
      <c r="M134" s="28">
        <v>1.5307489362861531E-2</v>
      </c>
      <c r="N134" s="28">
        <v>3.7605688171641095E-3</v>
      </c>
    </row>
    <row r="135" spans="1:14">
      <c r="A135" s="4">
        <v>38562</v>
      </c>
      <c r="B135" s="28">
        <v>5.0924594379684147E-3</v>
      </c>
      <c r="C135" s="28">
        <v>-1.8226740653731971E-3</v>
      </c>
      <c r="D135" s="28">
        <v>1.2682101977107292E-2</v>
      </c>
      <c r="E135" s="28">
        <v>6.1277138112541592E-3</v>
      </c>
      <c r="F135" s="28">
        <v>1.8270669802388492E-2</v>
      </c>
      <c r="G135" s="28">
        <v>-2.4433775134939092E-2</v>
      </c>
      <c r="H135" s="28">
        <v>8.3571602384718401E-3</v>
      </c>
      <c r="I135" s="28">
        <v>-7.8370904642362227E-4</v>
      </c>
      <c r="J135" s="28">
        <v>2.9244167962674955E-2</v>
      </c>
      <c r="K135" s="28">
        <v>1.306263870359955E-2</v>
      </c>
      <c r="L135" s="28">
        <v>5.395802208942492E-2</v>
      </c>
      <c r="M135" s="28">
        <v>-1.9030368084440349E-2</v>
      </c>
      <c r="N135" s="28">
        <v>8.4047686982842828E-3</v>
      </c>
    </row>
    <row r="136" spans="1:14">
      <c r="A136" s="4">
        <v>38569</v>
      </c>
      <c r="B136" s="28">
        <v>-2.3565849717207505E-4</v>
      </c>
      <c r="C136" s="28">
        <v>-2.759292322674918E-3</v>
      </c>
      <c r="D136" s="28">
        <v>-8.7341853445508551E-3</v>
      </c>
      <c r="E136" s="28">
        <v>1.2674109127672887E-2</v>
      </c>
      <c r="F136" s="28">
        <v>-5.80097902769117E-3</v>
      </c>
      <c r="G136" s="28">
        <v>-5.1827931268188807E-3</v>
      </c>
      <c r="H136" s="28">
        <v>2.2322270235213657E-3</v>
      </c>
      <c r="I136" s="28">
        <v>3.5071386212481587E-3</v>
      </c>
      <c r="J136" s="28">
        <v>6.6484941160766599E-5</v>
      </c>
      <c r="K136" s="28">
        <v>1.694470969312294E-2</v>
      </c>
      <c r="L136" s="28">
        <v>-2.109301460991448E-2</v>
      </c>
      <c r="M136" s="28">
        <v>1.745275491827579E-2</v>
      </c>
      <c r="N136" s="28">
        <v>-1.8453248694429858E-4</v>
      </c>
    </row>
    <row r="137" spans="1:14">
      <c r="A137" s="4">
        <v>38576</v>
      </c>
      <c r="B137" s="28">
        <v>1.7106104993770358E-2</v>
      </c>
      <c r="C137" s="28">
        <v>9.7656250000000243E-3</v>
      </c>
      <c r="D137" s="28">
        <v>7.0618723679948397E-3</v>
      </c>
      <c r="E137" s="28">
        <v>1.2304990557754091E-2</v>
      </c>
      <c r="F137" s="28">
        <v>-2.9868037579422104E-3</v>
      </c>
      <c r="G137" s="28">
        <v>1.0205853671569249E-2</v>
      </c>
      <c r="H137" s="28">
        <v>-8.7209083589793145E-3</v>
      </c>
      <c r="I137" s="28">
        <v>2.196691935719592E-2</v>
      </c>
      <c r="J137" s="28">
        <v>2.021007844701506E-2</v>
      </c>
      <c r="K137" s="28">
        <v>1.0040382467380969E-2</v>
      </c>
      <c r="L137" s="28">
        <v>-1.8116527573969145E-3</v>
      </c>
      <c r="M137" s="28">
        <v>1.7986852659266934E-2</v>
      </c>
      <c r="N137" s="28">
        <v>3.07610909113001E-5</v>
      </c>
    </row>
    <row r="138" spans="1:14">
      <c r="A138" s="4">
        <v>38583</v>
      </c>
      <c r="B138" s="28">
        <v>-1.4244330408872732E-2</v>
      </c>
      <c r="C138" s="28">
        <v>-2.2969052224371101E-3</v>
      </c>
      <c r="D138" s="28">
        <v>-1.6469377251672686E-2</v>
      </c>
      <c r="E138" s="28">
        <v>-1.6349809885931547E-2</v>
      </c>
      <c r="F138" s="28">
        <v>-8.7330694651220914E-3</v>
      </c>
      <c r="G138" s="28">
        <v>-1.6789424734097714E-2</v>
      </c>
      <c r="H138" s="28">
        <v>-1.2107180810687752E-2</v>
      </c>
      <c r="I138" s="28">
        <v>-1.1477958092395719E-2</v>
      </c>
      <c r="J138" s="28">
        <v>-2.286648578841979E-2</v>
      </c>
      <c r="K138" s="28">
        <v>-6.3799535782425353E-3</v>
      </c>
      <c r="L138" s="28">
        <v>2.7415158398513065E-2</v>
      </c>
      <c r="M138" s="28">
        <v>-1.8958785440427579E-2</v>
      </c>
      <c r="N138" s="28">
        <v>-2.0252479267662521E-2</v>
      </c>
    </row>
    <row r="139" spans="1:14">
      <c r="A139" s="4">
        <v>38590</v>
      </c>
      <c r="B139" s="28">
        <v>-5.256131453664591E-3</v>
      </c>
      <c r="C139" s="28">
        <v>4.8063330506078507E-3</v>
      </c>
      <c r="D139" s="28">
        <v>7.1951857666152305E-4</v>
      </c>
      <c r="E139" s="28">
        <v>1.7817452647854656E-2</v>
      </c>
      <c r="F139" s="28">
        <v>8.901587999340578E-3</v>
      </c>
      <c r="G139" s="28">
        <v>3.2188648794047752E-3</v>
      </c>
      <c r="H139" s="28">
        <v>1.649698413308235E-2</v>
      </c>
      <c r="I139" s="28">
        <v>6.9315151210184566E-3</v>
      </c>
      <c r="J139" s="28">
        <v>1.374995453057368E-2</v>
      </c>
      <c r="K139" s="28">
        <v>1.2964140697618257E-3</v>
      </c>
      <c r="L139" s="28">
        <v>2.2432018456185383E-2</v>
      </c>
      <c r="M139" s="28">
        <v>1.8306636155606491E-2</v>
      </c>
      <c r="N139" s="28">
        <v>4.7721906866932092E-3</v>
      </c>
    </row>
    <row r="140" spans="1:14">
      <c r="A140" s="4">
        <v>38597</v>
      </c>
      <c r="B140" s="28">
        <v>1.9092957889139204E-2</v>
      </c>
      <c r="C140" s="28">
        <v>9.7274700538627999E-3</v>
      </c>
      <c r="D140" s="28">
        <v>2.9936597163213174E-2</v>
      </c>
      <c r="E140" s="28">
        <v>3.8375722474750379E-2</v>
      </c>
      <c r="F140" s="28">
        <v>3.2072811333200203E-2</v>
      </c>
      <c r="G140" s="28">
        <v>1.3258676009259004E-2</v>
      </c>
      <c r="H140" s="28">
        <v>3.4620385208478176E-2</v>
      </c>
      <c r="I140" s="28">
        <v>2.1819522006921322E-2</v>
      </c>
      <c r="J140" s="28">
        <v>4.0301649383424752E-2</v>
      </c>
      <c r="K140" s="28">
        <v>2.0263832905826208E-2</v>
      </c>
      <c r="L140" s="28">
        <v>2.9065116773707437E-2</v>
      </c>
      <c r="M140" s="28">
        <v>3.2795769993390546E-2</v>
      </c>
      <c r="N140" s="28">
        <v>3.7539996000399915E-2</v>
      </c>
    </row>
    <row r="141" spans="1:14">
      <c r="A141" s="4">
        <v>38604</v>
      </c>
      <c r="B141" s="28">
        <v>1.5107466766057905E-2</v>
      </c>
      <c r="C141" s="28">
        <v>-3.7818471337579167E-3</v>
      </c>
      <c r="D141" s="28">
        <v>1.1613885891984595E-2</v>
      </c>
      <c r="E141" s="28">
        <v>6.0119438809040672E-3</v>
      </c>
      <c r="F141" s="28">
        <v>1.9196829063788126E-2</v>
      </c>
      <c r="G141" s="28">
        <v>1.7640962314494257E-2</v>
      </c>
      <c r="H141" s="28">
        <v>1.161669296861291E-2</v>
      </c>
      <c r="I141" s="28">
        <v>8.6808208877667947E-3</v>
      </c>
      <c r="J141" s="28">
        <v>2.920903922323843E-2</v>
      </c>
      <c r="K141" s="28">
        <v>1.8556429503525724E-2</v>
      </c>
      <c r="L141" s="28">
        <v>3.0433877458711293E-2</v>
      </c>
      <c r="M141" s="28">
        <v>3.0291006983998517E-3</v>
      </c>
      <c r="N141" s="28">
        <v>7.5290772965191568E-3</v>
      </c>
    </row>
    <row r="142" spans="1:14">
      <c r="A142" s="4">
        <v>38611</v>
      </c>
      <c r="B142" s="28">
        <v>-3.7614536672132609E-3</v>
      </c>
      <c r="C142" s="28">
        <v>-8.9110889110888703E-3</v>
      </c>
      <c r="D142" s="28">
        <v>-8.9711417816813466E-3</v>
      </c>
      <c r="E142" s="28">
        <v>-7.9699154155092253E-3</v>
      </c>
      <c r="F142" s="28">
        <v>3.6761533283856986E-3</v>
      </c>
      <c r="G142" s="28">
        <v>9.0489501397647241E-3</v>
      </c>
      <c r="H142" s="28">
        <v>1.1194407129755328E-3</v>
      </c>
      <c r="I142" s="28">
        <v>-1.5394032691106998E-3</v>
      </c>
      <c r="J142" s="28">
        <v>-2.2526447490420775E-2</v>
      </c>
      <c r="K142" s="28">
        <v>7.0640228493517683E-3</v>
      </c>
      <c r="L142" s="28">
        <v>-8.0073023574230903E-3</v>
      </c>
      <c r="M142" s="28">
        <v>8.5026562825654198E-3</v>
      </c>
      <c r="N142" s="28">
        <v>-9.1467242172973084E-4</v>
      </c>
    </row>
    <row r="143" spans="1:14">
      <c r="A143" s="4">
        <v>38618</v>
      </c>
      <c r="B143" s="28">
        <v>-1.3472784156988686E-2</v>
      </c>
      <c r="C143" s="28">
        <v>-1.1692605435046385E-3</v>
      </c>
      <c r="D143" s="28">
        <v>-1.6712033930493045E-2</v>
      </c>
      <c r="E143" s="28">
        <v>-7.9022412588613637E-3</v>
      </c>
      <c r="F143" s="28">
        <v>-2.2526395432816291E-2</v>
      </c>
      <c r="G143" s="28">
        <v>-3.5420236822099875E-2</v>
      </c>
      <c r="H143" s="28">
        <v>-1.6440984871985372E-2</v>
      </c>
      <c r="I143" s="28">
        <v>-2.5105466023248126E-2</v>
      </c>
      <c r="J143" s="28">
        <v>-1.2205644539174004E-2</v>
      </c>
      <c r="K143" s="28">
        <v>-9.2962184873948625E-3</v>
      </c>
      <c r="L143" s="28">
        <v>-4.2350927781880411E-2</v>
      </c>
      <c r="M143" s="28">
        <v>-1.840979831464943E-2</v>
      </c>
      <c r="N143" s="28">
        <v>-6.48635710866452E-3</v>
      </c>
    </row>
    <row r="144" spans="1:14">
      <c r="A144" s="4">
        <v>38625</v>
      </c>
      <c r="B144" s="28">
        <v>1.642134276439771E-2</v>
      </c>
      <c r="C144" s="28">
        <v>-4.8439833689903873E-3</v>
      </c>
      <c r="D144" s="28">
        <v>1.6545419429601447E-2</v>
      </c>
      <c r="E144" s="28">
        <v>-5.7603287658582305E-3</v>
      </c>
      <c r="F144" s="28">
        <v>2.3567424295733386E-2</v>
      </c>
      <c r="G144" s="28">
        <v>1.0009528643815739E-2</v>
      </c>
      <c r="H144" s="28">
        <v>-8.5596092065308802E-3</v>
      </c>
      <c r="I144" s="28">
        <v>1.1942045588976997E-2</v>
      </c>
      <c r="J144" s="28">
        <v>-9.71856651143993E-4</v>
      </c>
      <c r="K144" s="28">
        <v>2.4722119139762161E-2</v>
      </c>
      <c r="L144" s="28">
        <v>4.546163920781416E-2</v>
      </c>
      <c r="M144" s="28">
        <v>9.0101702780392701E-3</v>
      </c>
      <c r="N144" s="28">
        <v>1.0419427112192646E-2</v>
      </c>
    </row>
    <row r="145" spans="1:14">
      <c r="A145" s="4">
        <v>38632</v>
      </c>
      <c r="B145" s="28">
        <v>-2.4781305388341123E-2</v>
      </c>
      <c r="C145" s="28">
        <v>-1.6225205857296087E-4</v>
      </c>
      <c r="D145" s="28">
        <v>-3.5085497150094944E-2</v>
      </c>
      <c r="E145" s="28">
        <v>-1.5093813858443248E-2</v>
      </c>
      <c r="F145" s="28">
        <v>-3.8384197168735784E-2</v>
      </c>
      <c r="G145" s="28">
        <v>-6.1560436266168354E-2</v>
      </c>
      <c r="H145" s="28">
        <v>-2.4132395262297473E-2</v>
      </c>
      <c r="I145" s="28">
        <v>-1.7683215711850959E-2</v>
      </c>
      <c r="J145" s="28">
        <v>-1.9039126331088618E-2</v>
      </c>
      <c r="K145" s="28">
        <v>-1.429606125405263E-2</v>
      </c>
      <c r="L145" s="28">
        <v>-2.0805008656557815E-2</v>
      </c>
      <c r="M145" s="28">
        <v>-4.0952332285784883E-2</v>
      </c>
      <c r="N145" s="28">
        <v>-3.8434486129489895E-2</v>
      </c>
    </row>
    <row r="146" spans="1:14">
      <c r="A146" s="4">
        <v>38639</v>
      </c>
      <c r="B146" s="28">
        <v>-8.467549435915581E-3</v>
      </c>
      <c r="C146" s="28">
        <v>-6.6939835287435825E-3</v>
      </c>
      <c r="D146" s="28">
        <v>-7.3510107639800761E-3</v>
      </c>
      <c r="E146" s="28">
        <v>-2.117814872447767E-2</v>
      </c>
      <c r="F146" s="28">
        <v>-3.4512752381576556E-2</v>
      </c>
      <c r="G146" s="28">
        <v>-3.168600554328925E-2</v>
      </c>
      <c r="H146" s="28">
        <v>-3.3060670613832187E-2</v>
      </c>
      <c r="I146" s="28">
        <v>-3.0923314939274485E-2</v>
      </c>
      <c r="J146" s="28">
        <v>-3.6816225820351864E-2</v>
      </c>
      <c r="K146" s="28">
        <v>-3.3433055161916719E-2</v>
      </c>
      <c r="L146" s="28">
        <v>-2.1390534180465562E-2</v>
      </c>
      <c r="M146" s="28">
        <v>-1.7924934618612224E-2</v>
      </c>
      <c r="N146" s="28">
        <v>-2.7293916363951929E-2</v>
      </c>
    </row>
    <row r="147" spans="1:14">
      <c r="A147" s="4">
        <v>38646</v>
      </c>
      <c r="B147" s="28">
        <v>-1.3329278799858069E-2</v>
      </c>
      <c r="C147" s="28">
        <v>2.9815389642214906E-3</v>
      </c>
      <c r="D147" s="28">
        <v>-8.7278497751918909E-3</v>
      </c>
      <c r="E147" s="28">
        <v>-2.2118111800943027E-2</v>
      </c>
      <c r="F147" s="28">
        <v>-1.0397512001875817E-2</v>
      </c>
      <c r="G147" s="28">
        <v>-2.997695573074589E-2</v>
      </c>
      <c r="H147" s="28">
        <v>-1.3304795057546984E-2</v>
      </c>
      <c r="I147" s="28">
        <v>-2.0178908451614588E-2</v>
      </c>
      <c r="J147" s="28">
        <v>-1.180962420023042E-2</v>
      </c>
      <c r="K147" s="28">
        <v>1.6748720919007622E-2</v>
      </c>
      <c r="L147" s="28">
        <v>-2.1381586483166373E-4</v>
      </c>
      <c r="M147" s="28">
        <v>-4.2445067365946332E-2</v>
      </c>
      <c r="N147" s="28">
        <v>-1.5097345696714816E-2</v>
      </c>
    </row>
    <row r="148" spans="1:14">
      <c r="A148" s="4">
        <v>38653</v>
      </c>
      <c r="B148" s="28">
        <v>1.2490582836792125E-2</v>
      </c>
      <c r="C148" s="28">
        <v>-6.1896811499775294E-3</v>
      </c>
      <c r="D148" s="28">
        <v>1.2006403415154826E-2</v>
      </c>
      <c r="E148" s="28">
        <v>7.2541412648561929E-3</v>
      </c>
      <c r="F148" s="28">
        <v>1.4441333640949587E-2</v>
      </c>
      <c r="G148" s="28">
        <v>1.2383343502745737E-2</v>
      </c>
      <c r="H148" s="28">
        <v>1.3142525685135568E-2</v>
      </c>
      <c r="I148" s="28">
        <v>1.1055846537461899E-2</v>
      </c>
      <c r="J148" s="28">
        <v>1.3513597320847136E-2</v>
      </c>
      <c r="K148" s="28">
        <v>6.9962022311891546E-3</v>
      </c>
      <c r="L148" s="28">
        <v>-4.3673592217882409E-3</v>
      </c>
      <c r="M148" s="28">
        <v>1.7753267356650693E-3</v>
      </c>
      <c r="N148" s="28">
        <v>1.6939940211975764E-2</v>
      </c>
    </row>
    <row r="149" spans="1:14">
      <c r="A149" s="4">
        <v>38660</v>
      </c>
      <c r="B149" s="28">
        <v>2.0698927004151636E-2</v>
      </c>
      <c r="C149" s="28">
        <v>-1.0038926449498123E-2</v>
      </c>
      <c r="D149" s="28">
        <v>7.5797521750593571E-3</v>
      </c>
      <c r="E149" s="28">
        <v>1.3205516971533885E-3</v>
      </c>
      <c r="F149" s="28">
        <v>1.8452384611129198E-2</v>
      </c>
      <c r="G149" s="28">
        <v>-2.0511604469869868E-2</v>
      </c>
      <c r="H149" s="28">
        <v>-1.9607074232383045E-4</v>
      </c>
      <c r="I149" s="28">
        <v>1.5169309062438832E-2</v>
      </c>
      <c r="J149" s="28">
        <v>3.7081456823966769E-3</v>
      </c>
      <c r="K149" s="28">
        <v>5.3824713168610254E-2</v>
      </c>
      <c r="L149" s="28">
        <v>6.1279285637571623E-2</v>
      </c>
      <c r="M149" s="28">
        <v>-1.1278797933712831E-2</v>
      </c>
      <c r="N149" s="28">
        <v>1.7688529179710191E-3</v>
      </c>
    </row>
    <row r="150" spans="1:14">
      <c r="A150" s="4">
        <v>38667</v>
      </c>
      <c r="B150" s="28">
        <v>7.6543925775587199E-3</v>
      </c>
      <c r="C150" s="28">
        <v>3.5596026490066789E-3</v>
      </c>
      <c r="D150" s="28">
        <v>2.1325309086151573E-2</v>
      </c>
      <c r="E150" s="28">
        <v>9.1889317637865627E-3</v>
      </c>
      <c r="F150" s="28">
        <v>3.7056931275687107E-3</v>
      </c>
      <c r="G150" s="28">
        <v>3.4594240177535644E-2</v>
      </c>
      <c r="H150" s="28">
        <v>6.0872293693128264E-3</v>
      </c>
      <c r="I150" s="28">
        <v>-2.2108679584819913E-3</v>
      </c>
      <c r="J150" s="28">
        <v>2.3014082789733586E-2</v>
      </c>
      <c r="K150" s="28">
        <v>-2.2814581201455702E-3</v>
      </c>
      <c r="L150" s="28">
        <v>4.9649419554437461E-2</v>
      </c>
      <c r="M150" s="28">
        <v>2.6857347157669E-2</v>
      </c>
      <c r="N150" s="28">
        <v>-1.5440606699610124E-2</v>
      </c>
    </row>
    <row r="151" spans="1:14">
      <c r="A151" s="4">
        <v>38674</v>
      </c>
      <c r="B151" s="28">
        <v>8.8376260903164274E-3</v>
      </c>
      <c r="C151" s="28">
        <v>9.4861008001315584E-4</v>
      </c>
      <c r="D151" s="28">
        <v>9.1590341382181955E-3</v>
      </c>
      <c r="E151" s="28">
        <v>2.0267531414673141E-3</v>
      </c>
      <c r="F151" s="28">
        <v>1.0582965034123995E-3</v>
      </c>
      <c r="G151" s="28">
        <v>-7.2734718152967512E-3</v>
      </c>
      <c r="H151" s="28">
        <v>1.3496444610778402E-2</v>
      </c>
      <c r="I151" s="28">
        <v>-5.4685638095728914E-3</v>
      </c>
      <c r="J151" s="28">
        <v>-3.5517416048389716E-3</v>
      </c>
      <c r="K151" s="28">
        <v>-1.699873896595204E-2</v>
      </c>
      <c r="L151" s="28">
        <v>-1.8081324641589493E-2</v>
      </c>
      <c r="M151" s="28">
        <v>1.9219252677464137E-3</v>
      </c>
      <c r="N151" s="28">
        <v>1.7418118714156064E-3</v>
      </c>
    </row>
    <row r="152" spans="1:14">
      <c r="A152" s="4">
        <v>38681</v>
      </c>
      <c r="B152" s="28">
        <v>1.325032188666329E-2</v>
      </c>
      <c r="C152" s="28">
        <v>4.9033746755119609E-3</v>
      </c>
      <c r="D152" s="28">
        <v>1.0218329525260124E-2</v>
      </c>
      <c r="E152" s="28">
        <v>1.1302709752209841E-2</v>
      </c>
      <c r="F152" s="28">
        <v>2.1425868417417046E-2</v>
      </c>
      <c r="G152" s="28">
        <v>5.7258749637837478E-3</v>
      </c>
      <c r="H152" s="28">
        <v>1.7324809404017486E-2</v>
      </c>
      <c r="I152" s="28">
        <v>2.9662828201706759E-3</v>
      </c>
      <c r="J152" s="28">
        <v>2.1811026918407521E-2</v>
      </c>
      <c r="K152" s="28">
        <v>7.0698777595328537E-3</v>
      </c>
      <c r="L152" s="28">
        <v>6.0427113651506017E-3</v>
      </c>
      <c r="M152" s="28">
        <v>6.3524276837964612E-3</v>
      </c>
      <c r="N152" s="28">
        <v>2.4529723533465234E-2</v>
      </c>
    </row>
    <row r="153" spans="1:14">
      <c r="A153" s="4">
        <v>38688</v>
      </c>
      <c r="B153" s="28">
        <v>5.0747949171625747E-3</v>
      </c>
      <c r="C153" s="28">
        <v>-4.059373462358574E-3</v>
      </c>
      <c r="D153" s="28">
        <v>8.7956273167063388E-4</v>
      </c>
      <c r="E153" s="28">
        <v>4.9314610498161094E-3</v>
      </c>
      <c r="F153" s="28">
        <v>1.1143912307113313E-2</v>
      </c>
      <c r="G153" s="28">
        <v>-4.7264932642589663E-3</v>
      </c>
      <c r="H153" s="28">
        <v>-7.1688382398536112E-3</v>
      </c>
      <c r="I153" s="28">
        <v>1.6337336949502894E-2</v>
      </c>
      <c r="J153" s="28">
        <v>1.1664793744439799E-2</v>
      </c>
      <c r="K153" s="28">
        <v>7.5575207210471493E-2</v>
      </c>
      <c r="L153" s="28">
        <v>5.3437306983922996E-2</v>
      </c>
      <c r="M153" s="28">
        <v>2.3020893763179461E-4</v>
      </c>
      <c r="N153" s="28">
        <v>-7.3291847381985551E-3</v>
      </c>
    </row>
    <row r="154" spans="1:14">
      <c r="A154" s="4">
        <v>38695</v>
      </c>
      <c r="B154" s="28">
        <v>2.3045346520391783E-3</v>
      </c>
      <c r="C154" s="28">
        <v>1.9350323191569324E-3</v>
      </c>
      <c r="D154" s="28">
        <v>1.5692674659468959E-3</v>
      </c>
      <c r="E154" s="28">
        <v>1.4911895058281097E-2</v>
      </c>
      <c r="F154" s="28">
        <v>-8.2003919903689809E-3</v>
      </c>
      <c r="G154" s="28">
        <v>8.1045944023352134E-3</v>
      </c>
      <c r="H154" s="28">
        <v>9.2085519951862031E-3</v>
      </c>
      <c r="I154" s="28">
        <v>9.9116843509749379E-4</v>
      </c>
      <c r="J154" s="28">
        <v>2.2678754288425182E-2</v>
      </c>
      <c r="K154" s="28">
        <v>-1.405403698264482E-3</v>
      </c>
      <c r="L154" s="28">
        <v>-1.2523161628461114E-2</v>
      </c>
      <c r="M154" s="28">
        <v>1.4748393511443338E-2</v>
      </c>
      <c r="N154" s="28">
        <v>-6.5094602467009278E-3</v>
      </c>
    </row>
    <row r="155" spans="1:14">
      <c r="A155" s="4">
        <v>38702</v>
      </c>
      <c r="B155" s="28">
        <v>1.2166790410269929E-2</v>
      </c>
      <c r="C155" s="28">
        <v>1.1300131492439185E-2</v>
      </c>
      <c r="D155" s="28">
        <v>1.8362998245174272E-2</v>
      </c>
      <c r="E155" s="28">
        <v>2.3467500234148255E-2</v>
      </c>
      <c r="F155" s="28">
        <v>8.4968891651469279E-3</v>
      </c>
      <c r="G155" s="28">
        <v>-1.2555538793208308E-2</v>
      </c>
      <c r="H155" s="28">
        <v>2.461886792452822E-2</v>
      </c>
      <c r="I155" s="28">
        <v>1.5735086895255965E-2</v>
      </c>
      <c r="J155" s="28">
        <v>2.1276355016999531E-2</v>
      </c>
      <c r="K155" s="28">
        <v>1.0373509598658947E-2</v>
      </c>
      <c r="L155" s="28">
        <v>-1.5589104916512241E-2</v>
      </c>
      <c r="M155" s="28">
        <v>3.6697996806503781E-3</v>
      </c>
      <c r="N155" s="28">
        <v>2.1606669386090061E-2</v>
      </c>
    </row>
    <row r="156" spans="1:14">
      <c r="A156" s="4">
        <v>38709</v>
      </c>
      <c r="B156" s="28">
        <v>2.4845602328388595E-3</v>
      </c>
      <c r="C156" s="28">
        <v>5.2821908902521409E-4</v>
      </c>
      <c r="D156" s="28">
        <v>1.5139393193427161E-2</v>
      </c>
      <c r="E156" s="28">
        <v>-1.1284538523572855E-2</v>
      </c>
      <c r="F156" s="28">
        <v>-9.0823458268887974E-3</v>
      </c>
      <c r="G156" s="28">
        <v>-1.145352304257616E-2</v>
      </c>
      <c r="H156" s="28">
        <v>-4.8319853861904993E-3</v>
      </c>
      <c r="I156" s="28">
        <v>-2.0521793469770296E-2</v>
      </c>
      <c r="J156" s="28">
        <v>-1.8373677505123719E-2</v>
      </c>
      <c r="K156" s="28">
        <v>-1.7962041297565675E-2</v>
      </c>
      <c r="L156" s="28">
        <v>1.842152200166889E-3</v>
      </c>
      <c r="M156" s="28">
        <v>-7.4347930234976841E-3</v>
      </c>
      <c r="N156" s="28">
        <v>-1.4623859850517094E-2</v>
      </c>
    </row>
    <row r="157" spans="1:14">
      <c r="A157" s="4">
        <v>38716</v>
      </c>
      <c r="B157" s="28">
        <v>-1.0385686635509643E-2</v>
      </c>
      <c r="C157" s="28">
        <v>-1.2183235867446855E-3</v>
      </c>
      <c r="D157" s="28">
        <v>-1.2124886329189974E-3</v>
      </c>
      <c r="E157" s="28">
        <v>-7.2598745863895883E-3</v>
      </c>
      <c r="F157" s="28">
        <v>-8.4321089074053026E-3</v>
      </c>
      <c r="G157" s="28">
        <v>7.9817332475832902E-3</v>
      </c>
      <c r="H157" s="28">
        <v>-5.0922978994270294E-3</v>
      </c>
      <c r="I157" s="28">
        <v>-6.5585902858856151E-3</v>
      </c>
      <c r="J157" s="28">
        <v>-4.2265522281096811E-3</v>
      </c>
      <c r="K157" s="28">
        <v>3.1343132932069675E-3</v>
      </c>
      <c r="L157" s="28">
        <v>-3.5552173085808833E-3</v>
      </c>
      <c r="M157" s="28">
        <v>-6.8438883121139764E-3</v>
      </c>
      <c r="N157" s="28">
        <v>-1.0092312367831263E-2</v>
      </c>
    </row>
    <row r="158" spans="1:14">
      <c r="A158" s="4">
        <v>38723</v>
      </c>
      <c r="B158" s="28">
        <v>4.0046749034012404E-2</v>
      </c>
      <c r="C158" s="28">
        <v>9.8397983247947296E-3</v>
      </c>
      <c r="D158" s="28">
        <v>3.3262518968133474E-2</v>
      </c>
      <c r="E158" s="28">
        <v>3.1483628862615284E-2</v>
      </c>
      <c r="F158" s="28">
        <v>2.1605723652675116E-2</v>
      </c>
      <c r="G158" s="28">
        <v>3.8034661496458608E-2</v>
      </c>
      <c r="H158" s="28">
        <v>1.6865300778169473E-2</v>
      </c>
      <c r="I158" s="28">
        <v>5.627661145825967E-2</v>
      </c>
      <c r="J158" s="28">
        <v>1.0070042614924279E-2</v>
      </c>
      <c r="K158" s="28">
        <v>1.5521980204311808E-2</v>
      </c>
      <c r="L158" s="28">
        <v>4.7869351503810734E-2</v>
      </c>
      <c r="M158" s="28">
        <v>4.2602551935041685E-2</v>
      </c>
      <c r="N158" s="28">
        <v>2.1138741781154831E-2</v>
      </c>
    </row>
    <row r="159" spans="1:14">
      <c r="A159" s="4">
        <v>38730</v>
      </c>
      <c r="B159" s="28">
        <v>-1.0549248939342652E-3</v>
      </c>
      <c r="C159" s="28">
        <v>1.5300370430020754E-3</v>
      </c>
      <c r="D159" s="28">
        <v>2.4085061387534314E-3</v>
      </c>
      <c r="E159" s="28">
        <v>-3.0053780449225851E-3</v>
      </c>
      <c r="F159" s="28">
        <v>2.2764924638252393E-3</v>
      </c>
      <c r="G159" s="28">
        <v>1.973088615073821E-2</v>
      </c>
      <c r="H159" s="28">
        <v>-1.5634488056480149E-2</v>
      </c>
      <c r="I159" s="28">
        <v>7.9160485420365165E-3</v>
      </c>
      <c r="J159" s="28">
        <v>1.2090372024393913E-2</v>
      </c>
      <c r="K159" s="28">
        <v>3.6394451397580407E-2</v>
      </c>
      <c r="L159" s="28">
        <v>1.9803410638004278E-2</v>
      </c>
      <c r="M159" s="28">
        <v>2.6385108244906573E-3</v>
      </c>
      <c r="N159" s="28">
        <v>-4.898122803830768E-3</v>
      </c>
    </row>
    <row r="160" spans="1:14">
      <c r="A160" s="4">
        <v>38737</v>
      </c>
      <c r="B160" s="28">
        <v>-1.91847073318181E-2</v>
      </c>
      <c r="C160" s="28">
        <v>-1.0854707726944209E-3</v>
      </c>
      <c r="D160" s="28">
        <v>-6.0947022972338968E-3</v>
      </c>
      <c r="E160" s="28">
        <v>9.5986038394415673E-3</v>
      </c>
      <c r="F160" s="28">
        <v>2.9359579718771793E-3</v>
      </c>
      <c r="G160" s="28">
        <v>-1.8919234633086576E-2</v>
      </c>
      <c r="H160" s="28">
        <v>1.7718583702470432E-2</v>
      </c>
      <c r="I160" s="28">
        <v>-2.0388712615666708E-2</v>
      </c>
      <c r="J160" s="28">
        <v>1.22286525200115E-2</v>
      </c>
      <c r="K160" s="28">
        <v>-8.5086470194577213E-3</v>
      </c>
      <c r="L160" s="28">
        <v>1.7919202774158013E-3</v>
      </c>
      <c r="M160" s="28">
        <v>6.1841834027037354E-4</v>
      </c>
      <c r="N160" s="28">
        <v>9.9451756456491575E-4</v>
      </c>
    </row>
    <row r="161" spans="1:14">
      <c r="A161" s="4">
        <v>38744</v>
      </c>
      <c r="B161" s="28">
        <v>2.3390809081688398E-2</v>
      </c>
      <c r="C161" s="28">
        <v>-6.2784239546021742E-3</v>
      </c>
      <c r="D161" s="28">
        <v>2.7417452830188715E-2</v>
      </c>
      <c r="E161" s="28">
        <v>1.0416549742392409E-2</v>
      </c>
      <c r="F161" s="28">
        <v>1.2464344368571245E-2</v>
      </c>
      <c r="G161" s="28">
        <v>1.438328110265463E-3</v>
      </c>
      <c r="H161" s="28">
        <v>2.2858060935355574E-3</v>
      </c>
      <c r="I161" s="28">
        <v>4.9754307319055209E-3</v>
      </c>
      <c r="J161" s="28">
        <v>1.5301037228507933E-2</v>
      </c>
      <c r="K161" s="28">
        <v>9.5560472575209731E-3</v>
      </c>
      <c r="L161" s="28">
        <v>2.272840196656729E-2</v>
      </c>
      <c r="M161" s="28">
        <v>1.0055141096334763E-2</v>
      </c>
      <c r="N161" s="28">
        <v>1.1595369398034355E-2</v>
      </c>
    </row>
    <row r="162" spans="1:14">
      <c r="A162" s="4">
        <v>38751</v>
      </c>
      <c r="B162" s="28">
        <v>-1.1855025616003868E-2</v>
      </c>
      <c r="C162" s="28">
        <v>-3.6450528532663952E-3</v>
      </c>
      <c r="D162" s="28">
        <v>-4.8206599713056146E-3</v>
      </c>
      <c r="E162" s="28">
        <v>8.5928213559661112E-3</v>
      </c>
      <c r="F162" s="28">
        <v>-5.7712666051976114E-3</v>
      </c>
      <c r="G162" s="28">
        <v>-2.5966861338862744E-2</v>
      </c>
      <c r="H162" s="28">
        <v>4.2915953222338685E-3</v>
      </c>
      <c r="I162" s="28">
        <v>1.5440608801147044E-2</v>
      </c>
      <c r="J162" s="28">
        <v>3.8404280567001935E-3</v>
      </c>
      <c r="K162" s="28">
        <v>-1.0028602882406486E-2</v>
      </c>
      <c r="L162" s="28">
        <v>2.1231724012501806E-2</v>
      </c>
      <c r="M162" s="28">
        <v>-1.5765765765765733E-2</v>
      </c>
      <c r="N162" s="28">
        <v>-1.203433764522333E-2</v>
      </c>
    </row>
    <row r="163" spans="1:14">
      <c r="A163" s="4">
        <v>38758</v>
      </c>
      <c r="B163" s="28">
        <v>-3.7959155331641673E-3</v>
      </c>
      <c r="C163" s="28">
        <v>-1.3820576399333499E-3</v>
      </c>
      <c r="D163" s="28">
        <v>-6.6893489418141782E-3</v>
      </c>
      <c r="E163" s="28">
        <v>1.7165892907297611E-2</v>
      </c>
      <c r="F163" s="28">
        <v>-6.6978086144114251E-4</v>
      </c>
      <c r="G163" s="28">
        <v>-1.2143080348423837E-2</v>
      </c>
      <c r="H163" s="28">
        <v>-6.246644514415819E-3</v>
      </c>
      <c r="I163" s="28">
        <v>0.10289272654864051</v>
      </c>
      <c r="J163" s="28">
        <v>2.4931760053302924E-3</v>
      </c>
      <c r="K163" s="28">
        <v>4.0607100784011065E-2</v>
      </c>
      <c r="L163" s="28">
        <v>7.0724135617618077E-3</v>
      </c>
      <c r="M163" s="28">
        <v>-5.3394355453852578E-3</v>
      </c>
      <c r="N163" s="28">
        <v>-9.4880361401057829E-3</v>
      </c>
    </row>
    <row r="164" spans="1:14">
      <c r="A164" s="4">
        <v>38765</v>
      </c>
      <c r="B164" s="28">
        <v>8.2635667319801362E-3</v>
      </c>
      <c r="C164" s="28">
        <v>2.6865307119307404E-3</v>
      </c>
      <c r="D164" s="28">
        <v>2.0899854862119803E-3</v>
      </c>
      <c r="E164" s="28">
        <v>1.0362862618977939E-2</v>
      </c>
      <c r="F164" s="28">
        <v>9.0509661047047576E-3</v>
      </c>
      <c r="G164" s="28">
        <v>-4.7548203102990389E-3</v>
      </c>
      <c r="H164" s="28">
        <v>-2.1172055806619487E-3</v>
      </c>
      <c r="I164" s="28">
        <v>3.3165917123505084E-2</v>
      </c>
      <c r="J164" s="28">
        <v>-3.108719421992192E-4</v>
      </c>
      <c r="K164" s="28">
        <v>4.4795128163840339E-3</v>
      </c>
      <c r="L164" s="28">
        <v>3.3078852668897143E-3</v>
      </c>
      <c r="M164" s="28">
        <v>7.6066527181814312E-3</v>
      </c>
      <c r="N164" s="28">
        <v>1.87004935558252E-2</v>
      </c>
    </row>
    <row r="165" spans="1:14">
      <c r="A165" s="4">
        <v>38772</v>
      </c>
      <c r="B165" s="28">
        <v>8.6336682336311948E-3</v>
      </c>
      <c r="C165" s="28">
        <v>4.0595948524334963E-4</v>
      </c>
      <c r="D165" s="28">
        <v>2.7982156306123537E-2</v>
      </c>
      <c r="E165" s="28">
        <v>1.6065419158467847E-2</v>
      </c>
      <c r="F165" s="28">
        <v>1.4516284694033923E-2</v>
      </c>
      <c r="G165" s="28">
        <v>3.149101852909484E-2</v>
      </c>
      <c r="H165" s="28">
        <v>3.2893629785708568E-2</v>
      </c>
      <c r="I165" s="28">
        <v>1.4287227282355442E-2</v>
      </c>
      <c r="J165" s="28">
        <v>1.3875634000664765E-2</v>
      </c>
      <c r="K165" s="28">
        <v>-7.8503383515262527E-3</v>
      </c>
      <c r="L165" s="28">
        <v>2.0070406381966693E-2</v>
      </c>
      <c r="M165" s="28">
        <v>7.8527812483502168E-3</v>
      </c>
      <c r="N165" s="28">
        <v>1.487781609123724E-2</v>
      </c>
    </row>
    <row r="166" spans="1:14">
      <c r="A166" s="4">
        <v>38779</v>
      </c>
      <c r="B166" s="28">
        <v>-1.0813939320091428E-3</v>
      </c>
      <c r="C166" s="28">
        <v>-2.1912916446862008E-3</v>
      </c>
      <c r="D166" s="28">
        <v>1.6907123534716601E-4</v>
      </c>
      <c r="E166" s="28">
        <v>-5.094668002742395E-3</v>
      </c>
      <c r="F166" s="28">
        <v>-1.8393544632464797E-2</v>
      </c>
      <c r="G166" s="28">
        <v>-1.3095811266249311E-2</v>
      </c>
      <c r="H166" s="28">
        <v>-2.1355867374042787E-2</v>
      </c>
      <c r="I166" s="28">
        <v>1.3522120936837526E-2</v>
      </c>
      <c r="J166" s="28">
        <v>-5.9703228945225135E-3</v>
      </c>
      <c r="K166" s="28">
        <v>-4.8963204152079713E-3</v>
      </c>
      <c r="L166" s="28">
        <v>-2.6355124923221188E-2</v>
      </c>
      <c r="M166" s="28">
        <v>-5.2424124700448131E-3</v>
      </c>
      <c r="N166" s="28">
        <v>-1.2171369939603922E-2</v>
      </c>
    </row>
    <row r="167" spans="1:14">
      <c r="A167" s="4">
        <v>38786</v>
      </c>
      <c r="B167" s="28">
        <v>-5.9922238316689235E-3</v>
      </c>
      <c r="C167" s="28">
        <v>-6.5883118467606498E-3</v>
      </c>
      <c r="D167" s="28">
        <v>5.8037978249845107E-3</v>
      </c>
      <c r="E167" s="28">
        <v>-1.8495154894934425E-2</v>
      </c>
      <c r="F167" s="28">
        <v>-1.6537735795276391E-2</v>
      </c>
      <c r="G167" s="28">
        <v>8.2690994243339918E-3</v>
      </c>
      <c r="H167" s="28">
        <v>-9.9157522943748334E-3</v>
      </c>
      <c r="I167" s="28">
        <v>-2.569953844885842E-2</v>
      </c>
      <c r="J167" s="28">
        <v>-2.6695323264511427E-2</v>
      </c>
      <c r="K167" s="28">
        <v>-1.4825202351957037E-2</v>
      </c>
      <c r="L167" s="28">
        <v>-1.2652396406908951E-2</v>
      </c>
      <c r="M167" s="28">
        <v>-5.1998314991311273E-3</v>
      </c>
      <c r="N167" s="28">
        <v>-1.9729067409720254E-2</v>
      </c>
    </row>
    <row r="168" spans="1:14">
      <c r="A168" s="4">
        <v>38793</v>
      </c>
      <c r="B168" s="28">
        <v>2.6644373542765991E-2</v>
      </c>
      <c r="C168" s="28">
        <v>9.6205019036312046E-3</v>
      </c>
      <c r="D168" s="28">
        <v>3.1260504201680743E-2</v>
      </c>
      <c r="E168" s="28">
        <v>3.277794280467719E-2</v>
      </c>
      <c r="F168" s="28">
        <v>1.2532170929073182E-2</v>
      </c>
      <c r="G168" s="28">
        <v>1.088665779605661E-3</v>
      </c>
      <c r="H168" s="28">
        <v>1.3692120999459054E-2</v>
      </c>
      <c r="I168" s="28">
        <v>3.1680404358699073E-2</v>
      </c>
      <c r="J168" s="28">
        <v>3.7746986964007516E-2</v>
      </c>
      <c r="K168" s="28">
        <v>3.4961193075685876E-2</v>
      </c>
      <c r="L168" s="28">
        <v>1.4671031330290768E-2</v>
      </c>
      <c r="M168" s="28">
        <v>1.7670385122647268E-2</v>
      </c>
      <c r="N168" s="28">
        <v>2.3482608530132097E-2</v>
      </c>
    </row>
    <row r="169" spans="1:14">
      <c r="A169" s="4">
        <v>38800</v>
      </c>
      <c r="B169" s="28">
        <v>-2.2860045720091032E-3</v>
      </c>
      <c r="C169" s="28">
        <v>-2.3517962857838477E-3</v>
      </c>
      <c r="D169" s="28">
        <v>-1.0158626684050437E-2</v>
      </c>
      <c r="E169" s="28">
        <v>-1.2629167886876172E-2</v>
      </c>
      <c r="F169" s="28">
        <v>-8.2666391875336649E-3</v>
      </c>
      <c r="G169" s="28">
        <v>-2.2730787820202984E-2</v>
      </c>
      <c r="H169" s="28">
        <v>-1.9528799209617396E-2</v>
      </c>
      <c r="I169" s="28">
        <v>-8.4251092855569098E-3</v>
      </c>
      <c r="J169" s="28">
        <v>-9.0013220197933848E-3</v>
      </c>
      <c r="K169" s="28">
        <v>6.8062271380452094E-2</v>
      </c>
      <c r="L169" s="28">
        <v>-7.5054780526038253E-3</v>
      </c>
      <c r="M169" s="28">
        <v>-1.4667573998864453E-2</v>
      </c>
      <c r="N169" s="28">
        <v>-1.3223232717736941E-2</v>
      </c>
    </row>
    <row r="170" spans="1:14">
      <c r="A170" s="4">
        <v>38807</v>
      </c>
      <c r="B170" s="28">
        <v>-3.3694740625377789E-4</v>
      </c>
      <c r="C170" s="28">
        <v>-6.3404324500081384E-3</v>
      </c>
      <c r="D170" s="28">
        <v>1.2952088249821553E-2</v>
      </c>
      <c r="E170" s="28">
        <v>-1.0158414058651779E-2</v>
      </c>
      <c r="F170" s="28">
        <v>-9.4034658323423597E-3</v>
      </c>
      <c r="G170" s="28">
        <v>1.2705430842198476E-2</v>
      </c>
      <c r="H170" s="28">
        <v>-1.8770364595208838E-2</v>
      </c>
      <c r="I170" s="28">
        <v>-3.3490622108977817E-3</v>
      </c>
      <c r="J170" s="28">
        <v>-1.7358306050427357E-2</v>
      </c>
      <c r="K170" s="28">
        <v>2.5161978258315603E-2</v>
      </c>
      <c r="L170" s="28">
        <v>-1.9388468628822004E-2</v>
      </c>
      <c r="M170" s="28">
        <v>4.6760422119483695E-3</v>
      </c>
      <c r="N170" s="28">
        <v>-2.6134921532411587E-3</v>
      </c>
    </row>
    <row r="171" spans="1:14">
      <c r="A171" s="4">
        <v>38814</v>
      </c>
      <c r="B171" s="28">
        <v>8.4040537200296816E-3</v>
      </c>
      <c r="C171" s="28">
        <v>-4.0085078534030996E-3</v>
      </c>
      <c r="D171" s="28">
        <v>-5.2012786476674407E-3</v>
      </c>
      <c r="E171" s="28">
        <v>1.2012349444328415E-2</v>
      </c>
      <c r="F171" s="28">
        <v>1.952157571166421E-3</v>
      </c>
      <c r="G171" s="28">
        <v>2.5204379633337517E-2</v>
      </c>
      <c r="H171" s="28">
        <v>-8.8076337823352596E-3</v>
      </c>
      <c r="I171" s="28">
        <v>1.4224301100918296E-2</v>
      </c>
      <c r="J171" s="28">
        <v>1.2261609856884823E-2</v>
      </c>
      <c r="K171" s="28">
        <v>9.1980872209613904E-3</v>
      </c>
      <c r="L171" s="28">
        <v>4.1752685276605937E-2</v>
      </c>
      <c r="M171" s="28">
        <v>1.9619776524571763E-2</v>
      </c>
      <c r="N171" s="28">
        <v>1.5558271079252871E-3</v>
      </c>
    </row>
    <row r="172" spans="1:14">
      <c r="A172" s="4">
        <v>38821</v>
      </c>
      <c r="B172" s="28">
        <v>-8.4008645982663072E-3</v>
      </c>
      <c r="C172" s="28">
        <v>-3.1622176591376192E-3</v>
      </c>
      <c r="D172" s="28">
        <v>-2.4454005773106087E-2</v>
      </c>
      <c r="E172" s="28">
        <v>-1.0664283901531093E-2</v>
      </c>
      <c r="F172" s="28">
        <v>-7.1943701291148762E-3</v>
      </c>
      <c r="G172" s="28">
        <v>-2.9867525377869471E-2</v>
      </c>
      <c r="H172" s="28">
        <v>-1.3960312178595224E-2</v>
      </c>
      <c r="I172" s="28">
        <v>-9.9600167704594587E-3</v>
      </c>
      <c r="J172" s="28">
        <v>-1.9759234423172494E-2</v>
      </c>
      <c r="K172" s="28">
        <v>-2.3276938798682943E-2</v>
      </c>
      <c r="L172" s="28">
        <v>2.6626170953181019E-3</v>
      </c>
      <c r="M172" s="28">
        <v>-1.3217504820223984E-2</v>
      </c>
      <c r="N172" s="28">
        <v>-9.704097355429115E-3</v>
      </c>
    </row>
    <row r="173" spans="1:14">
      <c r="A173" s="4">
        <v>38828</v>
      </c>
      <c r="B173" s="28">
        <v>2.6240093484546565E-2</v>
      </c>
      <c r="C173" s="28">
        <v>7.5392411321221625E-3</v>
      </c>
      <c r="D173" s="28">
        <v>2.6295221080839704E-2</v>
      </c>
      <c r="E173" s="28">
        <v>4.513170762990399E-2</v>
      </c>
      <c r="F173" s="28">
        <v>2.3731275958829071E-2</v>
      </c>
      <c r="G173" s="28">
        <v>2.0505064888513527E-2</v>
      </c>
      <c r="H173" s="28">
        <v>3.9360053993527044E-2</v>
      </c>
      <c r="I173" s="28">
        <v>4.4036687771775614E-2</v>
      </c>
      <c r="J173" s="28">
        <v>4.53517211305225E-2</v>
      </c>
      <c r="K173" s="28">
        <v>4.7412945111154813E-2</v>
      </c>
      <c r="L173" s="28">
        <v>2.471985477443359E-2</v>
      </c>
      <c r="M173" s="28">
        <v>2.7333057725364089E-2</v>
      </c>
      <c r="N173" s="28">
        <v>2.9708755128221541E-2</v>
      </c>
    </row>
    <row r="174" spans="1:14">
      <c r="A174" s="4">
        <v>38835</v>
      </c>
      <c r="B174" s="28">
        <v>2.4598360595908921E-3</v>
      </c>
      <c r="C174" s="28">
        <v>3.1485116126922239E-3</v>
      </c>
      <c r="D174" s="28">
        <v>3.807865963118036E-3</v>
      </c>
      <c r="E174" s="28">
        <v>1.5555010124562722E-2</v>
      </c>
      <c r="F174" s="28">
        <v>1.2308731130617893E-2</v>
      </c>
      <c r="G174" s="28">
        <v>8.5116415583665998E-3</v>
      </c>
      <c r="H174" s="28">
        <v>1.5090246314142804E-2</v>
      </c>
      <c r="I174" s="28">
        <v>1.1485894905545593E-2</v>
      </c>
      <c r="J174" s="28">
        <v>-1.2806674488332653E-2</v>
      </c>
      <c r="K174" s="28">
        <v>8.5077863533910923E-3</v>
      </c>
      <c r="L174" s="28">
        <v>4.5847741797221377E-2</v>
      </c>
      <c r="M174" s="28">
        <v>2.4187126179704799E-2</v>
      </c>
      <c r="N174" s="28">
        <v>4.1630689527568767E-3</v>
      </c>
    </row>
    <row r="175" spans="1:14">
      <c r="A175" s="4">
        <v>38842</v>
      </c>
      <c r="B175" s="28">
        <v>1.9091584266553902E-2</v>
      </c>
      <c r="C175" s="28">
        <v>4.8506093832796542E-3</v>
      </c>
      <c r="D175" s="28">
        <v>2.0755432720966849E-2</v>
      </c>
      <c r="E175" s="28">
        <v>2.0558291290293424E-2</v>
      </c>
      <c r="F175" s="28">
        <v>1.5680732596591397E-2</v>
      </c>
      <c r="G175" s="28">
        <v>3.3062661615823495E-3</v>
      </c>
      <c r="H175" s="28">
        <v>1.0104461228673308E-2</v>
      </c>
      <c r="I175" s="28">
        <v>1.7448883281250906E-2</v>
      </c>
      <c r="J175" s="28">
        <v>2.6199166486195209E-2</v>
      </c>
      <c r="K175" s="28">
        <v>1.8768333410935135E-2</v>
      </c>
      <c r="L175" s="28">
        <v>2.8114194076474492E-2</v>
      </c>
      <c r="M175" s="28">
        <v>1.5232478307263417E-2</v>
      </c>
      <c r="N175" s="28">
        <v>1.5735650892116752E-2</v>
      </c>
    </row>
    <row r="176" spans="1:14">
      <c r="A176" s="4">
        <v>38849</v>
      </c>
      <c r="B176" s="28">
        <v>-1.8919691340382981E-2</v>
      </c>
      <c r="C176" s="28">
        <v>-4.86775920817802E-4</v>
      </c>
      <c r="D176" s="28">
        <v>-1.0936504565725218E-2</v>
      </c>
      <c r="E176" s="28">
        <v>-7.4597042760091159E-3</v>
      </c>
      <c r="F176" s="28">
        <v>-3.0409786341197287E-2</v>
      </c>
      <c r="G176" s="28">
        <v>-2.2206899831187705E-3</v>
      </c>
      <c r="H176" s="28">
        <v>-1.4889926809784643E-2</v>
      </c>
      <c r="I176" s="28">
        <v>-6.6329890267295471E-4</v>
      </c>
      <c r="J176" s="28">
        <v>-2.1942670077568796E-2</v>
      </c>
      <c r="K176" s="28">
        <v>6.9344324277161471E-3</v>
      </c>
      <c r="L176" s="28">
        <v>-4.2121340135833227E-2</v>
      </c>
      <c r="M176" s="28">
        <v>-4.4201100749992495E-3</v>
      </c>
      <c r="N176" s="28">
        <v>-1.7336147106308659E-2</v>
      </c>
    </row>
    <row r="177" spans="1:14">
      <c r="A177" s="4">
        <v>38856</v>
      </c>
      <c r="B177" s="28">
        <v>-3.7243649498951203E-2</v>
      </c>
      <c r="C177" s="28">
        <v>4.7077922077921937E-3</v>
      </c>
      <c r="D177" s="28">
        <v>-4.8362855609232522E-2</v>
      </c>
      <c r="E177" s="28">
        <v>-2.7503143997574239E-2</v>
      </c>
      <c r="F177" s="28">
        <v>-2.5158568435553856E-2</v>
      </c>
      <c r="G177" s="28">
        <v>-3.815029452694596E-2</v>
      </c>
      <c r="H177" s="28">
        <v>5.8078372928903645E-3</v>
      </c>
      <c r="I177" s="28">
        <v>-3.3764122493542992E-2</v>
      </c>
      <c r="J177" s="28">
        <v>-2.532418322667571E-2</v>
      </c>
      <c r="K177" s="28">
        <v>-6.0948537664223958E-2</v>
      </c>
      <c r="L177" s="28">
        <v>-6.6396849952052847E-2</v>
      </c>
      <c r="M177" s="28">
        <v>-4.215906114966618E-2</v>
      </c>
      <c r="N177" s="28">
        <v>-2.4970771029475067E-2</v>
      </c>
    </row>
    <row r="178" spans="1:14">
      <c r="A178" s="4">
        <v>38863</v>
      </c>
      <c r="B178" s="28">
        <v>7.9048094524879695E-3</v>
      </c>
      <c r="C178" s="28">
        <v>-2.4236548715463835E-4</v>
      </c>
      <c r="D178" s="28">
        <v>6.2609284223589245E-3</v>
      </c>
      <c r="E178" s="28">
        <v>1.8983459753429632E-2</v>
      </c>
      <c r="F178" s="28">
        <v>1.9348532667577446E-2</v>
      </c>
      <c r="G178" s="28">
        <v>-1.5211348557894473E-3</v>
      </c>
      <c r="H178" s="28">
        <v>3.4776545442660178E-2</v>
      </c>
      <c r="I178" s="28">
        <v>-1.8726386683458416E-2</v>
      </c>
      <c r="J178" s="28">
        <v>2.1711194142675125E-2</v>
      </c>
      <c r="K178" s="28">
        <v>8.8276262078117285E-2</v>
      </c>
      <c r="L178" s="28">
        <v>2.3350601812766481E-2</v>
      </c>
      <c r="M178" s="28">
        <v>3.8960872518486725E-3</v>
      </c>
      <c r="N178" s="28">
        <v>1.3209047534900199E-2</v>
      </c>
    </row>
    <row r="179" spans="1:14">
      <c r="A179" s="4">
        <v>38870</v>
      </c>
      <c r="B179" s="28">
        <v>7.7527524898117926E-3</v>
      </c>
      <c r="C179" s="28">
        <v>5.4949494949495499E-3</v>
      </c>
      <c r="D179" s="28">
        <v>1.2780269058295971E-2</v>
      </c>
      <c r="E179" s="28">
        <v>2.7227399953851851E-2</v>
      </c>
      <c r="F179" s="28">
        <v>3.153918136762203E-2</v>
      </c>
      <c r="G179" s="28">
        <v>1.2286865559062303E-2</v>
      </c>
      <c r="H179" s="28">
        <v>2.2405188569984517E-2</v>
      </c>
      <c r="I179" s="28">
        <v>7.430591839943998E-2</v>
      </c>
      <c r="J179" s="28">
        <v>1.7492403223675471E-2</v>
      </c>
      <c r="K179" s="28">
        <v>1.9001013441218368E-2</v>
      </c>
      <c r="L179" s="28">
        <v>9.8808451507751589E-3</v>
      </c>
      <c r="M179" s="28">
        <v>4.4214082972685691E-3</v>
      </c>
      <c r="N179" s="28">
        <v>3.8275872808246937E-2</v>
      </c>
    </row>
    <row r="180" spans="1:14">
      <c r="A180" s="4">
        <v>38877</v>
      </c>
      <c r="B180" s="28">
        <v>-4.3872322678661924E-2</v>
      </c>
      <c r="C180" s="28">
        <v>-4.2594229687374519E-3</v>
      </c>
      <c r="D180" s="28">
        <v>-1.9758689395616522E-2</v>
      </c>
      <c r="E180" s="28">
        <v>-2.9552801461037368E-2</v>
      </c>
      <c r="F180" s="28">
        <v>-2.4409501730336278E-2</v>
      </c>
      <c r="G180" s="28">
        <v>9.9513706419858267E-3</v>
      </c>
      <c r="H180" s="28">
        <v>-2.4207223721156943E-2</v>
      </c>
      <c r="I180" s="28">
        <v>-1.2508322354907607E-2</v>
      </c>
      <c r="J180" s="28">
        <v>-2.3486638792946633E-2</v>
      </c>
      <c r="K180" s="28">
        <v>-2.9178570154966527E-2</v>
      </c>
      <c r="L180" s="28">
        <v>-4.0427090475436953E-2</v>
      </c>
      <c r="M180" s="28">
        <v>-2.4106900759219126E-2</v>
      </c>
      <c r="N180" s="28">
        <v>-2.4110624512568273E-2</v>
      </c>
    </row>
    <row r="181" spans="1:14">
      <c r="A181" s="4">
        <v>38884</v>
      </c>
      <c r="B181" s="28">
        <v>-4.4787163609455935E-3</v>
      </c>
      <c r="C181" s="28">
        <v>-6.2146892655368059E-3</v>
      </c>
      <c r="D181" s="28">
        <v>-4.4040426853368024E-3</v>
      </c>
      <c r="E181" s="28">
        <v>-1.7963710286110763E-3</v>
      </c>
      <c r="F181" s="28">
        <v>-3.6448378190668848E-3</v>
      </c>
      <c r="G181" s="28">
        <v>-7.3584374484277678E-3</v>
      </c>
      <c r="H181" s="28">
        <v>1.357883109482009E-3</v>
      </c>
      <c r="I181" s="28">
        <v>-3.0555157079330212E-3</v>
      </c>
      <c r="J181" s="28">
        <v>-1.139814800040426E-2</v>
      </c>
      <c r="K181" s="28">
        <v>0.11178182382159318</v>
      </c>
      <c r="L181" s="28">
        <v>6.7617579593561268E-3</v>
      </c>
      <c r="M181" s="28">
        <v>-1.2689826432001118E-2</v>
      </c>
      <c r="N181" s="28">
        <v>-1.3475050869546552E-2</v>
      </c>
    </row>
    <row r="182" spans="1:14">
      <c r="A182" s="4">
        <v>38891</v>
      </c>
      <c r="B182" s="28">
        <v>-5.2421563257948941E-4</v>
      </c>
      <c r="C182" s="28">
        <v>-5.7256558109315221E-3</v>
      </c>
      <c r="D182" s="28">
        <v>-9.2440310780923483E-3</v>
      </c>
      <c r="E182" s="28">
        <v>4.7888616119814569E-4</v>
      </c>
      <c r="F182" s="28">
        <v>3.9174117430181569E-4</v>
      </c>
      <c r="G182" s="28">
        <v>-1.8610700908530776E-2</v>
      </c>
      <c r="H182" s="28">
        <v>-1.8380338097044872E-2</v>
      </c>
      <c r="I182" s="28">
        <v>6.8444201428358937E-3</v>
      </c>
      <c r="J182" s="28">
        <v>-1.1782428579114729E-3</v>
      </c>
      <c r="K182" s="28">
        <v>3.1952892977632222E-2</v>
      </c>
      <c r="L182" s="28">
        <v>2.2406819224077959E-2</v>
      </c>
      <c r="M182" s="28">
        <v>-8.7679569429115652E-3</v>
      </c>
      <c r="N182" s="28">
        <v>6.5429121567305037E-4</v>
      </c>
    </row>
    <row r="183" spans="1:14">
      <c r="A183" s="4">
        <v>38898</v>
      </c>
      <c r="B183" s="28">
        <v>3.3269924770828928E-2</v>
      </c>
      <c r="C183" s="28">
        <v>7.4739636512150811E-3</v>
      </c>
      <c r="D183" s="28">
        <v>4.1499713795077275E-2</v>
      </c>
      <c r="E183" s="28">
        <v>1.8602120198315163E-2</v>
      </c>
      <c r="F183" s="28">
        <v>2.5672033722617608E-2</v>
      </c>
      <c r="G183" s="28">
        <v>5.8196312904833401E-3</v>
      </c>
      <c r="H183" s="28">
        <v>1.0994202276143531E-2</v>
      </c>
      <c r="I183" s="28">
        <v>2.0407968825922575E-2</v>
      </c>
      <c r="J183" s="28">
        <v>1.2291881002526211E-2</v>
      </c>
      <c r="K183" s="28">
        <v>-1.7786947937668094E-5</v>
      </c>
      <c r="L183" s="28">
        <v>2.5650062238423574E-2</v>
      </c>
      <c r="M183" s="28">
        <v>2.2388821115670313E-2</v>
      </c>
      <c r="N183" s="28">
        <v>3.4256214815921879E-2</v>
      </c>
    </row>
    <row r="184" spans="1:14">
      <c r="A184" s="4">
        <v>38905</v>
      </c>
      <c r="B184" s="28">
        <v>-6.2124506602635266E-4</v>
      </c>
      <c r="C184" s="28">
        <v>1.6215339711367182E-3</v>
      </c>
      <c r="D184" s="28">
        <v>9.6729870843639439E-3</v>
      </c>
      <c r="E184" s="28">
        <v>1.4048000633149257E-2</v>
      </c>
      <c r="F184" s="28">
        <v>8.1073493908259252E-3</v>
      </c>
      <c r="G184" s="28">
        <v>1.1918679533160255E-2</v>
      </c>
      <c r="H184" s="28">
        <v>1.8577517239426255E-2</v>
      </c>
      <c r="I184" s="28">
        <v>5.0326327485271851E-3</v>
      </c>
      <c r="J184" s="28">
        <v>2.0523271591471517E-2</v>
      </c>
      <c r="K184" s="28">
        <v>-2.0490928495198214E-3</v>
      </c>
      <c r="L184" s="28">
        <v>4.2841788502942504E-3</v>
      </c>
      <c r="M184" s="28">
        <v>9.936131070151729E-3</v>
      </c>
      <c r="N184" s="28">
        <v>7.4841195773249023E-3</v>
      </c>
    </row>
    <row r="185" spans="1:14">
      <c r="A185" s="4">
        <v>38912</v>
      </c>
      <c r="B185" s="28">
        <v>-3.3681800607985563E-2</v>
      </c>
      <c r="C185" s="28">
        <v>2.4283632831461005E-4</v>
      </c>
      <c r="D185" s="28">
        <v>-2.5257198846007373E-2</v>
      </c>
      <c r="E185" s="28">
        <v>-2.9999414645567893E-2</v>
      </c>
      <c r="F185" s="28">
        <v>-1.123338939817552E-2</v>
      </c>
      <c r="G185" s="28">
        <v>-2.0717271899507492E-2</v>
      </c>
      <c r="H185" s="28">
        <v>-1.4242024049489129E-2</v>
      </c>
      <c r="I185" s="28">
        <v>-2.4410070605722863E-2</v>
      </c>
      <c r="J185" s="28">
        <v>-3.3448042129412422E-2</v>
      </c>
      <c r="K185" s="28">
        <v>-1.3891859520040996E-2</v>
      </c>
      <c r="L185" s="28">
        <v>-3.8341286060876931E-2</v>
      </c>
      <c r="M185" s="28">
        <v>-3.6578135606327437E-2</v>
      </c>
      <c r="N185" s="28">
        <v>-5.5818512143812858E-3</v>
      </c>
    </row>
    <row r="186" spans="1:14">
      <c r="A186" s="4">
        <v>38919</v>
      </c>
      <c r="B186" s="28">
        <v>4.0559199171555571E-3</v>
      </c>
      <c r="C186" s="28">
        <v>3.2774945375091133E-3</v>
      </c>
      <c r="D186" s="28">
        <v>8.4883006645446492E-3</v>
      </c>
      <c r="E186" s="28">
        <v>2.0950043750691504E-2</v>
      </c>
      <c r="F186" s="28">
        <v>1.7269639568090078E-2</v>
      </c>
      <c r="G186" s="28">
        <v>5.4088641385308762E-3</v>
      </c>
      <c r="H186" s="28">
        <v>2.6357168543445528E-2</v>
      </c>
      <c r="I186" s="28">
        <v>1.1184382811569948E-2</v>
      </c>
      <c r="J186" s="28">
        <v>4.3274443695212425E-2</v>
      </c>
      <c r="K186" s="28">
        <v>1.261626666955868E-2</v>
      </c>
      <c r="L186" s="28">
        <v>1.7737947491746137E-2</v>
      </c>
      <c r="M186" s="28">
        <v>-3.5139666797474713E-3</v>
      </c>
      <c r="N186" s="28">
        <v>1.2632667043282799E-2</v>
      </c>
    </row>
    <row r="187" spans="1:14">
      <c r="A187" s="4">
        <v>38926</v>
      </c>
      <c r="B187" s="28">
        <v>3.7746610930968608E-2</v>
      </c>
      <c r="C187" s="28">
        <v>5.807622504537196E-3</v>
      </c>
      <c r="D187" s="28">
        <v>4.2471897668752354E-2</v>
      </c>
      <c r="E187" s="28">
        <v>3.2799724165106847E-2</v>
      </c>
      <c r="F187" s="28">
        <v>3.0038260715491993E-2</v>
      </c>
      <c r="G187" s="28">
        <v>2.4412800063642738E-3</v>
      </c>
      <c r="H187" s="28">
        <v>3.0001580115279765E-2</v>
      </c>
      <c r="I187" s="28">
        <v>1.026961869155377E-2</v>
      </c>
      <c r="J187" s="28">
        <v>3.3956059297714065E-2</v>
      </c>
      <c r="K187" s="28">
        <v>4.8301245550965294E-3</v>
      </c>
      <c r="L187" s="28">
        <v>4.6003218094779808E-2</v>
      </c>
      <c r="M187" s="28">
        <v>2.1945762105074717E-2</v>
      </c>
      <c r="N187" s="28">
        <v>3.2546766688823427E-2</v>
      </c>
    </row>
    <row r="188" spans="1:14">
      <c r="A188" s="4">
        <v>38933</v>
      </c>
      <c r="B188" s="28">
        <v>5.6694976508854149E-3</v>
      </c>
      <c r="C188" s="28">
        <v>6.6963390673243353E-3</v>
      </c>
      <c r="D188" s="28">
        <v>1.4023159460320912E-2</v>
      </c>
      <c r="E188" s="28">
        <v>1.6415568559560126E-2</v>
      </c>
      <c r="F188" s="28">
        <v>-3.8381318941233967E-3</v>
      </c>
      <c r="G188" s="28">
        <v>5.2873050120278023E-3</v>
      </c>
      <c r="H188" s="28">
        <v>9.8581967103771005E-3</v>
      </c>
      <c r="I188" s="28">
        <v>1.8591969425089078E-2</v>
      </c>
      <c r="J188" s="28">
        <v>1.3832489848172598E-2</v>
      </c>
      <c r="K188" s="28">
        <v>2.6379365474118024E-2</v>
      </c>
      <c r="L188" s="28">
        <v>-3.1148230920020939E-3</v>
      </c>
      <c r="M188" s="28">
        <v>1.7279431083708482E-2</v>
      </c>
      <c r="N188" s="28">
        <v>-5.6213357857224809E-3</v>
      </c>
    </row>
    <row r="189" spans="1:14">
      <c r="A189" s="4">
        <v>38940</v>
      </c>
      <c r="B189" s="28">
        <v>-1.2869752712081437E-2</v>
      </c>
      <c r="C189" s="28">
        <v>-5.098382856687649E-3</v>
      </c>
      <c r="D189" s="28">
        <v>-1.6081718177056014E-2</v>
      </c>
      <c r="E189" s="28">
        <v>-4.6452484738727598E-4</v>
      </c>
      <c r="F189" s="28">
        <v>-7.5763299049182416E-3</v>
      </c>
      <c r="G189" s="28">
        <v>1.1037048366645069E-2</v>
      </c>
      <c r="H189" s="28">
        <v>6.8822488177327371E-3</v>
      </c>
      <c r="I189" s="28">
        <v>-1.129292041877143E-2</v>
      </c>
      <c r="J189" s="28">
        <v>-5.3864746214175733E-3</v>
      </c>
      <c r="K189" s="28">
        <v>8.2036726146189642E-4</v>
      </c>
      <c r="L189" s="28">
        <v>4.8268061579029601E-3</v>
      </c>
      <c r="M189" s="28">
        <v>-3.8956566656621443E-3</v>
      </c>
      <c r="N189" s="28">
        <v>-9.491219754684959E-3</v>
      </c>
    </row>
    <row r="190" spans="1:14">
      <c r="A190" s="4">
        <v>38947</v>
      </c>
      <c r="B190" s="28">
        <v>2.7614713689799075E-2</v>
      </c>
      <c r="C190" s="28">
        <v>7.1262711185843585E-3</v>
      </c>
      <c r="D190" s="28">
        <v>1.8687110685194009E-2</v>
      </c>
      <c r="E190" s="28">
        <v>4.0746965102197389E-3</v>
      </c>
      <c r="F190" s="28">
        <v>1.3762166276983403E-2</v>
      </c>
      <c r="G190" s="28">
        <v>-2.3424003747839271E-3</v>
      </c>
      <c r="H190" s="28">
        <v>2.6238799312543457E-3</v>
      </c>
      <c r="I190" s="28">
        <v>1.2782539476850686E-2</v>
      </c>
      <c r="J190" s="28">
        <v>-2.2019658992848841E-3</v>
      </c>
      <c r="K190" s="28">
        <v>-1.1863093673478865E-3</v>
      </c>
      <c r="L190" s="28">
        <v>3.5844037377466088E-2</v>
      </c>
      <c r="M190" s="28">
        <v>8.5650698990945347E-3</v>
      </c>
      <c r="N190" s="28">
        <v>5.6897759103641463E-3</v>
      </c>
    </row>
    <row r="191" spans="1:14">
      <c r="A191" s="4">
        <v>38954</v>
      </c>
      <c r="B191" s="28">
        <v>-7.2698555623621763E-3</v>
      </c>
      <c r="C191" s="28">
        <v>1.8683415487358835E-3</v>
      </c>
      <c r="D191" s="28">
        <v>-6.9509773178635546E-3</v>
      </c>
      <c r="E191" s="28">
        <v>9.25709476833895E-4</v>
      </c>
      <c r="F191" s="28">
        <v>-5.2563545572058626E-4</v>
      </c>
      <c r="G191" s="28">
        <v>4.0794764182782509E-3</v>
      </c>
      <c r="H191" s="28">
        <v>7.0855632466665314E-3</v>
      </c>
      <c r="I191" s="28">
        <v>-4.9945621875543966E-3</v>
      </c>
      <c r="J191" s="28">
        <v>-3.1462170840085464E-3</v>
      </c>
      <c r="K191" s="28">
        <v>3.7691878845800886E-2</v>
      </c>
      <c r="L191" s="28">
        <v>-8.1588254241278454E-3</v>
      </c>
      <c r="M191" s="28">
        <v>1.0111959963494657E-3</v>
      </c>
      <c r="N191" s="28">
        <v>-8.8780572721732258E-4</v>
      </c>
    </row>
    <row r="192" spans="1:14">
      <c r="A192" s="4">
        <v>38961</v>
      </c>
      <c r="B192" s="28">
        <v>1.4951005903082485E-2</v>
      </c>
      <c r="C192" s="28">
        <v>4.6026266714279907E-3</v>
      </c>
      <c r="D192" s="28">
        <v>2.1209410031051004E-2</v>
      </c>
      <c r="E192" s="28">
        <v>2.7853032397892503E-2</v>
      </c>
      <c r="F192" s="28">
        <v>1.6528659514980414E-2</v>
      </c>
      <c r="G192" s="28">
        <v>2.0134260883121119E-2</v>
      </c>
      <c r="H192" s="28">
        <v>1.726770134282684E-2</v>
      </c>
      <c r="I192" s="28">
        <v>3.9514110542147915E-2</v>
      </c>
      <c r="J192" s="28">
        <v>3.8586764126624866E-2</v>
      </c>
      <c r="K192" s="28">
        <v>1.0187737341244219E-2</v>
      </c>
      <c r="L192" s="28">
        <v>1.9986966210557029E-2</v>
      </c>
      <c r="M192" s="28">
        <v>2.6577006544732388E-2</v>
      </c>
      <c r="N192" s="28">
        <v>1.4513712234728375E-2</v>
      </c>
    </row>
    <row r="193" spans="1:14">
      <c r="A193" s="4">
        <v>38968</v>
      </c>
      <c r="B193" s="28">
        <v>-1.5155621644190872E-2</v>
      </c>
      <c r="C193" s="28">
        <v>-2.1327856550416367E-3</v>
      </c>
      <c r="D193" s="28">
        <v>-2.2675736961451131E-3</v>
      </c>
      <c r="E193" s="28">
        <v>-1.9945376299130804E-2</v>
      </c>
      <c r="F193" s="28">
        <v>-1.9934221293084784E-2</v>
      </c>
      <c r="G193" s="28">
        <v>-1.7167689405697222E-2</v>
      </c>
      <c r="H193" s="28">
        <v>-2.2045252798763616E-2</v>
      </c>
      <c r="I193" s="28">
        <v>-1.8462639552195931E-2</v>
      </c>
      <c r="J193" s="28">
        <v>-3.5045607297167547E-2</v>
      </c>
      <c r="K193" s="28">
        <v>-1.8908125142455011E-2</v>
      </c>
      <c r="L193" s="28">
        <v>-1.3726047222147871E-2</v>
      </c>
      <c r="M193" s="28">
        <v>-6.4086527235733114E-3</v>
      </c>
      <c r="N193" s="28">
        <v>-1.9446877450896221E-2</v>
      </c>
    </row>
    <row r="194" spans="1:14">
      <c r="A194" s="4">
        <v>38975</v>
      </c>
      <c r="B194" s="28">
        <v>7.8989646554801039E-3</v>
      </c>
      <c r="C194" s="28">
        <v>-7.1244805066299948E-4</v>
      </c>
      <c r="D194" s="28">
        <v>1.482438016528928E-2</v>
      </c>
      <c r="E194" s="28">
        <v>2.5359126781723279E-2</v>
      </c>
      <c r="F194" s="28">
        <v>1.6251272576448889E-2</v>
      </c>
      <c r="G194" s="28">
        <v>2.7598270249260442E-3</v>
      </c>
      <c r="H194" s="28">
        <v>1.5215332876220448E-2</v>
      </c>
      <c r="I194" s="28">
        <v>1.5191069901426836E-2</v>
      </c>
      <c r="J194" s="28">
        <v>5.2800995024875674E-2</v>
      </c>
      <c r="K194" s="28">
        <v>-5.3538179749026173E-2</v>
      </c>
      <c r="L194" s="28">
        <v>3.4027484155253127E-2</v>
      </c>
      <c r="M194" s="28">
        <v>5.5477454415746265E-3</v>
      </c>
      <c r="N194" s="28">
        <v>9.0376217276570015E-3</v>
      </c>
    </row>
    <row r="195" spans="1:14">
      <c r="A195" s="4">
        <v>38982</v>
      </c>
      <c r="B195" s="28">
        <v>-4.7228986790633364E-4</v>
      </c>
      <c r="C195" s="28">
        <v>1.1446904582722758E-2</v>
      </c>
      <c r="D195" s="28">
        <v>-4.5808520384791858E-3</v>
      </c>
      <c r="E195" s="28">
        <v>1.300134309526932E-2</v>
      </c>
      <c r="F195" s="28">
        <v>-9.445363185345463E-3</v>
      </c>
      <c r="G195" s="28">
        <v>1.2884125245907842E-2</v>
      </c>
      <c r="H195" s="28">
        <v>6.8375518605473138E-3</v>
      </c>
      <c r="I195" s="28">
        <v>-3.3917843445873935E-3</v>
      </c>
      <c r="J195" s="28">
        <v>1.0301824557091654E-3</v>
      </c>
      <c r="K195" s="28">
        <v>1.3970018000583413E-2</v>
      </c>
      <c r="L195" s="28">
        <v>-9.8756789200769787E-3</v>
      </c>
      <c r="M195" s="28">
        <v>2.2502577029175755E-2</v>
      </c>
      <c r="N195" s="28">
        <v>-2.9566284021476925E-3</v>
      </c>
    </row>
    <row r="196" spans="1:14">
      <c r="A196" s="4">
        <v>38989</v>
      </c>
      <c r="B196" s="28">
        <v>1.3961283463520409E-2</v>
      </c>
      <c r="C196" s="28">
        <v>-3.8377192982456849E-3</v>
      </c>
      <c r="D196" s="28">
        <v>9.0504678631692509E-3</v>
      </c>
      <c r="E196" s="28">
        <v>8.9506531075061301E-3</v>
      </c>
      <c r="F196" s="28">
        <v>1.2419601673783478E-2</v>
      </c>
      <c r="G196" s="28">
        <v>8.2569114558667701E-3</v>
      </c>
      <c r="H196" s="28">
        <v>9.2060206480630187E-3</v>
      </c>
      <c r="I196" s="28">
        <v>-5.5165050271386976E-4</v>
      </c>
      <c r="J196" s="28">
        <v>6.0283905566229602E-3</v>
      </c>
      <c r="K196" s="28">
        <v>6.2376109097670752E-2</v>
      </c>
      <c r="L196" s="28">
        <v>5.4759791577311239E-3</v>
      </c>
      <c r="M196" s="28">
        <v>6.918113212167642E-3</v>
      </c>
      <c r="N196" s="28">
        <v>2.1372902896338766E-2</v>
      </c>
    </row>
    <row r="197" spans="1:14">
      <c r="A197" s="4">
        <v>38996</v>
      </c>
      <c r="B197" s="28">
        <v>7.6017387885275308E-3</v>
      </c>
      <c r="C197" s="28">
        <v>-3.3807689283748142E-3</v>
      </c>
      <c r="D197" s="28">
        <v>2.1384412688760509E-2</v>
      </c>
      <c r="E197" s="28">
        <v>1.1733942153258018E-2</v>
      </c>
      <c r="F197" s="28">
        <v>-6.3952474326518945E-4</v>
      </c>
      <c r="G197" s="28">
        <v>1.1467857261473821E-2</v>
      </c>
      <c r="H197" s="28">
        <v>1.3211452879995372E-2</v>
      </c>
      <c r="I197" s="28">
        <v>1.3473933480521323E-2</v>
      </c>
      <c r="J197" s="28">
        <v>3.6460386283011563E-2</v>
      </c>
      <c r="K197" s="28">
        <v>-7.9819555626007479E-3</v>
      </c>
      <c r="L197" s="28">
        <v>-2.1571339577020443E-3</v>
      </c>
      <c r="M197" s="28">
        <v>-1.0628121149231387E-2</v>
      </c>
      <c r="N197" s="28">
        <v>-2.7101656780527611E-3</v>
      </c>
    </row>
    <row r="198" spans="1:14">
      <c r="A198" s="4">
        <v>39003</v>
      </c>
      <c r="B198" s="28">
        <v>1.034101502373877E-2</v>
      </c>
      <c r="C198" s="28">
        <v>-5.7589144840644044E-3</v>
      </c>
      <c r="D198" s="28">
        <v>7.5907918237745637E-3</v>
      </c>
      <c r="E198" s="28">
        <v>-2.2959551829548285E-3</v>
      </c>
      <c r="F198" s="28">
        <v>1.9525919971229454E-2</v>
      </c>
      <c r="G198" s="28">
        <v>2.8004503236700438E-3</v>
      </c>
      <c r="H198" s="28">
        <v>1.6806617683811007E-3</v>
      </c>
      <c r="I198" s="28">
        <v>9.3902487230052793E-3</v>
      </c>
      <c r="J198" s="28">
        <v>6.0078414328271629E-3</v>
      </c>
      <c r="K198" s="28">
        <v>-1.6957898206004858E-2</v>
      </c>
      <c r="L198" s="28">
        <v>3.0095857666338297E-2</v>
      </c>
      <c r="M198" s="28">
        <v>-2.3680566367041403E-3</v>
      </c>
      <c r="N198" s="28">
        <v>9.4059603365863886E-3</v>
      </c>
    </row>
    <row r="199" spans="1:14">
      <c r="A199" s="4">
        <v>39010</v>
      </c>
      <c r="B199" s="28">
        <v>8.1967213114754363E-3</v>
      </c>
      <c r="C199" s="28">
        <v>4.165674839324016E-3</v>
      </c>
      <c r="D199" s="28">
        <v>1.2506770397360737E-2</v>
      </c>
      <c r="E199" s="28">
        <v>7.6094293804625582E-3</v>
      </c>
      <c r="F199" s="28">
        <v>1.2885555105978979E-2</v>
      </c>
      <c r="G199" s="28">
        <v>1.4337370250307607E-2</v>
      </c>
      <c r="H199" s="28">
        <v>1.2206455636987329E-2</v>
      </c>
      <c r="I199" s="28">
        <v>8.872122216855672E-3</v>
      </c>
      <c r="J199" s="28">
        <v>2.4481897347042592E-3</v>
      </c>
      <c r="K199" s="28">
        <v>-1.4900252965657072E-3</v>
      </c>
      <c r="L199" s="28">
        <v>-1.8554909197741238E-2</v>
      </c>
      <c r="M199" s="28">
        <v>1.8040771404165778E-2</v>
      </c>
      <c r="N199" s="28">
        <v>2.5115985054577881E-2</v>
      </c>
    </row>
    <row r="200" spans="1:14">
      <c r="A200" s="4">
        <v>39017</v>
      </c>
      <c r="B200" s="28">
        <v>1.0854297024645769E-2</v>
      </c>
      <c r="C200" s="28">
        <v>7.9412113310418034E-3</v>
      </c>
      <c r="D200" s="28">
        <v>1.0455672810387617E-2</v>
      </c>
      <c r="E200" s="28">
        <v>9.4878063634862581E-3</v>
      </c>
      <c r="F200" s="28">
        <v>9.3875795101866014E-3</v>
      </c>
      <c r="G200" s="28">
        <v>1.4895638298853417E-2</v>
      </c>
      <c r="H200" s="28">
        <v>7.4253460026373567E-3</v>
      </c>
      <c r="I200" s="28">
        <v>1.5599930992840539E-2</v>
      </c>
      <c r="J200" s="28">
        <v>2.6083169845882142E-3</v>
      </c>
      <c r="K200" s="28">
        <v>1.4193320830097269E-2</v>
      </c>
      <c r="L200" s="28">
        <v>4.1782409103373859E-3</v>
      </c>
      <c r="M200" s="28">
        <v>2.0778791191503013E-2</v>
      </c>
      <c r="N200" s="28">
        <v>1.041139031426877E-2</v>
      </c>
    </row>
    <row r="201" spans="1:14">
      <c r="A201" s="4">
        <v>39024</v>
      </c>
      <c r="B201" s="28">
        <v>-7.6988939419460074E-3</v>
      </c>
      <c r="C201" s="28">
        <v>0</v>
      </c>
      <c r="D201" s="28">
        <v>-1.0491866397150865E-2</v>
      </c>
      <c r="E201" s="28">
        <v>1.503953804054979E-3</v>
      </c>
      <c r="F201" s="28">
        <v>-7.9151255004042431E-4</v>
      </c>
      <c r="G201" s="28">
        <v>-1.7721472972475949E-4</v>
      </c>
      <c r="H201" s="28">
        <v>-1.8533583710019592E-3</v>
      </c>
      <c r="I201" s="28">
        <v>-2.3866449801891016E-3</v>
      </c>
      <c r="J201" s="28">
        <v>-1.952267944297733E-3</v>
      </c>
      <c r="K201" s="28">
        <v>-9.3364811631811151E-3</v>
      </c>
      <c r="L201" s="28">
        <v>-1.106921070899316E-3</v>
      </c>
      <c r="M201" s="28">
        <v>-3.2325882836457256E-3</v>
      </c>
      <c r="N201" s="28">
        <v>7.2254099030618028E-3</v>
      </c>
    </row>
    <row r="202" spans="1:14">
      <c r="A202" s="4">
        <v>39031</v>
      </c>
      <c r="B202" s="28">
        <v>1.2702364365482815E-2</v>
      </c>
      <c r="C202" s="28">
        <v>8.0354343054249433E-3</v>
      </c>
      <c r="D202" s="28">
        <v>7.9766536964981267E-3</v>
      </c>
      <c r="E202" s="28">
        <v>4.1359012753653078E-2</v>
      </c>
      <c r="F202" s="28">
        <v>3.6915733617691026E-3</v>
      </c>
      <c r="G202" s="28">
        <v>7.6943004003946188E-3</v>
      </c>
      <c r="H202" s="28">
        <v>3.2656387881164942E-2</v>
      </c>
      <c r="I202" s="28">
        <v>1.6627290722176082E-2</v>
      </c>
      <c r="J202" s="28">
        <v>2.856066112142985E-2</v>
      </c>
      <c r="K202" s="28">
        <v>4.3493670886075919E-2</v>
      </c>
      <c r="L202" s="28">
        <v>-1.6513696371703232E-2</v>
      </c>
      <c r="M202" s="28">
        <v>3.2042183721206714E-2</v>
      </c>
      <c r="N202" s="28">
        <v>1.7933944656333609E-2</v>
      </c>
    </row>
    <row r="203" spans="1:14">
      <c r="A203" s="4">
        <v>39038</v>
      </c>
      <c r="B203" s="28">
        <v>5.5032928967015931E-3</v>
      </c>
      <c r="C203" s="28">
        <v>-3.1107827507112387E-4</v>
      </c>
      <c r="D203" s="28">
        <v>1.0326191854854208E-2</v>
      </c>
      <c r="E203" s="28">
        <v>1.4023866190665103E-2</v>
      </c>
      <c r="F203" s="28">
        <v>1.5617569386123848E-2</v>
      </c>
      <c r="G203" s="28">
        <v>1.8779935596186223E-2</v>
      </c>
      <c r="H203" s="28">
        <v>2.3458130826701781E-2</v>
      </c>
      <c r="I203" s="28">
        <v>1.5760758057289714E-2</v>
      </c>
      <c r="J203" s="28">
        <v>8.3834947221496352E-3</v>
      </c>
      <c r="K203" s="28">
        <v>-4.0338363498147413E-3</v>
      </c>
      <c r="L203" s="28">
        <v>4.4079233552247778E-2</v>
      </c>
      <c r="M203" s="28">
        <v>6.6535541965027211E-3</v>
      </c>
      <c r="N203" s="28">
        <v>1.3764880952381727E-3</v>
      </c>
    </row>
    <row r="204" spans="1:14">
      <c r="A204" s="4">
        <v>39045</v>
      </c>
      <c r="B204" s="28">
        <v>5.6745962840771469E-3</v>
      </c>
      <c r="C204" s="28">
        <v>7.662686218833978E-3</v>
      </c>
      <c r="D204" s="28">
        <v>4.0834845735027277E-2</v>
      </c>
      <c r="E204" s="28">
        <v>2.0585958192412691E-2</v>
      </c>
      <c r="F204" s="28">
        <v>8.8917005813229002E-3</v>
      </c>
      <c r="G204" s="28">
        <v>1.9066802425959407E-2</v>
      </c>
      <c r="H204" s="28">
        <v>1.247782171558451E-2</v>
      </c>
      <c r="I204" s="28">
        <v>2.3290805284745555E-2</v>
      </c>
      <c r="J204" s="28">
        <v>1.7181268437854072E-2</v>
      </c>
      <c r="K204" s="28">
        <v>7.5124720677648929E-2</v>
      </c>
      <c r="L204" s="28">
        <v>1.839593689918265E-2</v>
      </c>
      <c r="M204" s="28">
        <v>1.9324998855154048E-2</v>
      </c>
      <c r="N204" s="28">
        <v>9.4258010073294037E-3</v>
      </c>
    </row>
    <row r="205" spans="1:14">
      <c r="A205" s="4">
        <v>39052</v>
      </c>
      <c r="B205" s="28">
        <v>3.5015746726338032E-3</v>
      </c>
      <c r="C205" s="28">
        <v>9.4186674901567125E-3</v>
      </c>
      <c r="D205" s="28">
        <v>5.5522415454502799E-3</v>
      </c>
      <c r="E205" s="28">
        <v>6.61178142792118E-3</v>
      </c>
      <c r="F205" s="28">
        <v>2.1477875319700084E-3</v>
      </c>
      <c r="G205" s="28">
        <v>2.3623244438459281E-2</v>
      </c>
      <c r="H205" s="28">
        <v>4.3008166397507652E-3</v>
      </c>
      <c r="I205" s="28">
        <v>1.5775374141438682E-2</v>
      </c>
      <c r="J205" s="28">
        <v>1.2800122472932593E-2</v>
      </c>
      <c r="K205" s="28">
        <v>6.7558259671679527E-2</v>
      </c>
      <c r="L205" s="28">
        <v>-9.9553073852076748E-3</v>
      </c>
      <c r="M205" s="28">
        <v>1.4170298156550874E-2</v>
      </c>
      <c r="N205" s="28">
        <v>6.3461184573726627E-3</v>
      </c>
    </row>
    <row r="206" spans="1:14">
      <c r="A206" s="4">
        <v>39059</v>
      </c>
      <c r="B206" s="28">
        <v>1.1355893708834885E-2</v>
      </c>
      <c r="C206" s="28">
        <v>-4.8948374760993223E-3</v>
      </c>
      <c r="D206" s="28">
        <v>2.9205074381674491E-3</v>
      </c>
      <c r="E206" s="28">
        <v>1.5302358419470401E-2</v>
      </c>
      <c r="F206" s="28">
        <v>8.6220063162354842E-4</v>
      </c>
      <c r="G206" s="28">
        <v>-2.6354319180088002E-3</v>
      </c>
      <c r="H206" s="28">
        <v>8.5533931310550898E-3</v>
      </c>
      <c r="I206" s="28">
        <v>-6.3374723875772917E-3</v>
      </c>
      <c r="J206" s="28">
        <v>5.5885860163584532E-3</v>
      </c>
      <c r="K206" s="28">
        <v>2.0122757024288271E-2</v>
      </c>
      <c r="L206" s="28">
        <v>-1.0963493320916572E-2</v>
      </c>
      <c r="M206" s="28">
        <v>2.8941316313083566E-3</v>
      </c>
      <c r="N206" s="28">
        <v>2.01095077376412E-2</v>
      </c>
    </row>
    <row r="207" spans="1:14">
      <c r="A207" s="4">
        <v>39066</v>
      </c>
      <c r="B207" s="28">
        <v>9.7176571463568808E-3</v>
      </c>
      <c r="C207" s="28">
        <v>-4.496195526861947E-3</v>
      </c>
      <c r="D207" s="28">
        <v>5.1870051870051247E-3</v>
      </c>
      <c r="E207" s="28">
        <v>5.6606869394004835E-3</v>
      </c>
      <c r="F207" s="28">
        <v>-1.0977434726105709E-3</v>
      </c>
      <c r="G207" s="28">
        <v>5.9102861957161393E-3</v>
      </c>
      <c r="H207" s="28">
        <v>1.9686886904997446E-2</v>
      </c>
      <c r="I207" s="28">
        <v>1.7465366609060663E-2</v>
      </c>
      <c r="J207" s="28">
        <v>1.0918808325852352E-2</v>
      </c>
      <c r="K207" s="28">
        <v>-2.5329272216859166E-2</v>
      </c>
      <c r="L207" s="28">
        <v>-1.0681487459799181E-2</v>
      </c>
      <c r="M207" s="28">
        <v>-8.5689992159808156E-3</v>
      </c>
      <c r="N207" s="28">
        <v>-5.4391526803959471E-3</v>
      </c>
    </row>
    <row r="208" spans="1:14">
      <c r="A208" s="4">
        <v>39073</v>
      </c>
      <c r="B208" s="28">
        <v>-7.2652769634107533E-3</v>
      </c>
      <c r="C208" s="28">
        <v>-1.7757189731713429E-3</v>
      </c>
      <c r="D208" s="28">
        <v>-7.1519101937352171E-3</v>
      </c>
      <c r="E208" s="28">
        <v>-1.8510245702631871E-2</v>
      </c>
      <c r="F208" s="28">
        <v>-1.4301131967613004E-2</v>
      </c>
      <c r="G208" s="28">
        <v>6.3239468196257306E-3</v>
      </c>
      <c r="H208" s="28">
        <v>-1.3739873912537203E-2</v>
      </c>
      <c r="I208" s="28">
        <v>8.5357099427684647E-3</v>
      </c>
      <c r="J208" s="28">
        <v>-1.0577836520589868E-2</v>
      </c>
      <c r="K208" s="28">
        <v>8.4983820059709725E-3</v>
      </c>
      <c r="L208" s="28">
        <v>-2.4947416778425401E-2</v>
      </c>
      <c r="M208" s="28">
        <v>-7.0577577789409894E-3</v>
      </c>
      <c r="N208" s="28">
        <v>-2.1540869977187252E-2</v>
      </c>
    </row>
    <row r="209" spans="1:16" ht="15.75" thickBot="1">
      <c r="A209" s="6">
        <v>39080</v>
      </c>
      <c r="B209" s="136">
        <v>7.1894581769054227E-3</v>
      </c>
      <c r="C209" s="136">
        <v>-2.7069878958969362E-3</v>
      </c>
      <c r="D209" s="136">
        <v>2.4801677760554381E-2</v>
      </c>
      <c r="E209" s="28">
        <v>3.9935090635637403E-3</v>
      </c>
      <c r="F209" s="28">
        <v>3.9346262105099472E-3</v>
      </c>
      <c r="G209" s="28">
        <v>1.0197647731380577E-2</v>
      </c>
      <c r="H209" s="28">
        <v>9.0514018428873404E-4</v>
      </c>
      <c r="I209" s="28">
        <v>1.3356410804923937E-2</v>
      </c>
      <c r="J209" s="28">
        <v>1.7365966879428884E-3</v>
      </c>
      <c r="K209" s="28">
        <v>-5.4551047419619551E-3</v>
      </c>
      <c r="L209" s="28">
        <v>1.8808986057792985E-2</v>
      </c>
      <c r="M209" s="28">
        <v>1.1546169722712493E-2</v>
      </c>
      <c r="N209" s="28">
        <v>-1.8894140185046358E-3</v>
      </c>
    </row>
    <row r="210" spans="1:16">
      <c r="A210" s="4">
        <v>39087</v>
      </c>
      <c r="B210" s="28">
        <v>-9.2883430620525845E-3</v>
      </c>
      <c r="C210" s="28">
        <v>1.6286013416573575E-3</v>
      </c>
      <c r="D210" s="28">
        <v>-1.0810570335439126E-2</v>
      </c>
      <c r="E210" s="28">
        <v>-2.8639683997650517E-2</v>
      </c>
      <c r="F210" s="28">
        <v>-5.9261177454856245E-3</v>
      </c>
      <c r="G210" s="28">
        <v>-1.0440072568698795E-2</v>
      </c>
      <c r="H210" s="28">
        <v>-3.0713234550703707E-2</v>
      </c>
      <c r="I210" s="28">
        <v>-1.1622060420896583E-2</v>
      </c>
      <c r="J210" s="28">
        <v>-2.8404142270747945E-2</v>
      </c>
      <c r="K210" s="28">
        <v>-1.0771422247697322E-2</v>
      </c>
      <c r="L210" s="28">
        <v>-1.5522170159069752E-3</v>
      </c>
      <c r="M210" s="28">
        <v>-9.0154360233020096E-3</v>
      </c>
      <c r="N210" s="28">
        <v>-9.2540351284227818E-3</v>
      </c>
      <c r="P210" s="25">
        <f>+AVERAGE(F210:F365)</f>
        <v>5.7584065620921478E-4</v>
      </c>
    </row>
    <row r="211" spans="1:16">
      <c r="A211" s="4">
        <v>39094</v>
      </c>
      <c r="B211" s="28">
        <v>1.2083276636277038E-2</v>
      </c>
      <c r="C211" s="28">
        <v>-5.9618288103442394E-3</v>
      </c>
      <c r="D211" s="28">
        <v>1.5291207555655524E-2</v>
      </c>
      <c r="E211" s="28">
        <v>1.579113975422471E-2</v>
      </c>
      <c r="F211" s="28">
        <v>2.7051939724268774E-4</v>
      </c>
      <c r="G211" s="28">
        <v>1.9132518974833378E-2</v>
      </c>
      <c r="H211" s="28">
        <v>1.3629567817530672E-2</v>
      </c>
      <c r="I211" s="28">
        <v>2.1999060234320123E-2</v>
      </c>
      <c r="J211" s="28">
        <v>7.3343655773777132E-3</v>
      </c>
      <c r="K211" s="28">
        <v>-1.510249040497038E-2</v>
      </c>
      <c r="L211" s="28">
        <v>5.6467240609390262E-2</v>
      </c>
      <c r="M211" s="28">
        <v>1.7019959193873901E-2</v>
      </c>
      <c r="N211" s="28">
        <v>-1.8020990781938629E-2</v>
      </c>
    </row>
    <row r="212" spans="1:16">
      <c r="A212" s="4">
        <v>39101</v>
      </c>
      <c r="B212" s="28">
        <v>4.0334507515663231E-3</v>
      </c>
      <c r="C212" s="28">
        <v>7.7890719320810643E-4</v>
      </c>
      <c r="D212" s="28">
        <v>2.6223698781838261E-2</v>
      </c>
      <c r="E212" s="28">
        <v>4.0672007031703761E-3</v>
      </c>
      <c r="F212" s="28">
        <v>4.5374868533079307E-3</v>
      </c>
      <c r="G212" s="28">
        <v>2.1298454809894122E-2</v>
      </c>
      <c r="H212" s="28">
        <v>4.3048742839501778E-3</v>
      </c>
      <c r="I212" s="28">
        <v>2.4671702586861959E-2</v>
      </c>
      <c r="J212" s="28">
        <v>-1.7031495493025015E-5</v>
      </c>
      <c r="K212" s="28">
        <v>3.6562954160878153E-2</v>
      </c>
      <c r="L212" s="28">
        <v>2.0759772889912816E-2</v>
      </c>
      <c r="M212" s="28">
        <v>5.7690897087948429E-3</v>
      </c>
      <c r="N212" s="28">
        <v>3.5771194432705815E-4</v>
      </c>
      <c r="P212" s="25">
        <f>+AVERAGE(E210:E365)</f>
        <v>-3.8153600593809125E-4</v>
      </c>
    </row>
    <row r="213" spans="1:16">
      <c r="A213" s="4">
        <v>39108</v>
      </c>
      <c r="B213" s="28">
        <v>-4.191328101984514E-3</v>
      </c>
      <c r="C213" s="28">
        <v>-4.0082499902713521E-3</v>
      </c>
      <c r="D213" s="28">
        <v>9.841585013165283E-3</v>
      </c>
      <c r="E213" s="28">
        <v>2.8331204513892599E-3</v>
      </c>
      <c r="F213" s="28">
        <v>-6.4314773452455115E-4</v>
      </c>
      <c r="G213" s="28">
        <v>-1.1408856407583731E-2</v>
      </c>
      <c r="H213" s="28">
        <v>1.1897239726534182E-2</v>
      </c>
      <c r="I213" s="28">
        <v>-1.5563524172226045E-2</v>
      </c>
      <c r="J213" s="28">
        <v>-6.4678205701390445E-3</v>
      </c>
      <c r="K213" s="28">
        <v>-1.4228436080212056E-2</v>
      </c>
      <c r="L213" s="28">
        <v>-5.1684140278094835E-3</v>
      </c>
      <c r="M213" s="28">
        <v>-1.0480139151743147E-2</v>
      </c>
      <c r="N213" s="28">
        <v>2.3242962096092384E-3</v>
      </c>
    </row>
    <row r="214" spans="1:16">
      <c r="A214" s="4">
        <v>39115</v>
      </c>
      <c r="B214" s="28">
        <v>1.9108451556511849E-2</v>
      </c>
      <c r="C214" s="28">
        <v>4.1806673439087018E-3</v>
      </c>
      <c r="D214" s="28">
        <v>3.2699294721094278E-2</v>
      </c>
      <c r="E214" s="28">
        <v>3.1338160896736439E-2</v>
      </c>
      <c r="F214" s="28">
        <v>4.639630425997872E-3</v>
      </c>
      <c r="G214" s="28">
        <v>1.0649644671295384E-2</v>
      </c>
      <c r="H214" s="28">
        <v>2.8178284325583312E-2</v>
      </c>
      <c r="I214" s="28">
        <v>3.5340826904532371E-2</v>
      </c>
      <c r="J214" s="28">
        <v>2.6296842321801895E-2</v>
      </c>
      <c r="K214" s="28">
        <v>1.2256194366141498E-3</v>
      </c>
      <c r="L214" s="28">
        <v>-5.4546897748041119E-3</v>
      </c>
      <c r="M214" s="28">
        <v>1.4449493106917417E-2</v>
      </c>
      <c r="N214" s="28">
        <v>1.0821563126685791E-2</v>
      </c>
      <c r="P214" s="25">
        <f>+AVERAGE(G210:G365)</f>
        <v>-9.1427123444697196E-4</v>
      </c>
    </row>
    <row r="215" spans="1:16">
      <c r="A215" s="4">
        <v>39122</v>
      </c>
      <c r="B215" s="28">
        <v>-1.2931148233183149E-3</v>
      </c>
      <c r="C215" s="28">
        <v>2.0232675771370058E-3</v>
      </c>
      <c r="D215" s="28">
        <v>1.1341059602649044E-2</v>
      </c>
      <c r="E215" s="28">
        <v>1.4981359864267515E-2</v>
      </c>
      <c r="F215" s="28">
        <v>8.094270944546773E-3</v>
      </c>
      <c r="G215" s="28">
        <v>1.3578155263253632E-2</v>
      </c>
      <c r="H215" s="28">
        <v>1.7951523773048064E-2</v>
      </c>
      <c r="I215" s="28">
        <v>1.4520436304365173E-2</v>
      </c>
      <c r="J215" s="28">
        <v>2.0211131155208734E-3</v>
      </c>
      <c r="K215" s="28">
        <v>5.3462691410954442E-3</v>
      </c>
      <c r="L215" s="28">
        <v>-4.7497569156160912E-4</v>
      </c>
      <c r="M215" s="28">
        <v>1.1134117988956565E-2</v>
      </c>
      <c r="N215" s="28">
        <v>1.4593348769805812E-2</v>
      </c>
    </row>
    <row r="216" spans="1:16">
      <c r="A216" s="4">
        <v>39129</v>
      </c>
      <c r="B216" s="28">
        <v>1.5180741993446793E-2</v>
      </c>
      <c r="C216" s="28">
        <v>7.4166116568944399E-3</v>
      </c>
      <c r="D216" s="28">
        <v>6.9165916346075051E-3</v>
      </c>
      <c r="E216" s="28">
        <v>3.256044909918673E-3</v>
      </c>
      <c r="F216" s="28">
        <v>3.7880467176008977E-3</v>
      </c>
      <c r="G216" s="28">
        <v>1.0795198410640389E-2</v>
      </c>
      <c r="H216" s="28">
        <v>6.9873314306289919E-4</v>
      </c>
      <c r="I216" s="28">
        <v>2.6315695099428039E-2</v>
      </c>
      <c r="J216" s="28">
        <v>-3.1797496207638522E-3</v>
      </c>
      <c r="K216" s="28">
        <v>2.0739003995457972E-2</v>
      </c>
      <c r="L216" s="28">
        <v>5.9867586298229351E-3</v>
      </c>
      <c r="M216" s="28">
        <v>2.0334476997971259E-3</v>
      </c>
      <c r="N216" s="28">
        <v>8.0429237029072537E-3</v>
      </c>
    </row>
    <row r="217" spans="1:16">
      <c r="A217" s="4">
        <v>39136</v>
      </c>
      <c r="B217" s="28">
        <v>1.4250946809480163E-3</v>
      </c>
      <c r="C217" s="28">
        <v>6.5525747764421803E-4</v>
      </c>
      <c r="D217" s="28">
        <v>9.8768442872820671E-3</v>
      </c>
      <c r="E217" s="28">
        <v>-2.3047046199883492E-3</v>
      </c>
      <c r="F217" s="28">
        <v>1.9629396984929086E-4</v>
      </c>
      <c r="G217" s="28">
        <v>1.9990290993910202E-2</v>
      </c>
      <c r="H217" s="28">
        <v>3.3408349939037965E-3</v>
      </c>
      <c r="I217" s="28">
        <v>1.7387475845874918E-2</v>
      </c>
      <c r="J217" s="28">
        <v>-7.8388581605649005E-3</v>
      </c>
      <c r="K217" s="28">
        <v>-7.2515431028503706E-3</v>
      </c>
      <c r="L217" s="28">
        <v>-1.6716985405789691E-3</v>
      </c>
      <c r="M217" s="28">
        <v>1.6105496018443185E-2</v>
      </c>
      <c r="N217" s="28">
        <v>-6.8650723107006673E-3</v>
      </c>
    </row>
    <row r="218" spans="1:16">
      <c r="A218" s="4">
        <v>39143</v>
      </c>
      <c r="B218" s="28">
        <v>-4.4764869097359918E-2</v>
      </c>
      <c r="C218" s="28">
        <v>9.5913100419860904E-3</v>
      </c>
      <c r="D218" s="28">
        <v>-6.3309989535538985E-2</v>
      </c>
      <c r="E218" s="28">
        <v>-3.458983738913745E-2</v>
      </c>
      <c r="F218" s="28">
        <v>-3.8098088471955137E-2</v>
      </c>
      <c r="G218" s="28">
        <v>-2.8478784079740558E-2</v>
      </c>
      <c r="H218" s="28">
        <v>-3.18624433226447E-2</v>
      </c>
      <c r="I218" s="28">
        <v>-5.4138803883788618E-2</v>
      </c>
      <c r="J218" s="28">
        <v>-5.5592074768875455E-2</v>
      </c>
      <c r="K218" s="28">
        <v>-6.0216117431069673E-2</v>
      </c>
      <c r="L218" s="28">
        <v>-6.5220089319477245E-2</v>
      </c>
      <c r="M218" s="28">
        <v>-1.80873173537331E-2</v>
      </c>
      <c r="N218" s="28">
        <v>-2.4965121482534457E-2</v>
      </c>
    </row>
    <row r="219" spans="1:16">
      <c r="A219" s="4">
        <v>39150</v>
      </c>
      <c r="B219" s="28">
        <v>1.0333052161845973E-2</v>
      </c>
      <c r="C219" s="28">
        <v>-3.0904235024799779E-3</v>
      </c>
      <c r="D219" s="28">
        <v>1.3363124650883056E-2</v>
      </c>
      <c r="E219" s="28">
        <v>1.3701693000486339E-2</v>
      </c>
      <c r="F219" s="28">
        <v>4.5702393764887892E-3</v>
      </c>
      <c r="G219" s="28">
        <v>6.3048136435689016E-3</v>
      </c>
      <c r="H219" s="28">
        <v>1.2103886624901217E-2</v>
      </c>
      <c r="I219" s="28">
        <v>1.7146218536216867E-2</v>
      </c>
      <c r="J219" s="28">
        <v>1.3612939208031329E-2</v>
      </c>
      <c r="K219" s="28">
        <v>1.8298484740360131E-2</v>
      </c>
      <c r="L219" s="28">
        <v>1.1821522701742387E-2</v>
      </c>
      <c r="M219" s="28">
        <v>3.1659102261415587E-3</v>
      </c>
      <c r="N219" s="28">
        <v>5.6208592733379492E-3</v>
      </c>
    </row>
    <row r="220" spans="1:16">
      <c r="A220" s="4">
        <v>39157</v>
      </c>
      <c r="B220" s="28">
        <v>-1.0476491856480105E-2</v>
      </c>
      <c r="C220" s="28">
        <v>4.4777833059051588E-3</v>
      </c>
      <c r="D220" s="28">
        <v>-1.9335142469470837E-2</v>
      </c>
      <c r="E220" s="28">
        <v>4.7712102157298738E-3</v>
      </c>
      <c r="F220" s="28">
        <v>1.259222024199413E-3</v>
      </c>
      <c r="G220" s="28">
        <v>2.5358088505942629E-2</v>
      </c>
      <c r="H220" s="28">
        <v>1.8575174825170352E-4</v>
      </c>
      <c r="I220" s="28">
        <v>7.6396375813050548E-3</v>
      </c>
      <c r="J220" s="28">
        <v>-2.2625629467902977E-3</v>
      </c>
      <c r="K220" s="28">
        <v>-1.0617112355679009E-2</v>
      </c>
      <c r="L220" s="28">
        <v>2.5771769148915944E-3</v>
      </c>
      <c r="M220" s="28">
        <v>2.4781664863625721E-2</v>
      </c>
      <c r="N220" s="28">
        <v>1.8416700672235541E-3</v>
      </c>
    </row>
    <row r="221" spans="1:16">
      <c r="A221" s="4">
        <v>39164</v>
      </c>
      <c r="B221" s="28">
        <v>3.8906693339320959E-2</v>
      </c>
      <c r="C221" s="28">
        <v>-1.9431532423988072E-3</v>
      </c>
      <c r="D221" s="28">
        <v>3.8740920096852337E-2</v>
      </c>
      <c r="E221" s="28">
        <v>3.6690569903488429E-2</v>
      </c>
      <c r="F221" s="28">
        <v>4.1948325261796711E-2</v>
      </c>
      <c r="G221" s="28">
        <v>1.9801750891657859E-2</v>
      </c>
      <c r="H221" s="28">
        <v>3.5586702644832192E-2</v>
      </c>
      <c r="I221" s="28">
        <v>4.528126749286112E-2</v>
      </c>
      <c r="J221" s="28">
        <v>4.7700982079042761E-2</v>
      </c>
      <c r="K221" s="28">
        <v>1.8980019478794657E-2</v>
      </c>
      <c r="L221" s="28">
        <v>4.8047034764826135E-2</v>
      </c>
      <c r="M221" s="28">
        <v>2.2819111005466988E-2</v>
      </c>
      <c r="N221" s="28">
        <v>3.671209676987143E-2</v>
      </c>
    </row>
    <row r="222" spans="1:16">
      <c r="A222" s="4">
        <v>39171</v>
      </c>
      <c r="B222" s="28">
        <v>-8.2981301372104955E-3</v>
      </c>
      <c r="C222" s="28">
        <v>-1.2979576255009544E-3</v>
      </c>
      <c r="D222" s="28">
        <v>-8.1168831168831872E-3</v>
      </c>
      <c r="E222" s="28">
        <v>1.2006612552705449E-2</v>
      </c>
      <c r="F222" s="28">
        <v>-4.3948663288995177E-3</v>
      </c>
      <c r="G222" s="28">
        <v>5.1211591306520865E-3</v>
      </c>
      <c r="H222" s="28">
        <v>1.0032227608141812E-2</v>
      </c>
      <c r="I222" s="28">
        <v>2.0709126590044459E-3</v>
      </c>
      <c r="J222" s="28">
        <v>-5.2763670970294631E-3</v>
      </c>
      <c r="K222" s="28">
        <v>-3.4495642427034355E-3</v>
      </c>
      <c r="L222" s="28">
        <v>-1.7511390355027832E-2</v>
      </c>
      <c r="M222" s="28">
        <v>9.2890049349974146E-3</v>
      </c>
      <c r="N222" s="28">
        <v>6.3276415577164713E-3</v>
      </c>
    </row>
    <row r="223" spans="1:16">
      <c r="A223" s="4">
        <v>39178</v>
      </c>
      <c r="B223" s="28">
        <v>1.8386189224530714E-2</v>
      </c>
      <c r="C223" s="28">
        <v>3.4402354650042043E-4</v>
      </c>
      <c r="D223" s="28">
        <v>9.3583448738932314E-3</v>
      </c>
      <c r="E223" s="28">
        <v>2.4576292962627082E-2</v>
      </c>
      <c r="F223" s="28">
        <v>7.7579632779961856E-3</v>
      </c>
      <c r="G223" s="28">
        <v>1.8233785600505974E-2</v>
      </c>
      <c r="H223" s="28">
        <v>2.0533602101404209E-2</v>
      </c>
      <c r="I223" s="28">
        <v>2.2800608828006039E-2</v>
      </c>
      <c r="J223" s="28">
        <v>2.3693913750259206E-2</v>
      </c>
      <c r="K223" s="28">
        <v>1.9420466765483816E-2</v>
      </c>
      <c r="L223" s="28">
        <v>6.7266377436469597E-3</v>
      </c>
      <c r="M223" s="28">
        <v>1.9030075646243854E-2</v>
      </c>
      <c r="N223" s="28">
        <v>1.0263997410883546E-2</v>
      </c>
    </row>
    <row r="224" spans="1:16">
      <c r="A224" s="4">
        <v>39185</v>
      </c>
      <c r="B224" s="28">
        <v>7.5485402264562716E-3</v>
      </c>
      <c r="C224" s="28">
        <v>-2.5983951089033506E-3</v>
      </c>
      <c r="D224" s="28">
        <v>-7.1511724596707085E-3</v>
      </c>
      <c r="E224" s="28">
        <v>2.708590100031509E-3</v>
      </c>
      <c r="F224" s="28">
        <v>5.1515636596474864E-3</v>
      </c>
      <c r="G224" s="28">
        <v>2.6357930863594836E-2</v>
      </c>
      <c r="H224" s="28">
        <v>-6.9132087829989258E-3</v>
      </c>
      <c r="I224" s="28">
        <v>1.1954720874629236E-2</v>
      </c>
      <c r="J224" s="28">
        <v>9.5195560297413693E-3</v>
      </c>
      <c r="K224" s="28">
        <v>-1.3231571024541516E-2</v>
      </c>
      <c r="L224" s="28">
        <v>1.8229164097986271E-2</v>
      </c>
      <c r="M224" s="28">
        <v>1.6199134716988656E-2</v>
      </c>
      <c r="N224" s="28">
        <v>4.5459399264717376E-3</v>
      </c>
    </row>
    <row r="225" spans="1:14">
      <c r="A225" s="4">
        <v>39192</v>
      </c>
      <c r="B225" s="28">
        <v>1.8974550416436038E-2</v>
      </c>
      <c r="C225" s="28">
        <v>6.0148647613209455E-3</v>
      </c>
      <c r="D225" s="28">
        <v>1.0636515912897788E-2</v>
      </c>
      <c r="E225" s="28">
        <v>1.9116154758673247E-3</v>
      </c>
      <c r="F225" s="28">
        <v>1.1099689691283847E-2</v>
      </c>
      <c r="G225" s="28">
        <v>-1.5818679734793432E-3</v>
      </c>
      <c r="H225" s="28">
        <v>2.6330434065707058E-3</v>
      </c>
      <c r="I225" s="28">
        <v>-3.5816291183833116E-3</v>
      </c>
      <c r="J225" s="28">
        <v>-3.7112895297394502E-3</v>
      </c>
      <c r="K225" s="28">
        <v>1.926838499787642E-2</v>
      </c>
      <c r="L225" s="28">
        <v>8.0916713810768089E-3</v>
      </c>
      <c r="M225" s="28">
        <v>1.7624919477988053E-3</v>
      </c>
      <c r="N225" s="28">
        <v>1.4244278750512571E-2</v>
      </c>
    </row>
    <row r="226" spans="1:14">
      <c r="A226" s="4">
        <v>39199</v>
      </c>
      <c r="B226" s="28">
        <v>6.0007327210468949E-4</v>
      </c>
      <c r="C226" s="28">
        <v>-8.7589017098884715E-4</v>
      </c>
      <c r="D226" s="28">
        <v>-1.2430595839894396E-4</v>
      </c>
      <c r="E226" s="28">
        <v>-1.4186724107802055E-2</v>
      </c>
      <c r="F226" s="28">
        <v>8.4481631211427537E-4</v>
      </c>
      <c r="G226" s="28">
        <v>-1.4761026559021173E-3</v>
      </c>
      <c r="H226" s="28">
        <v>-7.2462650899615634E-3</v>
      </c>
      <c r="I226" s="28">
        <v>9.7143419369649705E-3</v>
      </c>
      <c r="J226" s="28">
        <v>-4.3377437154110072E-3</v>
      </c>
      <c r="K226" s="28">
        <v>-2.5364249674017805E-2</v>
      </c>
      <c r="L226" s="28">
        <v>-7.0235016802015042E-3</v>
      </c>
      <c r="M226" s="28">
        <v>-1.6213163770254238E-2</v>
      </c>
      <c r="N226" s="28">
        <v>-5.4899259858167087E-4</v>
      </c>
    </row>
    <row r="227" spans="1:14">
      <c r="A227" s="4">
        <v>39206</v>
      </c>
      <c r="B227" s="28">
        <v>8.4275514648789757E-3</v>
      </c>
      <c r="C227" s="28">
        <v>1.8676627534685512E-3</v>
      </c>
      <c r="D227" s="28">
        <v>5.0557374331772365E-3</v>
      </c>
      <c r="E227" s="28">
        <v>9.0404268789001652E-3</v>
      </c>
      <c r="F227" s="28">
        <v>4.0392961037721397E-3</v>
      </c>
      <c r="G227" s="28">
        <v>1.4273218829516626E-2</v>
      </c>
      <c r="H227" s="28">
        <v>1.6720763253663909E-3</v>
      </c>
      <c r="I227" s="28">
        <v>1.9673760523854125E-2</v>
      </c>
      <c r="J227" s="28">
        <v>1.2590901019577955E-2</v>
      </c>
      <c r="K227" s="28">
        <v>1.0281183833965398E-2</v>
      </c>
      <c r="L227" s="28">
        <v>-5.1144831323669234E-3</v>
      </c>
      <c r="M227" s="28">
        <v>1.3567183938365477E-2</v>
      </c>
      <c r="N227" s="28">
        <v>9.9671921580768898E-3</v>
      </c>
    </row>
    <row r="228" spans="1:14">
      <c r="A228" s="4">
        <v>39213</v>
      </c>
      <c r="B228" s="28">
        <v>-2.2536057692308545E-3</v>
      </c>
      <c r="C228" s="28">
        <v>-1.3315579227697269E-3</v>
      </c>
      <c r="D228" s="28">
        <v>2.2677606893992965E-3</v>
      </c>
      <c r="E228" s="28">
        <v>-4.2735655590768881E-3</v>
      </c>
      <c r="F228" s="28">
        <v>3.6953124628926032E-3</v>
      </c>
      <c r="G228" s="28">
        <v>2.3768712961610402E-3</v>
      </c>
      <c r="H228" s="28">
        <v>-1.0780584611568264E-2</v>
      </c>
      <c r="I228" s="28">
        <v>-3.5039770139148446E-5</v>
      </c>
      <c r="J228" s="28">
        <v>-7.1204854654008179E-3</v>
      </c>
      <c r="K228" s="28">
        <v>-1.7557799100087295E-2</v>
      </c>
      <c r="L228" s="28">
        <v>2.5635787968542646E-2</v>
      </c>
      <c r="M228" s="28">
        <v>7.2672991181033713E-3</v>
      </c>
      <c r="N228" s="28">
        <v>3.0160244841862785E-4</v>
      </c>
    </row>
    <row r="229" spans="1:14">
      <c r="A229" s="4">
        <v>39220</v>
      </c>
      <c r="B229" s="28">
        <v>6.7635396275661126E-3</v>
      </c>
      <c r="C229" s="28">
        <v>-5.2571428571428396E-3</v>
      </c>
      <c r="D229" s="28">
        <v>-3.3075530689485023E-2</v>
      </c>
      <c r="E229" s="28">
        <v>1.2177206803681142E-2</v>
      </c>
      <c r="F229" s="28">
        <v>1.1920592480420251E-2</v>
      </c>
      <c r="G229" s="28">
        <v>1.7380762776940315E-2</v>
      </c>
      <c r="H229" s="28">
        <v>-2.0688574264666471E-3</v>
      </c>
      <c r="I229" s="28">
        <v>3.2674137832172788E-2</v>
      </c>
      <c r="J229" s="28">
        <v>1.2194921589406172E-2</v>
      </c>
      <c r="K229" s="28">
        <v>1.4109145891205765E-2</v>
      </c>
      <c r="L229" s="28">
        <v>2.178943674661659E-2</v>
      </c>
      <c r="M229" s="28">
        <v>1.3510000064998851E-2</v>
      </c>
      <c r="N229" s="28">
        <v>1.8960625562244777E-2</v>
      </c>
    </row>
    <row r="230" spans="1:14">
      <c r="A230" s="4">
        <v>39227</v>
      </c>
      <c r="B230" s="28">
        <v>-3.2531066545349058E-3</v>
      </c>
      <c r="C230" s="28">
        <v>-2.719056372548941E-3</v>
      </c>
      <c r="D230" s="28">
        <v>-1.0508849557522119E-2</v>
      </c>
      <c r="E230" s="28">
        <v>6.1718733325269856E-3</v>
      </c>
      <c r="F230" s="28">
        <v>-1.7742735018752887E-2</v>
      </c>
      <c r="G230" s="28">
        <v>-9.3823053564751572E-3</v>
      </c>
      <c r="H230" s="28">
        <v>-1.2679698870239892E-2</v>
      </c>
      <c r="I230" s="28">
        <v>-1.7323976247397194E-2</v>
      </c>
      <c r="J230" s="28">
        <v>3.3400830252687343E-2</v>
      </c>
      <c r="K230" s="28">
        <v>1.5201555696176965E-2</v>
      </c>
      <c r="L230" s="28">
        <v>5.2850188187138769E-3</v>
      </c>
      <c r="M230" s="28">
        <v>-7.3880489329976951E-3</v>
      </c>
      <c r="N230" s="28">
        <v>-1.6618966771768124E-2</v>
      </c>
    </row>
    <row r="231" spans="1:14">
      <c r="A231" s="4">
        <v>39234</v>
      </c>
      <c r="B231" s="28">
        <v>1.6143553832687216E-2</v>
      </c>
      <c r="C231" s="28">
        <v>-3.3024845436043682E-3</v>
      </c>
      <c r="D231" s="28">
        <v>4.1105903598916464E-2</v>
      </c>
      <c r="E231" s="28">
        <v>6.2436140838398975E-3</v>
      </c>
      <c r="F231" s="28">
        <v>1.7391925347552725E-2</v>
      </c>
      <c r="G231" s="28">
        <v>1.9319769164561955E-2</v>
      </c>
      <c r="H231" s="28">
        <v>1.1585857300415664E-2</v>
      </c>
      <c r="I231" s="28">
        <v>2.1129523887254777E-2</v>
      </c>
      <c r="J231" s="28">
        <v>-3.4162929687192507E-3</v>
      </c>
      <c r="K231" s="28">
        <v>-2.0378887927500837E-3</v>
      </c>
      <c r="L231" s="28">
        <v>3.5269818729751011E-2</v>
      </c>
      <c r="M231" s="28">
        <v>3.1723367070368722E-3</v>
      </c>
      <c r="N231" s="28">
        <v>1.481817643692912E-2</v>
      </c>
    </row>
    <row r="232" spans="1:14">
      <c r="A232" s="4">
        <v>39241</v>
      </c>
      <c r="B232" s="28">
        <v>-2.4175188589852428E-2</v>
      </c>
      <c r="C232" s="28">
        <v>-7.0891928337508446E-3</v>
      </c>
      <c r="D232" s="28">
        <v>-4.0887126750092949E-2</v>
      </c>
      <c r="E232" s="28">
        <v>-5.6300616622454974E-2</v>
      </c>
      <c r="F232" s="28">
        <v>-4.4680920760155833E-2</v>
      </c>
      <c r="G232" s="28">
        <v>-1.1392225463631072E-2</v>
      </c>
      <c r="H232" s="28">
        <v>-6.7518621217442329E-2</v>
      </c>
      <c r="I232" s="28">
        <v>-1.8414337975345103E-2</v>
      </c>
      <c r="J232" s="28">
        <v>-5.0005516328331806E-2</v>
      </c>
      <c r="K232" s="28">
        <v>-5.0589228470059464E-2</v>
      </c>
      <c r="L232" s="28">
        <v>-3.5900966663961517E-2</v>
      </c>
      <c r="M232" s="28">
        <v>-2.7298225953441335E-2</v>
      </c>
      <c r="N232" s="28">
        <v>-4.7266293358220676E-2</v>
      </c>
    </row>
    <row r="233" spans="1:14">
      <c r="A233" s="4">
        <v>39248</v>
      </c>
      <c r="B233" s="28">
        <v>2.0990838183274144E-2</v>
      </c>
      <c r="C233" s="28">
        <v>-2.7162314229171886E-3</v>
      </c>
      <c r="D233" s="28">
        <v>-5.4687163587821639E-3</v>
      </c>
      <c r="E233" s="28">
        <v>2.7733617284272458E-2</v>
      </c>
      <c r="F233" s="28">
        <v>2.0260109236082149E-2</v>
      </c>
      <c r="G233" s="28">
        <v>3.500456809610471E-5</v>
      </c>
      <c r="H233" s="28">
        <v>2.133831002383417E-2</v>
      </c>
      <c r="I233" s="28">
        <v>2.8336987159411218E-2</v>
      </c>
      <c r="J233" s="28">
        <v>3.6391387841609855E-2</v>
      </c>
      <c r="K233" s="28">
        <v>9.7539727838023976E-3</v>
      </c>
      <c r="L233" s="28">
        <v>2.0255794505949856E-2</v>
      </c>
      <c r="M233" s="28">
        <v>6.5749397462722568E-3</v>
      </c>
      <c r="N233" s="28">
        <v>2.374441337931877E-2</v>
      </c>
    </row>
    <row r="234" spans="1:14">
      <c r="A234" s="4">
        <v>39255</v>
      </c>
      <c r="B234" s="28">
        <v>-1.3043317152703226E-2</v>
      </c>
      <c r="C234" s="28">
        <v>1.9843585852690202E-3</v>
      </c>
      <c r="D234" s="28">
        <v>-1.848804987876693E-2</v>
      </c>
      <c r="E234" s="28">
        <v>-1.9942761918562594E-2</v>
      </c>
      <c r="F234" s="28">
        <v>-3.0852550160600338E-2</v>
      </c>
      <c r="G234" s="28">
        <v>3.5944932741076796E-2</v>
      </c>
      <c r="H234" s="28">
        <v>-2.9533496246395043E-2</v>
      </c>
      <c r="I234" s="28">
        <v>2.8305334584038902E-2</v>
      </c>
      <c r="J234" s="28">
        <v>-1.9809904952476236E-2</v>
      </c>
      <c r="K234" s="28">
        <v>3.4872685839404845E-2</v>
      </c>
      <c r="L234" s="28">
        <v>-2.0248957087588317E-2</v>
      </c>
      <c r="M234" s="28">
        <v>-7.6502588458174257E-3</v>
      </c>
      <c r="N234" s="28">
        <v>-2.3522610611089425E-2</v>
      </c>
    </row>
    <row r="235" spans="1:14">
      <c r="A235" s="4">
        <v>39262</v>
      </c>
      <c r="B235" s="28">
        <v>2.6656654777548285E-3</v>
      </c>
      <c r="C235" s="28">
        <v>6.2907735321528603E-3</v>
      </c>
      <c r="D235" s="28">
        <v>-1.3542723543164645E-2</v>
      </c>
      <c r="E235" s="28">
        <v>6.8383018833053028E-3</v>
      </c>
      <c r="F235" s="28">
        <v>8.7538084268410851E-3</v>
      </c>
      <c r="G235" s="28">
        <v>-9.9136358107286705E-3</v>
      </c>
      <c r="H235" s="28">
        <v>2.029195921191428E-2</v>
      </c>
      <c r="I235" s="28">
        <v>-5.0556506595743908E-3</v>
      </c>
      <c r="J235" s="28">
        <v>-2.7371644380932925E-2</v>
      </c>
      <c r="K235" s="28">
        <v>1.2266464285816975E-2</v>
      </c>
      <c r="L235" s="28">
        <v>1.8096628872428817E-2</v>
      </c>
      <c r="M235" s="28">
        <v>3.8479895000597011E-3</v>
      </c>
      <c r="N235" s="28">
        <v>4.8944053731281925E-3</v>
      </c>
    </row>
    <row r="236" spans="1:14">
      <c r="A236" s="4">
        <v>39269</v>
      </c>
      <c r="B236" s="28">
        <v>1.810454579495244E-2</v>
      </c>
      <c r="C236" s="28">
        <v>-4.3991664737207167E-3</v>
      </c>
      <c r="D236" s="28">
        <v>2.3387890170825463E-2</v>
      </c>
      <c r="E236" s="28">
        <v>9.1084310810066443E-3</v>
      </c>
      <c r="F236" s="28">
        <v>1.7650352123051452E-2</v>
      </c>
      <c r="G236" s="28">
        <v>6.8834421988792907E-3</v>
      </c>
      <c r="H236" s="28">
        <v>-4.2689434364995022E-3</v>
      </c>
      <c r="I236" s="28">
        <v>3.9302245970202626E-2</v>
      </c>
      <c r="J236" s="28">
        <v>1.4860150868311396E-2</v>
      </c>
      <c r="K236" s="28">
        <v>5.2501093358627272E-2</v>
      </c>
      <c r="L236" s="28">
        <v>2.7523694646968553E-2</v>
      </c>
      <c r="M236" s="28">
        <v>1.0978053797416112E-2</v>
      </c>
      <c r="N236" s="28">
        <v>1.4296815086060155E-2</v>
      </c>
    </row>
    <row r="237" spans="1:14">
      <c r="A237" s="4">
        <v>39276</v>
      </c>
      <c r="B237" s="28">
        <v>1.4362161863954875E-2</v>
      </c>
      <c r="C237" s="28">
        <v>6.2403100775194325E-3</v>
      </c>
      <c r="D237" s="28">
        <v>-8.7393489185050744E-4</v>
      </c>
      <c r="E237" s="28">
        <v>2.5466954807129187E-5</v>
      </c>
      <c r="F237" s="28">
        <v>1.8145316963941185E-2</v>
      </c>
      <c r="G237" s="28">
        <v>1.1815387118313215E-2</v>
      </c>
      <c r="H237" s="28">
        <v>2.9977224008575151E-3</v>
      </c>
      <c r="I237" s="28">
        <v>8.114270002119485E-3</v>
      </c>
      <c r="J237" s="28">
        <v>7.6315038405697436E-3</v>
      </c>
      <c r="K237" s="28">
        <v>2.317511798021113E-2</v>
      </c>
      <c r="L237" s="28">
        <v>2.0904564043725343E-2</v>
      </c>
      <c r="M237" s="28">
        <v>9.3696318116798898E-3</v>
      </c>
      <c r="N237" s="28">
        <v>1.3514460823585969E-2</v>
      </c>
    </row>
    <row r="238" spans="1:14">
      <c r="A238" s="4">
        <v>39283</v>
      </c>
      <c r="B238" s="28">
        <v>-7.6142131979694888E-3</v>
      </c>
      <c r="C238" s="28">
        <v>8.0890566619158197E-3</v>
      </c>
      <c r="D238" s="28">
        <v>-1.55259129674175E-2</v>
      </c>
      <c r="E238" s="28">
        <v>1.2456661803814773E-2</v>
      </c>
      <c r="F238" s="28">
        <v>1.279766418929081E-4</v>
      </c>
      <c r="G238" s="28">
        <v>4.7500209362699389E-3</v>
      </c>
      <c r="H238" s="28">
        <v>6.4895671581150652E-3</v>
      </c>
      <c r="I238" s="28">
        <v>5.0970108332788937E-3</v>
      </c>
      <c r="J238" s="28">
        <v>1.0373307718200693E-2</v>
      </c>
      <c r="K238" s="28">
        <v>-2.6518847474433137E-2</v>
      </c>
      <c r="L238" s="28">
        <v>9.0004453864376346E-3</v>
      </c>
      <c r="M238" s="28">
        <v>8.9493999760572335E-3</v>
      </c>
      <c r="N238" s="28">
        <v>2.2923655334937828E-3</v>
      </c>
    </row>
    <row r="239" spans="1:14">
      <c r="A239" s="4">
        <v>39290</v>
      </c>
      <c r="B239" s="28">
        <v>-5.275240530995013E-2</v>
      </c>
      <c r="C239" s="28">
        <v>4.7380688548393614E-3</v>
      </c>
      <c r="D239" s="28">
        <v>-7.1612616614837865E-2</v>
      </c>
      <c r="E239" s="28">
        <v>-5.0553904641444075E-2</v>
      </c>
      <c r="F239" s="28">
        <v>-6.3255024810073904E-2</v>
      </c>
      <c r="G239" s="28">
        <v>-5.0973018206792585E-2</v>
      </c>
      <c r="H239" s="28">
        <v>-3.9941605516509167E-2</v>
      </c>
      <c r="I239" s="28">
        <v>-3.8921317823979208E-2</v>
      </c>
      <c r="J239" s="28">
        <v>-6.2376845039064141E-2</v>
      </c>
      <c r="K239" s="28">
        <v>-5.7744090414090864E-2</v>
      </c>
      <c r="L239" s="28">
        <v>-8.2077151182412836E-2</v>
      </c>
      <c r="M239" s="28">
        <v>-5.9903090396585312E-2</v>
      </c>
      <c r="N239" s="28">
        <v>-6.3014171287738716E-2</v>
      </c>
    </row>
    <row r="240" spans="1:14">
      <c r="A240" s="4">
        <v>39297</v>
      </c>
      <c r="B240" s="28">
        <v>-8.6077772134972221E-3</v>
      </c>
      <c r="C240" s="28">
        <v>4.9439056854915821E-3</v>
      </c>
      <c r="D240" s="28">
        <v>2.2490190448846725E-3</v>
      </c>
      <c r="E240" s="28">
        <v>9.681033047216769E-3</v>
      </c>
      <c r="F240" s="28">
        <v>-6.7946330999311107E-3</v>
      </c>
      <c r="G240" s="28">
        <v>4.082148854398635E-3</v>
      </c>
      <c r="H240" s="28">
        <v>1.0217952262464294E-2</v>
      </c>
      <c r="I240" s="28">
        <v>8.6118660219531244E-3</v>
      </c>
      <c r="J240" s="28">
        <v>2.5656469364762992E-2</v>
      </c>
      <c r="K240" s="28">
        <v>4.6603225713710821E-3</v>
      </c>
      <c r="L240" s="28">
        <v>-4.7265001164785176E-3</v>
      </c>
      <c r="M240" s="28">
        <v>2.6709237712215388E-3</v>
      </c>
      <c r="N240" s="28">
        <v>-9.6795745195722531E-3</v>
      </c>
    </row>
    <row r="241" spans="1:14">
      <c r="A241" s="4">
        <v>39304</v>
      </c>
      <c r="B241" s="28">
        <v>-6.9771362616555723E-3</v>
      </c>
      <c r="C241" s="28">
        <v>-2.7246925260171325E-3</v>
      </c>
      <c r="D241" s="28">
        <v>1.0217235617092455E-2</v>
      </c>
      <c r="E241" s="28">
        <v>-1.6571334327888283E-2</v>
      </c>
      <c r="F241" s="28">
        <v>2.3600067239561276E-2</v>
      </c>
      <c r="G241" s="28">
        <v>-2.0226299437400268E-2</v>
      </c>
      <c r="H241" s="28">
        <v>1.4265351502366144E-2</v>
      </c>
      <c r="I241" s="28">
        <v>-1.2521724930305142E-2</v>
      </c>
      <c r="J241" s="28">
        <v>-3.4558366884804112E-2</v>
      </c>
      <c r="K241" s="28">
        <v>2.4730219687452492E-2</v>
      </c>
      <c r="L241" s="28">
        <v>1.5326913044091416E-2</v>
      </c>
      <c r="M241" s="28">
        <v>-1.4019868000272176E-2</v>
      </c>
      <c r="N241" s="28">
        <v>3.681255345257164E-3</v>
      </c>
    </row>
    <row r="242" spans="1:14">
      <c r="A242" s="4">
        <v>39311</v>
      </c>
      <c r="B242" s="28">
        <v>-2.1666166041974157E-2</v>
      </c>
      <c r="C242" s="28">
        <v>6.1473077069024579E-3</v>
      </c>
      <c r="D242" s="28">
        <v>-5.1183893378704153E-2</v>
      </c>
      <c r="E242" s="28">
        <v>-3.735635469670124E-2</v>
      </c>
      <c r="F242" s="28">
        <v>-3.0341484777004782E-2</v>
      </c>
      <c r="G242" s="28">
        <v>-0.10554394986340991</v>
      </c>
      <c r="H242" s="28">
        <v>-2.3137634070109998E-2</v>
      </c>
      <c r="I242" s="28">
        <v>-0.10832176712045606</v>
      </c>
      <c r="J242" s="28">
        <v>-2.4689197054100092E-2</v>
      </c>
      <c r="K242" s="28">
        <v>-0.12451513992175207</v>
      </c>
      <c r="L242" s="28">
        <v>-3.6310780283672246E-2</v>
      </c>
      <c r="M242" s="28">
        <v>-6.463344363206007E-2</v>
      </c>
      <c r="N242" s="28">
        <v>-3.8413498179354813E-2</v>
      </c>
    </row>
    <row r="243" spans="1:14">
      <c r="A243" s="4">
        <v>39318</v>
      </c>
      <c r="B243" s="28">
        <v>3.6302595044852691E-2</v>
      </c>
      <c r="C243" s="28">
        <v>1.0560060343203076E-3</v>
      </c>
      <c r="D243" s="28">
        <v>6.5700338712891007E-2</v>
      </c>
      <c r="E243" s="28">
        <v>3.9213823030994112E-2</v>
      </c>
      <c r="F243" s="28">
        <v>2.1621871295208022E-2</v>
      </c>
      <c r="G243" s="28">
        <v>0.10109829566550491</v>
      </c>
      <c r="H243" s="28">
        <v>3.239227511278886E-2</v>
      </c>
      <c r="I243" s="28">
        <v>9.3731060543336936E-2</v>
      </c>
      <c r="J243" s="28">
        <v>4.460716352819246E-2</v>
      </c>
      <c r="K243" s="28">
        <v>0.12934402960080379</v>
      </c>
      <c r="L243" s="28">
        <v>1.7064079162263504E-2</v>
      </c>
      <c r="M243" s="28">
        <v>5.8840888718382008E-2</v>
      </c>
      <c r="N243" s="28">
        <v>2.7520007045121805E-2</v>
      </c>
    </row>
    <row r="244" spans="1:14">
      <c r="A244" s="4">
        <v>39325</v>
      </c>
      <c r="B244" s="28">
        <v>5.7708533262913952E-3</v>
      </c>
      <c r="C244" s="28">
        <v>3.7674716497758352E-3</v>
      </c>
      <c r="D244" s="28">
        <v>9.9555971021267776E-3</v>
      </c>
      <c r="E244" s="28">
        <v>2.3972446164865841E-2</v>
      </c>
      <c r="F244" s="28">
        <v>-8.3943695933929169E-3</v>
      </c>
      <c r="G244" s="28">
        <v>1.7552447045344071E-2</v>
      </c>
      <c r="H244" s="28">
        <v>2.8538780970430691E-3</v>
      </c>
      <c r="I244" s="28">
        <v>1.8828103472813051E-2</v>
      </c>
      <c r="J244" s="28">
        <v>3.8463025242568401E-2</v>
      </c>
      <c r="K244" s="28">
        <v>4.1566988179802464E-2</v>
      </c>
      <c r="L244" s="28">
        <v>-1.3535953873852018E-3</v>
      </c>
      <c r="M244" s="28">
        <v>1.84017447167273E-2</v>
      </c>
      <c r="N244" s="28">
        <v>-3.5621310649967667E-3</v>
      </c>
    </row>
    <row r="245" spans="1:14">
      <c r="A245" s="4">
        <v>39332</v>
      </c>
      <c r="B245" s="28">
        <v>-1.2135067463290504E-2</v>
      </c>
      <c r="C245" s="28">
        <v>1.2235859325151036E-2</v>
      </c>
      <c r="D245" s="28">
        <v>-2.2167715660866439E-2</v>
      </c>
      <c r="E245" s="28">
        <v>-2.2830778389641364E-2</v>
      </c>
      <c r="F245" s="28">
        <v>-1.1408828163391432E-2</v>
      </c>
      <c r="G245" s="28">
        <v>1.0807324608132177E-2</v>
      </c>
      <c r="H245" s="28">
        <v>-1.3317251843905821E-2</v>
      </c>
      <c r="I245" s="28">
        <v>1.8937851629719171E-2</v>
      </c>
      <c r="J245" s="28">
        <v>-3.0900502944874605E-2</v>
      </c>
      <c r="K245" s="28">
        <v>-2.7835627433753007E-2</v>
      </c>
      <c r="L245" s="28">
        <v>-2.4140465310732221E-2</v>
      </c>
      <c r="M245" s="28">
        <v>-1.5168308702791356E-2</v>
      </c>
      <c r="N245" s="28">
        <v>-6.3057396745528826E-3</v>
      </c>
    </row>
    <row r="246" spans="1:14">
      <c r="A246" s="4">
        <v>39339</v>
      </c>
      <c r="B246" s="28">
        <v>1.5479956438313463E-2</v>
      </c>
      <c r="C246" s="28">
        <v>-4.6720308502354218E-3</v>
      </c>
      <c r="D246" s="28">
        <v>2.9438212882767757E-2</v>
      </c>
      <c r="E246" s="28">
        <v>1.3479346898988704E-2</v>
      </c>
      <c r="F246" s="28">
        <v>2.4085395538564817E-2</v>
      </c>
      <c r="G246" s="28">
        <v>2.4136691154697541E-2</v>
      </c>
      <c r="H246" s="28">
        <v>2.3940829535660568E-2</v>
      </c>
      <c r="I246" s="28">
        <v>-4.6756368112331219E-3</v>
      </c>
      <c r="J246" s="28">
        <v>2.0673907940504724E-2</v>
      </c>
      <c r="K246" s="28">
        <v>5.5552611246084412E-2</v>
      </c>
      <c r="L246" s="28">
        <v>3.6427008830995596E-2</v>
      </c>
      <c r="M246" s="28">
        <v>9.1980853532301031E-3</v>
      </c>
      <c r="N246" s="28">
        <v>1.9215788106985189E-2</v>
      </c>
    </row>
    <row r="247" spans="1:14">
      <c r="A247" s="4">
        <v>39346</v>
      </c>
      <c r="B247" s="28">
        <v>3.0379439777340804E-2</v>
      </c>
      <c r="C247" s="28">
        <v>-6.3331222292596179E-4</v>
      </c>
      <c r="D247" s="28">
        <v>2.3079398648338054E-2</v>
      </c>
      <c r="E247" s="28">
        <v>3.195022617634239E-2</v>
      </c>
      <c r="F247" s="28">
        <v>3.4562823072573391E-2</v>
      </c>
      <c r="G247" s="28">
        <v>2.7378211019437347E-2</v>
      </c>
      <c r="H247" s="28">
        <v>2.3425078807950622E-2</v>
      </c>
      <c r="I247" s="28">
        <v>3.7407908849541989E-2</v>
      </c>
      <c r="J247" s="28">
        <v>2.0807111884222899E-2</v>
      </c>
      <c r="K247" s="28">
        <v>9.8376684292445282E-2</v>
      </c>
      <c r="L247" s="28">
        <v>5.0743063848968817E-2</v>
      </c>
      <c r="M247" s="28">
        <v>1.9894401343732479E-2</v>
      </c>
      <c r="N247" s="28">
        <v>3.8412951167728179E-2</v>
      </c>
    </row>
    <row r="248" spans="1:14">
      <c r="A248" s="4">
        <v>39353</v>
      </c>
      <c r="B248" s="28">
        <v>1.2062374931076586E-2</v>
      </c>
      <c r="C248" s="28">
        <v>5.5915902482666074E-3</v>
      </c>
      <c r="D248" s="28">
        <v>3.433244955736299E-2</v>
      </c>
      <c r="E248" s="28">
        <v>2.0446502686880273E-2</v>
      </c>
      <c r="F248" s="28">
        <v>-6.3846458939963223E-4</v>
      </c>
      <c r="G248" s="28">
        <v>3.939332008831499E-2</v>
      </c>
      <c r="H248" s="28">
        <v>2.0502179767670686E-2</v>
      </c>
      <c r="I248" s="28">
        <v>2.9203142346251203E-2</v>
      </c>
      <c r="J248" s="28">
        <v>5.8699436763952591E-3</v>
      </c>
      <c r="K248" s="28">
        <v>1.4194600758809673E-2</v>
      </c>
      <c r="L248" s="28">
        <v>3.5672708242104577E-2</v>
      </c>
      <c r="M248" s="28">
        <v>2.1855194152149485E-2</v>
      </c>
      <c r="N248" s="28">
        <v>-6.7625244713422263E-3</v>
      </c>
    </row>
    <row r="249" spans="1:14">
      <c r="A249" s="4">
        <v>39360</v>
      </c>
      <c r="B249" s="28">
        <v>1.8462517905459226E-2</v>
      </c>
      <c r="C249" s="28">
        <v>-2.8173190984578547E-3</v>
      </c>
      <c r="D249" s="28">
        <v>2.5676673762871031E-2</v>
      </c>
      <c r="E249" s="28">
        <v>1.1031667879722021E-2</v>
      </c>
      <c r="F249" s="28">
        <v>1.7084999080410904E-2</v>
      </c>
      <c r="G249" s="28">
        <v>-3.4393282511644635E-3</v>
      </c>
      <c r="H249" s="28">
        <v>5.1516252903715028E-3</v>
      </c>
      <c r="I249" s="28">
        <v>-1.7675748817728596E-3</v>
      </c>
      <c r="J249" s="28">
        <v>3.4928611570382552E-2</v>
      </c>
      <c r="K249" s="28">
        <v>-2.1053205899167596E-2</v>
      </c>
      <c r="L249" s="28">
        <v>-2.0448115720831786E-2</v>
      </c>
      <c r="M249" s="28">
        <v>2.8455365104527841E-2</v>
      </c>
      <c r="N249" s="28">
        <v>2.0188972487828871E-2</v>
      </c>
    </row>
    <row r="250" spans="1:14">
      <c r="A250" s="4">
        <v>39367</v>
      </c>
      <c r="B250" s="28">
        <v>6.9421904864942563E-3</v>
      </c>
      <c r="C250" s="28">
        <v>-1.1152416356877747E-3</v>
      </c>
      <c r="D250" s="28">
        <v>-2.6685869196883421E-3</v>
      </c>
      <c r="E250" s="28">
        <v>1.8815990062672813E-2</v>
      </c>
      <c r="F250" s="28">
        <v>9.6933531292827252E-3</v>
      </c>
      <c r="G250" s="28">
        <v>1.0576773792889244E-3</v>
      </c>
      <c r="H250" s="28">
        <v>1.0302849267114131E-2</v>
      </c>
      <c r="I250" s="28">
        <v>2.1726877043253035E-2</v>
      </c>
      <c r="J250" s="28">
        <v>9.731048458496476E-3</v>
      </c>
      <c r="K250" s="28">
        <v>3.1622871211313915E-3</v>
      </c>
      <c r="L250" s="28">
        <v>8.0695960990810559E-3</v>
      </c>
      <c r="M250" s="28">
        <v>2.3698965337855113E-3</v>
      </c>
      <c r="N250" s="28">
        <v>1.9350575321458723E-2</v>
      </c>
    </row>
    <row r="251" spans="1:14">
      <c r="A251" s="4">
        <v>39374</v>
      </c>
      <c r="B251" s="28">
        <v>-2.8574157310077595E-2</v>
      </c>
      <c r="C251" s="28">
        <v>1.48864905098623E-2</v>
      </c>
      <c r="D251" s="28">
        <v>-4.7398598428541078E-2</v>
      </c>
      <c r="E251" s="28">
        <v>-2.871413331116548E-3</v>
      </c>
      <c r="F251" s="28">
        <v>-3.2066961697795736E-2</v>
      </c>
      <c r="G251" s="28">
        <v>-1.2617328228242694E-2</v>
      </c>
      <c r="H251" s="28">
        <v>-9.5182766472842618E-3</v>
      </c>
      <c r="I251" s="28">
        <v>-1.7438152416985955E-3</v>
      </c>
      <c r="J251" s="28">
        <v>-4.1966735253772314E-2</v>
      </c>
      <c r="K251" s="28">
        <v>-2.3235365874279375E-2</v>
      </c>
      <c r="L251" s="28">
        <v>-2.7683302118652931E-2</v>
      </c>
      <c r="M251" s="28">
        <v>-2.7711569019427222E-3</v>
      </c>
      <c r="N251" s="28">
        <v>-2.0502491673801082E-2</v>
      </c>
    </row>
    <row r="252" spans="1:14">
      <c r="A252" s="4">
        <v>39381</v>
      </c>
      <c r="B252" s="28">
        <v>1.9374224232220308E-2</v>
      </c>
      <c r="C252" s="28">
        <v>3.0803080308031972E-3</v>
      </c>
      <c r="D252" s="28">
        <v>3.5935619064603873E-2</v>
      </c>
      <c r="E252" s="28">
        <v>2.296450939457207E-2</v>
      </c>
      <c r="F252" s="28">
        <v>4.4323366297102498E-2</v>
      </c>
      <c r="G252" s="28">
        <v>2.6329395595405619E-2</v>
      </c>
      <c r="H252" s="28">
        <v>2.7095814654991834E-2</v>
      </c>
      <c r="I252" s="28">
        <v>5.0950125488268602E-4</v>
      </c>
      <c r="J252" s="28">
        <v>2.9246783463974427E-2</v>
      </c>
      <c r="K252" s="28">
        <v>0.10175041175975995</v>
      </c>
      <c r="L252" s="28">
        <v>7.1570313178300163E-2</v>
      </c>
      <c r="M252" s="28">
        <v>2.3181775834540671E-2</v>
      </c>
      <c r="N252" s="28">
        <v>3.2289193149093155E-2</v>
      </c>
    </row>
    <row r="253" spans="1:14">
      <c r="A253" s="4">
        <v>39388</v>
      </c>
      <c r="B253" s="28">
        <v>-7.1611561529884016E-3</v>
      </c>
      <c r="C253" s="28">
        <v>3.9847919865466652E-3</v>
      </c>
      <c r="D253" s="28">
        <v>-2.2509145685388379E-2</v>
      </c>
      <c r="E253" s="28">
        <v>8.6284763489421889E-3</v>
      </c>
      <c r="F253" s="28">
        <v>4.7090637821707894E-3</v>
      </c>
      <c r="G253" s="28">
        <v>-3.5359461286332389E-3</v>
      </c>
      <c r="H253" s="28">
        <v>1.123257497731049E-2</v>
      </c>
      <c r="I253" s="28">
        <v>-2.1660289917551295E-2</v>
      </c>
      <c r="J253" s="28">
        <v>3.0115125143757794E-3</v>
      </c>
      <c r="K253" s="28">
        <v>5.2127244077520736E-2</v>
      </c>
      <c r="L253" s="28">
        <v>-2.493353146511466E-3</v>
      </c>
      <c r="M253" s="28">
        <v>6.2983720309582256E-3</v>
      </c>
      <c r="N253" s="28">
        <v>4.0230813279103954E-3</v>
      </c>
    </row>
    <row r="254" spans="1:14">
      <c r="A254" s="4">
        <v>39395</v>
      </c>
      <c r="B254" s="28">
        <v>-2.9743726738997136E-2</v>
      </c>
      <c r="C254" s="28">
        <v>6.190146742890393E-3</v>
      </c>
      <c r="D254" s="28">
        <v>-3.667664670658688E-2</v>
      </c>
      <c r="E254" s="28">
        <v>-5.8781743319720964E-3</v>
      </c>
      <c r="F254" s="28">
        <v>-2.8878370225996573E-2</v>
      </c>
      <c r="G254" s="28">
        <v>-2.8499937605390945E-2</v>
      </c>
      <c r="H254" s="28">
        <v>5.0068320820455224E-3</v>
      </c>
      <c r="I254" s="28">
        <v>-2.1558739854751211E-2</v>
      </c>
      <c r="J254" s="28">
        <v>-4.188879826313776E-2</v>
      </c>
      <c r="K254" s="28">
        <v>-5.5435016822086992E-2</v>
      </c>
      <c r="L254" s="28">
        <v>-7.3449294003171933E-2</v>
      </c>
      <c r="M254" s="28">
        <v>-7.8970112417747207E-3</v>
      </c>
      <c r="N254" s="28">
        <v>-1.6676172231077743E-2</v>
      </c>
    </row>
    <row r="255" spans="1:14">
      <c r="A255" s="4">
        <v>39402</v>
      </c>
      <c r="B255" s="28">
        <v>-1.0625250300360444E-2</v>
      </c>
      <c r="C255" s="28">
        <v>1.3389787572829753E-3</v>
      </c>
      <c r="D255" s="28">
        <v>-2.8291969468440047E-2</v>
      </c>
      <c r="E255" s="28">
        <v>3.1494996359459205E-4</v>
      </c>
      <c r="F255" s="28">
        <v>7.9659000224593813E-3</v>
      </c>
      <c r="G255" s="28">
        <v>-4.5165008892694702E-2</v>
      </c>
      <c r="H255" s="28">
        <v>-7.4703243997150844E-3</v>
      </c>
      <c r="I255" s="28">
        <v>-1.1242058923700943E-2</v>
      </c>
      <c r="J255" s="28">
        <v>7.5094587925646564E-3</v>
      </c>
      <c r="K255" s="28">
        <v>-5.5094919197280462E-2</v>
      </c>
      <c r="L255" s="28">
        <v>7.1953980397384501E-2</v>
      </c>
      <c r="M255" s="28">
        <v>-2.5260244677170713E-2</v>
      </c>
      <c r="N255" s="28">
        <v>-1.2289190073467427E-2</v>
      </c>
    </row>
    <row r="256" spans="1:14">
      <c r="A256" s="4">
        <v>39409</v>
      </c>
      <c r="B256" s="28">
        <v>-8.9810891151728672E-3</v>
      </c>
      <c r="C256" s="28">
        <v>8.4929526563065523E-3</v>
      </c>
      <c r="D256" s="28">
        <v>-1.4581373471307594E-2</v>
      </c>
      <c r="E256" s="28">
        <v>1.3440405175740237E-3</v>
      </c>
      <c r="F256" s="28">
        <v>-8.2822114974353371E-3</v>
      </c>
      <c r="G256" s="28">
        <v>-3.9184980010831184E-2</v>
      </c>
      <c r="H256" s="28">
        <v>6.8744850454682859E-4</v>
      </c>
      <c r="I256" s="28">
        <v>-2.9312882352773663E-2</v>
      </c>
      <c r="J256" s="28">
        <v>3.5263239532054839E-2</v>
      </c>
      <c r="K256" s="28">
        <v>-0.10488775002868413</v>
      </c>
      <c r="L256" s="28">
        <v>-1.2116168859144452E-2</v>
      </c>
      <c r="M256" s="28">
        <v>-2.1684982157721879E-2</v>
      </c>
      <c r="N256" s="28">
        <v>-1.1754490747479245E-2</v>
      </c>
    </row>
    <row r="257" spans="1:14">
      <c r="A257" s="4">
        <v>39416</v>
      </c>
      <c r="B257" s="28">
        <v>2.8106452230518834E-2</v>
      </c>
      <c r="C257" s="28">
        <v>-3.1535567102669608E-3</v>
      </c>
      <c r="D257" s="28">
        <v>4.6491646778043003E-2</v>
      </c>
      <c r="E257" s="28">
        <v>2.7859014453554251E-2</v>
      </c>
      <c r="F257" s="28">
        <v>1.1195724399699826E-2</v>
      </c>
      <c r="G257" s="28">
        <v>7.5251214337257316E-2</v>
      </c>
      <c r="H257" s="28">
        <v>2.0957826730447701E-2</v>
      </c>
      <c r="I257" s="28">
        <v>3.093125150301183E-2</v>
      </c>
      <c r="J257" s="28">
        <v>3.9428289797930012E-2</v>
      </c>
      <c r="K257" s="28">
        <v>0.16723012668503923</v>
      </c>
      <c r="L257" s="28">
        <v>3.0181014397514892E-2</v>
      </c>
      <c r="M257" s="28">
        <v>4.9875171906588356E-2</v>
      </c>
      <c r="N257" s="28">
        <v>4.2711819645405973E-3</v>
      </c>
    </row>
    <row r="258" spans="1:14">
      <c r="A258" s="4">
        <v>39423</v>
      </c>
      <c r="B258" s="28">
        <v>1.1862639204439581E-2</v>
      </c>
      <c r="C258" s="28">
        <v>-8.0885789265557027E-3</v>
      </c>
      <c r="D258" s="28">
        <v>1.5325670498084223E-2</v>
      </c>
      <c r="E258" s="28">
        <v>1.5262404815551444E-3</v>
      </c>
      <c r="F258" s="28">
        <v>4.822033858241574E-3</v>
      </c>
      <c r="G258" s="28">
        <v>1.8179814896430238E-2</v>
      </c>
      <c r="H258" s="28">
        <v>1.2997357979002356E-2</v>
      </c>
      <c r="I258" s="28">
        <v>-7.1715278113612356E-3</v>
      </c>
      <c r="J258" s="28">
        <v>-4.8515884305357854E-3</v>
      </c>
      <c r="K258" s="28">
        <v>-1.5488623754560285E-3</v>
      </c>
      <c r="L258" s="28">
        <v>-2.7835446121014601E-2</v>
      </c>
      <c r="M258" s="28">
        <v>1.2137965697053424E-2</v>
      </c>
      <c r="N258" s="28">
        <v>1.9252359134629939E-2</v>
      </c>
    </row>
    <row r="259" spans="1:14">
      <c r="A259" s="4">
        <v>39430</v>
      </c>
      <c r="B259" s="28">
        <v>-2.9404006012085558E-2</v>
      </c>
      <c r="C259" s="28">
        <v>-5.5088431429401227E-3</v>
      </c>
      <c r="D259" s="28">
        <v>-6.5498652291105047E-2</v>
      </c>
      <c r="E259" s="28">
        <v>-6.8017827173631144E-3</v>
      </c>
      <c r="F259" s="28">
        <v>-2.5283581668226991E-2</v>
      </c>
      <c r="G259" s="28">
        <v>-4.9420730407636594E-2</v>
      </c>
      <c r="H259" s="28">
        <v>3.6630931158258937E-4</v>
      </c>
      <c r="I259" s="28">
        <v>-3.6715490762389363E-2</v>
      </c>
      <c r="J259" s="28">
        <v>-1.9962187340382506E-2</v>
      </c>
      <c r="K259" s="28">
        <v>-4.2509703999376841E-2</v>
      </c>
      <c r="L259" s="28">
        <v>-5.5016898254273201E-2</v>
      </c>
      <c r="M259" s="28">
        <v>-2.8711623691822501E-2</v>
      </c>
      <c r="N259" s="28">
        <v>-1.7941046594128516E-2</v>
      </c>
    </row>
    <row r="260" spans="1:14">
      <c r="A260" s="4">
        <v>39437</v>
      </c>
      <c r="B260" s="28">
        <v>-9.9233939271353407E-4</v>
      </c>
      <c r="C260" s="28">
        <v>9.1107871720116623E-3</v>
      </c>
      <c r="D260" s="28">
        <v>-1.7402172867993483E-2</v>
      </c>
      <c r="E260" s="28">
        <v>-2.1444538504272345E-2</v>
      </c>
      <c r="F260" s="28">
        <v>2.8092192590804789E-2</v>
      </c>
      <c r="G260" s="28">
        <v>-1.357793860950322E-2</v>
      </c>
      <c r="H260" s="28">
        <v>-1.1966604823747567E-2</v>
      </c>
      <c r="I260" s="28">
        <v>-2.0738026258648356E-2</v>
      </c>
      <c r="J260" s="28">
        <v>-1.761898649988993E-3</v>
      </c>
      <c r="K260" s="28">
        <v>1.3521080920679226E-3</v>
      </c>
      <c r="L260" s="28">
        <v>3.6524331518975071E-2</v>
      </c>
      <c r="M260" s="28">
        <v>-1.4903196326605058E-2</v>
      </c>
      <c r="N260" s="28">
        <v>1.7147216482345063E-2</v>
      </c>
    </row>
    <row r="261" spans="1:14">
      <c r="A261" s="4">
        <v>39444</v>
      </c>
      <c r="B261" s="28">
        <v>9.0095220018348108E-3</v>
      </c>
      <c r="C261" s="28">
        <v>-1.083423618634722E-3</v>
      </c>
      <c r="D261" s="28">
        <v>1.3209393346378757E-3</v>
      </c>
      <c r="E261" s="28">
        <v>1.1989605404108507E-2</v>
      </c>
      <c r="F261" s="28">
        <v>3.5634639310782629E-3</v>
      </c>
      <c r="G261" s="28">
        <v>7.8756128779559707E-3</v>
      </c>
      <c r="H261" s="28">
        <v>8.2374276692575663E-3</v>
      </c>
      <c r="I261" s="28">
        <v>2.058793154770951E-2</v>
      </c>
      <c r="J261" s="28">
        <v>-1.036406707811177E-3</v>
      </c>
      <c r="K261" s="28">
        <v>1.4757510796284212E-2</v>
      </c>
      <c r="L261" s="28">
        <v>8.2257804921547772E-3</v>
      </c>
      <c r="M261" s="28">
        <v>2.5430683546932087E-3</v>
      </c>
      <c r="N261" s="28">
        <v>7.9919732574368664E-3</v>
      </c>
    </row>
    <row r="262" spans="1:14">
      <c r="A262" s="4">
        <v>39451</v>
      </c>
      <c r="B262" s="28">
        <v>-3.2280112115074727E-2</v>
      </c>
      <c r="C262" s="28">
        <v>1.8582791033984043E-2</v>
      </c>
      <c r="D262" s="28">
        <v>-2.3647823325352885E-2</v>
      </c>
      <c r="E262" s="28">
        <v>-1.884322689008279E-2</v>
      </c>
      <c r="F262" s="28">
        <v>-3.4895253422158254E-2</v>
      </c>
      <c r="G262" s="28">
        <v>-1.2737770560517435E-2</v>
      </c>
      <c r="H262" s="28">
        <v>-1.808014271991211E-2</v>
      </c>
      <c r="I262" s="28">
        <v>-4.7678571428571371E-3</v>
      </c>
      <c r="J262" s="28">
        <v>-2.1276180818284713E-2</v>
      </c>
      <c r="K262" s="28">
        <v>-1.0268342887288536E-2</v>
      </c>
      <c r="L262" s="28">
        <v>-6.4432344743677053E-2</v>
      </c>
      <c r="M262" s="28">
        <v>-1.7636610121233565E-2</v>
      </c>
      <c r="N262" s="28">
        <v>-2.472700752946734E-2</v>
      </c>
    </row>
    <row r="263" spans="1:14">
      <c r="A263" s="4">
        <v>39458</v>
      </c>
      <c r="B263" s="28">
        <v>-1.774108895814832E-2</v>
      </c>
      <c r="C263" s="28">
        <v>9.9382409313541814E-4</v>
      </c>
      <c r="D263" s="28">
        <v>-3.9883901316118693E-2</v>
      </c>
      <c r="E263" s="28">
        <v>-1.183685693671134E-2</v>
      </c>
      <c r="F263" s="28">
        <v>-6.5488741850261833E-3</v>
      </c>
      <c r="G263" s="28">
        <v>-6.3087158687927048E-3</v>
      </c>
      <c r="H263" s="28">
        <v>-6.6284995532750537E-3</v>
      </c>
      <c r="I263" s="28">
        <v>-7.9785166179223068E-3</v>
      </c>
      <c r="J263" s="28">
        <v>-2.8700659533345281E-2</v>
      </c>
      <c r="K263" s="28">
        <v>-4.0209781889655113E-2</v>
      </c>
      <c r="L263" s="28">
        <v>-2.8173248971611012E-2</v>
      </c>
      <c r="M263" s="28">
        <v>-5.9580662797819959E-3</v>
      </c>
      <c r="N263" s="28">
        <v>1.0726664578259692E-2</v>
      </c>
    </row>
    <row r="264" spans="1:14">
      <c r="A264" s="4">
        <v>39465</v>
      </c>
      <c r="B264" s="28">
        <v>-5.1539319097847598E-2</v>
      </c>
      <c r="C264" s="28">
        <v>5.9215658463939299E-3</v>
      </c>
      <c r="D264" s="28">
        <v>-2.0952778067340822E-2</v>
      </c>
      <c r="E264" s="28">
        <v>-8.2865507146547088E-3</v>
      </c>
      <c r="F264" s="28">
        <v>-5.1223748926536035E-2</v>
      </c>
      <c r="G264" s="28">
        <v>-7.1367938542506754E-2</v>
      </c>
      <c r="H264" s="28">
        <v>-2.6027665700259751E-2</v>
      </c>
      <c r="I264" s="28">
        <v>-5.2560817532330543E-2</v>
      </c>
      <c r="J264" s="28">
        <v>3.8607820853146083E-3</v>
      </c>
      <c r="K264" s="28">
        <v>-9.2634647996271177E-2</v>
      </c>
      <c r="L264" s="28">
        <v>-7.1230760178195449E-2</v>
      </c>
      <c r="M264" s="28">
        <v>-3.0691189577652423E-2</v>
      </c>
      <c r="N264" s="28">
        <v>-3.8927019960908069E-2</v>
      </c>
    </row>
    <row r="265" spans="1:14">
      <c r="A265" s="4">
        <v>39472</v>
      </c>
      <c r="B265" s="28">
        <v>8.0678814856035739E-4</v>
      </c>
      <c r="C265" s="28">
        <v>1.515739010892195E-3</v>
      </c>
      <c r="D265" s="28">
        <v>5.0149063032367908E-2</v>
      </c>
      <c r="E265" s="28">
        <v>-3.5364515322423781E-2</v>
      </c>
      <c r="F265" s="28">
        <v>-1.7994713185151667E-2</v>
      </c>
      <c r="G265" s="28">
        <v>9.3352224685208443E-3</v>
      </c>
      <c r="H265" s="28">
        <v>-3.6066013547325401E-2</v>
      </c>
      <c r="I265" s="28">
        <v>-1.3748273909142407E-2</v>
      </c>
      <c r="J265" s="28">
        <v>-2.4436597268201757E-2</v>
      </c>
      <c r="K265" s="28">
        <v>4.1914400629534873E-3</v>
      </c>
      <c r="L265" s="28">
        <v>-1.7616643845416607E-3</v>
      </c>
      <c r="M265" s="28">
        <v>-1.8649803452401279E-2</v>
      </c>
      <c r="N265" s="28">
        <v>-2.5091805632132497E-2</v>
      </c>
    </row>
    <row r="266" spans="1:14">
      <c r="A266" s="4">
        <v>39479</v>
      </c>
      <c r="B266" s="28">
        <v>3.3774392616889914E-2</v>
      </c>
      <c r="C266" s="28">
        <v>3.9771927354638721E-3</v>
      </c>
      <c r="D266" s="28">
        <v>1.6931967961066632E-2</v>
      </c>
      <c r="E266" s="28">
        <v>2.0917263402709489E-2</v>
      </c>
      <c r="F266" s="28">
        <v>5.0637087778284053E-2</v>
      </c>
      <c r="G266" s="28">
        <v>2.3176921190166077E-2</v>
      </c>
      <c r="H266" s="28">
        <v>1.808957013187187E-2</v>
      </c>
      <c r="I266" s="28">
        <v>3.1412413339226286E-2</v>
      </c>
      <c r="J266" s="28">
        <v>9.6231592618195843E-3</v>
      </c>
      <c r="K266" s="28">
        <v>-3.3984729999618473E-3</v>
      </c>
      <c r="L266" s="28">
        <v>8.0119071016771529E-2</v>
      </c>
      <c r="M266" s="28">
        <v>3.5427420984067946E-2</v>
      </c>
      <c r="N266" s="28">
        <v>4.2666595528997507E-2</v>
      </c>
    </row>
    <row r="267" spans="1:14">
      <c r="A267" s="4">
        <v>39486</v>
      </c>
      <c r="B267" s="28">
        <v>-4.9060205974885064E-2</v>
      </c>
      <c r="C267" s="28">
        <v>-4.2418930762488328E-3</v>
      </c>
      <c r="D267" s="28">
        <v>-6.2163509471585242E-2</v>
      </c>
      <c r="E267" s="28">
        <v>-3.1607604444742275E-2</v>
      </c>
      <c r="F267" s="28">
        <v>-2.1847709056107265E-2</v>
      </c>
      <c r="G267" s="28">
        <v>-3.4402003341360871E-2</v>
      </c>
      <c r="H267" s="28">
        <v>-2.0754042517400182E-2</v>
      </c>
      <c r="I267" s="28">
        <v>-3.189765725188453E-2</v>
      </c>
      <c r="J267" s="28">
        <v>-3.151556898154307E-2</v>
      </c>
      <c r="K267" s="28">
        <v>-7.1466599684931076E-2</v>
      </c>
      <c r="L267" s="28">
        <v>-3.9271620335796065E-2</v>
      </c>
      <c r="M267" s="28">
        <v>-4.5077624341917144E-2</v>
      </c>
      <c r="N267" s="28">
        <v>-1.3201860541276259E-2</v>
      </c>
    </row>
    <row r="268" spans="1:14">
      <c r="A268" s="4">
        <v>39493</v>
      </c>
      <c r="B268" s="28">
        <v>1.7616536357081308E-2</v>
      </c>
      <c r="C268" s="28">
        <v>-6.7596113223490203E-3</v>
      </c>
      <c r="D268" s="28">
        <v>1.5255408494126427E-2</v>
      </c>
      <c r="E268" s="28">
        <v>2.8466031579560711E-2</v>
      </c>
      <c r="F268" s="28">
        <v>4.0869782350572955E-3</v>
      </c>
      <c r="G268" s="28">
        <v>1.8512789369755363E-2</v>
      </c>
      <c r="H268" s="28">
        <v>5.8030921193901359E-3</v>
      </c>
      <c r="I268" s="28">
        <v>1.913334539533209E-2</v>
      </c>
      <c r="J268" s="28">
        <v>1.0102957621563423E-2</v>
      </c>
      <c r="K268" s="28">
        <v>6.150082477440004E-2</v>
      </c>
      <c r="L268" s="28">
        <v>2.8189076732766074E-2</v>
      </c>
      <c r="M268" s="28">
        <v>2.953164356296124E-2</v>
      </c>
      <c r="N268" s="28">
        <v>1.1900625884768777E-2</v>
      </c>
    </row>
    <row r="269" spans="1:14">
      <c r="A269" s="4">
        <v>39500</v>
      </c>
      <c r="B269" s="28">
        <v>6.550885724209839E-3</v>
      </c>
      <c r="C269" s="28">
        <v>1.7368495675599358E-3</v>
      </c>
      <c r="D269" s="28">
        <v>-2.0837696335078482E-2</v>
      </c>
      <c r="E269" s="28">
        <v>-6.0547047888819721E-3</v>
      </c>
      <c r="F269" s="28">
        <v>6.1258152104956805E-3</v>
      </c>
      <c r="G269" s="28">
        <v>-1.6237540593851212E-3</v>
      </c>
      <c r="H269" s="28">
        <v>-1.5707644600530441E-2</v>
      </c>
      <c r="I269" s="28">
        <v>3.0513514713062E-2</v>
      </c>
      <c r="J269" s="28">
        <v>-4.5852686051198908E-3</v>
      </c>
      <c r="K269" s="28">
        <v>-9.7836896033063336E-3</v>
      </c>
      <c r="L269" s="28">
        <v>3.0141935830498269E-2</v>
      </c>
      <c r="M269" s="28">
        <v>-3.3943773781172403E-3</v>
      </c>
      <c r="N269" s="28">
        <v>1.8858062334094331E-3</v>
      </c>
    </row>
    <row r="270" spans="1:14">
      <c r="A270" s="4">
        <v>39507</v>
      </c>
      <c r="B270" s="28">
        <v>4.5757904108548247E-3</v>
      </c>
      <c r="C270" s="28">
        <v>1.6772230282014116E-2</v>
      </c>
      <c r="D270" s="28">
        <v>1.8607635547000265E-2</v>
      </c>
      <c r="E270" s="28">
        <v>1.7266622731239797E-2</v>
      </c>
      <c r="F270" s="28">
        <v>-2.0137004267511461E-2</v>
      </c>
      <c r="G270" s="28">
        <v>4.47728117851659E-3</v>
      </c>
      <c r="H270" s="28">
        <v>-1.2948844472882316E-2</v>
      </c>
      <c r="I270" s="28">
        <v>-4.3222922607896357E-3</v>
      </c>
      <c r="J270" s="28">
        <v>1.4309211928036504E-2</v>
      </c>
      <c r="K270" s="28">
        <v>3.6122603691985812E-2</v>
      </c>
      <c r="L270" s="28">
        <v>-2.9111899854617446E-2</v>
      </c>
      <c r="M270" s="28">
        <v>1.9168703820693796E-2</v>
      </c>
      <c r="N270" s="28">
        <v>1.1201473070431461E-3</v>
      </c>
    </row>
    <row r="271" spans="1:14">
      <c r="A271" s="4">
        <v>39514</v>
      </c>
      <c r="B271" s="28">
        <v>-3.0428151364423291E-2</v>
      </c>
      <c r="C271" s="28">
        <v>-4.0020880459371291E-3</v>
      </c>
      <c r="D271" s="28">
        <v>-5.6797900262467158E-2</v>
      </c>
      <c r="E271" s="28">
        <v>-1.8041616181424695E-2</v>
      </c>
      <c r="F271" s="28">
        <v>-1.2854568854568869E-2</v>
      </c>
      <c r="G271" s="28">
        <v>-9.3170047676918707E-2</v>
      </c>
      <c r="H271" s="28">
        <v>-1.2783607097731133E-2</v>
      </c>
      <c r="I271" s="28">
        <v>-4.2091245589425751E-2</v>
      </c>
      <c r="J271" s="28">
        <v>-2.3160751495597275E-2</v>
      </c>
      <c r="K271" s="28">
        <v>-9.3633737411917148E-2</v>
      </c>
      <c r="L271" s="28">
        <v>-4.4120595398772756E-2</v>
      </c>
      <c r="M271" s="28">
        <v>-4.2204696822182988E-2</v>
      </c>
      <c r="N271" s="28">
        <v>-8.9256063230282821E-3</v>
      </c>
    </row>
    <row r="272" spans="1:14">
      <c r="A272" s="4">
        <v>39521</v>
      </c>
      <c r="B272" s="28">
        <v>-2.324147753441916E-3</v>
      </c>
      <c r="C272" s="28">
        <v>1.0482180293501049E-2</v>
      </c>
      <c r="D272" s="28">
        <v>-4.7306322350845632E-3</v>
      </c>
      <c r="E272" s="28">
        <v>9.1865482686067611E-3</v>
      </c>
      <c r="F272" s="28">
        <v>-2.930853754569624E-3</v>
      </c>
      <c r="G272" s="28">
        <v>-7.995579545501539E-3</v>
      </c>
      <c r="H272" s="28">
        <v>1.6360327874326275E-3</v>
      </c>
      <c r="I272" s="28">
        <v>-1.0621518493311907E-2</v>
      </c>
      <c r="J272" s="28">
        <v>1.3061298216489789E-2</v>
      </c>
      <c r="K272" s="28">
        <v>-4.3046209663726687E-2</v>
      </c>
      <c r="L272" s="28">
        <v>2.4376120834908787E-3</v>
      </c>
      <c r="M272" s="28">
        <v>-6.2361287463376432E-3</v>
      </c>
      <c r="N272" s="28">
        <v>1.151653246177488E-2</v>
      </c>
    </row>
    <row r="273" spans="1:14">
      <c r="A273" s="4">
        <v>39528</v>
      </c>
      <c r="B273" s="28">
        <v>-7.1733464016079018E-4</v>
      </c>
      <c r="C273" s="28">
        <v>4.4260027662518311E-3</v>
      </c>
      <c r="D273" s="28">
        <v>1.8900631885030449E-2</v>
      </c>
      <c r="E273" s="28">
        <v>-3.8832309725569579E-2</v>
      </c>
      <c r="F273" s="28">
        <v>-1.1857252694949067E-2</v>
      </c>
      <c r="G273" s="28">
        <v>-4.9644594089038471E-2</v>
      </c>
      <c r="H273" s="28">
        <v>-2.421151463635501E-2</v>
      </c>
      <c r="I273" s="28">
        <v>-4.6955382117637917E-2</v>
      </c>
      <c r="J273" s="28">
        <v>-1.2549032926352946E-2</v>
      </c>
      <c r="K273" s="28">
        <v>-2.4755803746521407E-2</v>
      </c>
      <c r="L273" s="28">
        <v>7.0848216430940197E-3</v>
      </c>
      <c r="M273" s="28">
        <v>-4.9915409608619087E-2</v>
      </c>
      <c r="N273" s="28">
        <v>-3.6184612875606474E-2</v>
      </c>
    </row>
    <row r="274" spans="1:14">
      <c r="A274" s="4">
        <v>39535</v>
      </c>
      <c r="B274" s="28">
        <v>2.0355655375342844E-2</v>
      </c>
      <c r="C274" s="28">
        <v>-3.442577802258331E-3</v>
      </c>
      <c r="D274" s="28">
        <v>3.0239833159541138E-2</v>
      </c>
      <c r="E274" s="28">
        <v>2.3783350551660518E-2</v>
      </c>
      <c r="F274" s="28">
        <v>7.0292816158878555E-3</v>
      </c>
      <c r="G274" s="28">
        <v>8.914520157286758E-2</v>
      </c>
      <c r="H274" s="28">
        <v>-3.2965343687906389E-3</v>
      </c>
      <c r="I274" s="28">
        <v>6.7850240306497653E-2</v>
      </c>
      <c r="J274" s="28">
        <v>1.0614789337919197E-2</v>
      </c>
      <c r="K274" s="28">
        <v>9.757584462424794E-2</v>
      </c>
      <c r="L274" s="28">
        <v>1.8957765268054007E-2</v>
      </c>
      <c r="M274" s="28">
        <v>5.4773036303015707E-2</v>
      </c>
      <c r="N274" s="28">
        <v>1.9749783201844322E-2</v>
      </c>
    </row>
    <row r="275" spans="1:14">
      <c r="A275" s="4">
        <v>39542</v>
      </c>
      <c r="B275" s="28">
        <v>3.9669271812875308E-2</v>
      </c>
      <c r="C275" s="28">
        <v>-6.528948459306491E-3</v>
      </c>
      <c r="D275" s="28">
        <v>6.0622203281483038E-2</v>
      </c>
      <c r="E275" s="28">
        <v>2.4340493992085283E-2</v>
      </c>
      <c r="F275" s="28">
        <v>4.0435842987195963E-2</v>
      </c>
      <c r="G275" s="28">
        <v>3.8488723253871419E-2</v>
      </c>
      <c r="H275" s="28">
        <v>4.415628927224962E-2</v>
      </c>
      <c r="I275" s="28">
        <v>1.1445686645097229E-2</v>
      </c>
      <c r="J275" s="28">
        <v>2.3525007550974277E-2</v>
      </c>
      <c r="K275" s="28">
        <v>4.6752317695913634E-2</v>
      </c>
      <c r="L275" s="28">
        <v>5.5681512208256442E-2</v>
      </c>
      <c r="M275" s="28">
        <v>3.3856282095656415E-2</v>
      </c>
      <c r="N275" s="28">
        <v>2.5734893778098174E-2</v>
      </c>
    </row>
    <row r="276" spans="1:14">
      <c r="A276" s="4">
        <v>39549</v>
      </c>
      <c r="B276" s="28">
        <v>-2.0870042946059392E-2</v>
      </c>
      <c r="C276" s="28">
        <v>9.3883653812721086E-3</v>
      </c>
      <c r="D276" s="28">
        <v>-3.0336514314414829E-2</v>
      </c>
      <c r="E276" s="28">
        <v>-1.1526973398213498E-2</v>
      </c>
      <c r="F276" s="28">
        <v>-1.8111091464800898E-2</v>
      </c>
      <c r="G276" s="28">
        <v>-4.2352431629748784E-2</v>
      </c>
      <c r="H276" s="28">
        <v>-1.0257672739208927E-2</v>
      </c>
      <c r="I276" s="28">
        <v>-2.768390748171768E-2</v>
      </c>
      <c r="J276" s="28">
        <v>-2.4783976658256959E-2</v>
      </c>
      <c r="K276" s="28">
        <v>-2.8437045947665423E-2</v>
      </c>
      <c r="L276" s="28">
        <v>-3.5381473404058769E-2</v>
      </c>
      <c r="M276" s="28">
        <v>-3.0441644689195173E-2</v>
      </c>
      <c r="N276" s="28">
        <v>-1.1101337620188679E-2</v>
      </c>
    </row>
    <row r="277" spans="1:14">
      <c r="A277" s="4">
        <v>39556</v>
      </c>
      <c r="B277" s="28">
        <v>2.9519234716919071E-2</v>
      </c>
      <c r="C277" s="28">
        <v>-1.4158255537565929E-2</v>
      </c>
      <c r="D277" s="28">
        <v>2.2946234331296004E-2</v>
      </c>
      <c r="E277" s="28">
        <v>1.4349756699626905E-2</v>
      </c>
      <c r="F277" s="28">
        <v>4.3784729368182826E-2</v>
      </c>
      <c r="G277" s="28">
        <v>-4.9911161363269778E-3</v>
      </c>
      <c r="H277" s="28">
        <v>9.4961722355801532E-3</v>
      </c>
      <c r="I277" s="28">
        <v>7.1009309385601277E-4</v>
      </c>
      <c r="J277" s="28">
        <v>1.8667212192502312E-2</v>
      </c>
      <c r="K277" s="28">
        <v>4.4967788240205586E-2</v>
      </c>
      <c r="L277" s="28">
        <v>5.5127592248951751E-2</v>
      </c>
      <c r="M277" s="28">
        <v>2.0576929175196376E-2</v>
      </c>
      <c r="N277" s="28">
        <v>3.9556687012442554E-2</v>
      </c>
    </row>
    <row r="278" spans="1:14">
      <c r="A278" s="4">
        <v>39563</v>
      </c>
      <c r="B278" s="28">
        <v>6.6198755782421684E-3</v>
      </c>
      <c r="C278" s="28">
        <v>-3.2846460269760212E-3</v>
      </c>
      <c r="D278" s="28">
        <v>2.1925160767633723E-2</v>
      </c>
      <c r="E278" s="28">
        <v>7.2551940196222409E-3</v>
      </c>
      <c r="F278" s="28">
        <v>5.2299502144229799E-3</v>
      </c>
      <c r="G278" s="28">
        <v>3.159851301115247E-2</v>
      </c>
      <c r="H278" s="28">
        <v>-4.2544337551263913E-3</v>
      </c>
      <c r="I278" s="28">
        <v>1.5718377709784508E-2</v>
      </c>
      <c r="J278" s="28">
        <v>2.3818489138802548E-2</v>
      </c>
      <c r="K278" s="28">
        <v>6.1692247491400926E-2</v>
      </c>
      <c r="L278" s="28">
        <v>3.9350740028164709E-2</v>
      </c>
      <c r="M278" s="28">
        <v>5.2614680324387392E-3</v>
      </c>
      <c r="N278" s="28">
        <v>-3.6881134562048821E-4</v>
      </c>
    </row>
    <row r="279" spans="1:14">
      <c r="A279" s="4">
        <v>39570</v>
      </c>
      <c r="B279" s="28">
        <v>1.0346512426379363E-2</v>
      </c>
      <c r="C279" s="28">
        <v>2.3839573692329506E-3</v>
      </c>
      <c r="D279" s="28">
        <v>2.3585373104746902E-2</v>
      </c>
      <c r="E279" s="28">
        <v>-6.8072077951381498E-3</v>
      </c>
      <c r="F279" s="28">
        <v>1.0062226929696801E-2</v>
      </c>
      <c r="G279" s="28">
        <v>3.2145245682363599E-2</v>
      </c>
      <c r="H279" s="28">
        <v>8.7321837057892562E-3</v>
      </c>
      <c r="I279" s="28">
        <v>1.2850545907854916E-3</v>
      </c>
      <c r="J279" s="28">
        <v>-9.525599794041063E-3</v>
      </c>
      <c r="K279" s="28">
        <v>-1.2343165252533667E-2</v>
      </c>
      <c r="L279" s="28">
        <v>9.2380911613962231E-3</v>
      </c>
      <c r="M279" s="28">
        <v>2.02866297818853E-2</v>
      </c>
      <c r="N279" s="28">
        <v>5.2636498246270164E-3</v>
      </c>
    </row>
    <row r="280" spans="1:14">
      <c r="A280" s="4">
        <v>39577</v>
      </c>
      <c r="B280" s="28">
        <v>-1.0782974663277109E-2</v>
      </c>
      <c r="C280" s="28">
        <v>6.9599888080582291E-3</v>
      </c>
      <c r="D280" s="28">
        <v>-3.3739955465195072E-2</v>
      </c>
      <c r="E280" s="28">
        <v>-1.3281326455004265E-2</v>
      </c>
      <c r="F280" s="28">
        <v>1.049115703723129E-2</v>
      </c>
      <c r="G280" s="28">
        <v>-2.9032516265755988E-2</v>
      </c>
      <c r="H280" s="28">
        <v>-1.6855280085475717E-2</v>
      </c>
      <c r="I280" s="28">
        <v>-3.0062409985597643E-2</v>
      </c>
      <c r="J280" s="28">
        <v>-3.7618925810098396E-2</v>
      </c>
      <c r="K280" s="28">
        <v>-5.9553913240900834E-2</v>
      </c>
      <c r="L280" s="28">
        <v>5.3138081108498473E-3</v>
      </c>
      <c r="M280" s="28">
        <v>-1.1471503009249885E-2</v>
      </c>
      <c r="N280" s="28">
        <v>2.7134684929361757E-2</v>
      </c>
    </row>
    <row r="281" spans="1:14">
      <c r="A281" s="4">
        <v>39584</v>
      </c>
      <c r="B281" s="28">
        <v>2.7693913549009273E-2</v>
      </c>
      <c r="C281" s="28">
        <v>-3.7859053176340931E-3</v>
      </c>
      <c r="D281" s="28">
        <v>2.6000701367666936E-2</v>
      </c>
      <c r="E281" s="28">
        <v>1.9180634466342713E-2</v>
      </c>
      <c r="F281" s="28">
        <v>2.0260012299177527E-2</v>
      </c>
      <c r="G281" s="28">
        <v>1.1030681782495331E-2</v>
      </c>
      <c r="H281" s="28">
        <v>1.8059128814762206E-2</v>
      </c>
      <c r="I281" s="28">
        <v>1.9824653448031204E-2</v>
      </c>
      <c r="J281" s="28">
        <v>1.3011232101517582E-2</v>
      </c>
      <c r="K281" s="28">
        <v>1.6527090998895589E-2</v>
      </c>
      <c r="L281" s="28">
        <v>3.8827963090360164E-2</v>
      </c>
      <c r="M281" s="28">
        <v>1.4032471158691748E-2</v>
      </c>
      <c r="N281" s="28">
        <v>1.5388573388725931E-2</v>
      </c>
    </row>
    <row r="282" spans="1:14">
      <c r="A282" s="4">
        <v>39591</v>
      </c>
      <c r="B282" s="28">
        <v>-2.4556283387224188E-2</v>
      </c>
      <c r="C282" s="28">
        <v>1.6735234641936344E-3</v>
      </c>
      <c r="D282" s="28">
        <v>-4.0283203125E-2</v>
      </c>
      <c r="E282" s="28">
        <v>9.6374738905436047E-3</v>
      </c>
      <c r="F282" s="28">
        <v>-1.2342190891924617E-2</v>
      </c>
      <c r="G282" s="28">
        <v>-1.9168795670034204E-2</v>
      </c>
      <c r="H282" s="28">
        <v>1.131752800788631E-2</v>
      </c>
      <c r="I282" s="28">
        <v>-2.6981379321501908E-2</v>
      </c>
      <c r="J282" s="28">
        <v>2.3826149516494675E-3</v>
      </c>
      <c r="K282" s="28">
        <v>-2.8364825541718843E-2</v>
      </c>
      <c r="L282" s="28">
        <v>-4.031488727562664E-2</v>
      </c>
      <c r="M282" s="28">
        <v>2.0517332276685555E-3</v>
      </c>
      <c r="N282" s="28">
        <v>-2.3554141681448701E-3</v>
      </c>
    </row>
    <row r="283" spans="1:14">
      <c r="A283" s="4">
        <v>39598</v>
      </c>
      <c r="B283" s="28">
        <v>5.4830269999538266E-3</v>
      </c>
      <c r="C283" s="28">
        <v>-1.1277410372433029E-2</v>
      </c>
      <c r="D283" s="28">
        <v>6.5123378275248082E-3</v>
      </c>
      <c r="E283" s="28">
        <v>1.3449040288601935E-2</v>
      </c>
      <c r="F283" s="28">
        <v>1.4203299322971279E-2</v>
      </c>
      <c r="G283" s="28">
        <v>-4.1715323988488547E-2</v>
      </c>
      <c r="H283" s="28">
        <v>1.3501214409194055E-2</v>
      </c>
      <c r="I283" s="28">
        <v>-2.9974129273824118E-2</v>
      </c>
      <c r="J283" s="28">
        <v>4.0146416840469878E-2</v>
      </c>
      <c r="K283" s="28">
        <v>4.1973012532905704E-3</v>
      </c>
      <c r="L283" s="28">
        <v>4.0535078582865543E-2</v>
      </c>
      <c r="M283" s="28">
        <v>-1.9064502292163707E-2</v>
      </c>
      <c r="N283" s="28">
        <v>9.7825269019507772E-4</v>
      </c>
    </row>
    <row r="284" spans="1:14">
      <c r="A284" s="4">
        <v>39605</v>
      </c>
      <c r="B284" s="28">
        <v>-1.91711508589331E-2</v>
      </c>
      <c r="C284" s="28">
        <v>4.2948672815601293E-3</v>
      </c>
      <c r="D284" s="28">
        <v>-1.6933730981145541E-2</v>
      </c>
      <c r="E284" s="28">
        <v>-2.5474591642295971E-2</v>
      </c>
      <c r="F284" s="28">
        <v>-2.4953107150748135E-2</v>
      </c>
      <c r="G284" s="28">
        <v>-5.7667125194668005E-3</v>
      </c>
      <c r="H284" s="28">
        <v>-3.2461183672168159E-2</v>
      </c>
      <c r="I284" s="28">
        <v>-2.2926722246599425E-2</v>
      </c>
      <c r="J284" s="28">
        <v>-1.6118230120105385E-2</v>
      </c>
      <c r="K284" s="28">
        <v>-1.0228375909600837E-2</v>
      </c>
      <c r="L284" s="28">
        <v>-6.535825653769306E-2</v>
      </c>
      <c r="M284" s="28">
        <v>-2.2659957160279971E-2</v>
      </c>
      <c r="N284" s="28">
        <v>-4.2897684558713487E-3</v>
      </c>
    </row>
    <row r="285" spans="1:14">
      <c r="A285" s="4">
        <v>39612</v>
      </c>
      <c r="B285" s="28">
        <v>-2.4410616914359012E-2</v>
      </c>
      <c r="C285" s="28">
        <v>-1.7877173303421083E-2</v>
      </c>
      <c r="D285" s="28">
        <v>-5.3218839983545839E-2</v>
      </c>
      <c r="E285" s="28">
        <v>-4.3647681685261286E-2</v>
      </c>
      <c r="F285" s="28">
        <v>7.8009363052103479E-3</v>
      </c>
      <c r="G285" s="28">
        <v>-6.8397020146832091E-2</v>
      </c>
      <c r="H285" s="28">
        <v>-1.0429195156108417E-2</v>
      </c>
      <c r="I285" s="28">
        <v>-6.7882002919052289E-2</v>
      </c>
      <c r="J285" s="28">
        <v>-1.3915246126173706E-2</v>
      </c>
      <c r="K285" s="28">
        <v>-7.3539845271509793E-2</v>
      </c>
      <c r="L285" s="28">
        <v>2.5754034363577611E-2</v>
      </c>
      <c r="M285" s="28">
        <v>-6.362772033584313E-2</v>
      </c>
      <c r="N285" s="28">
        <v>-1.1834710431815896E-2</v>
      </c>
    </row>
    <row r="286" spans="1:14">
      <c r="A286" s="4">
        <v>39619</v>
      </c>
      <c r="B286" s="28">
        <v>-2.0213020993869645E-2</v>
      </c>
      <c r="C286" s="28">
        <v>7.1025769148404918E-3</v>
      </c>
      <c r="D286" s="28">
        <v>-1.0101558681366345E-2</v>
      </c>
      <c r="E286" s="28">
        <v>-1.2358412175459681E-2</v>
      </c>
      <c r="F286" s="28">
        <v>-1.2677666735238129E-3</v>
      </c>
      <c r="G286" s="28">
        <v>-5.5619232810486099E-2</v>
      </c>
      <c r="H286" s="28">
        <v>-1.6044531761624018E-2</v>
      </c>
      <c r="I286" s="28">
        <v>-3.145560758216781E-2</v>
      </c>
      <c r="J286" s="28">
        <v>-1.5078046882517567E-2</v>
      </c>
      <c r="K286" s="28">
        <v>4.1310211005479444E-3</v>
      </c>
      <c r="L286" s="28">
        <v>6.198720951070668E-4</v>
      </c>
      <c r="M286" s="28">
        <v>-4.3798971939242107E-2</v>
      </c>
      <c r="N286" s="28">
        <v>3.3045064490404385E-3</v>
      </c>
    </row>
    <row r="287" spans="1:14">
      <c r="A287" s="4">
        <v>39626</v>
      </c>
      <c r="B287" s="28">
        <v>-2.296496182992655E-2</v>
      </c>
      <c r="C287" s="28">
        <v>5.3513839174965123E-3</v>
      </c>
      <c r="D287" s="28">
        <v>-4.7292478191693667E-2</v>
      </c>
      <c r="E287" s="28">
        <v>-3.3354612781691266E-2</v>
      </c>
      <c r="F287" s="28">
        <v>-2.0927937767047877E-2</v>
      </c>
      <c r="G287" s="28">
        <v>-6.5327036599763841E-2</v>
      </c>
      <c r="H287" s="28">
        <v>-3.2341577596661016E-2</v>
      </c>
      <c r="I287" s="28">
        <v>-4.2670770522192369E-2</v>
      </c>
      <c r="J287" s="28">
        <v>-3.9244920758307475E-2</v>
      </c>
      <c r="K287" s="28">
        <v>-3.8375293967513088E-2</v>
      </c>
      <c r="L287" s="28">
        <v>-4.6915840466242656E-2</v>
      </c>
      <c r="M287" s="28">
        <v>-6.2904548116338124E-2</v>
      </c>
      <c r="N287" s="28">
        <v>-5.6638886641316617E-4</v>
      </c>
    </row>
    <row r="288" spans="1:14">
      <c r="A288" s="4">
        <v>39633</v>
      </c>
      <c r="B288" s="28">
        <v>-2.1859057377342395E-2</v>
      </c>
      <c r="C288" s="28">
        <v>8.107727016357099E-4</v>
      </c>
      <c r="D288" s="28">
        <v>-2.320760149726462E-2</v>
      </c>
      <c r="E288" s="28">
        <v>-3.0168958382641397E-2</v>
      </c>
      <c r="F288" s="28">
        <v>-2.0925169402382631E-2</v>
      </c>
      <c r="G288" s="28">
        <v>2.0149860800234381E-2</v>
      </c>
      <c r="H288" s="28">
        <v>-3.3923793869235644E-3</v>
      </c>
      <c r="I288" s="28">
        <v>-1.7674830213648657E-2</v>
      </c>
      <c r="J288" s="28">
        <v>-5.2612963126713631E-3</v>
      </c>
      <c r="K288" s="28">
        <v>-6.617944440231549E-2</v>
      </c>
      <c r="L288" s="28">
        <v>-4.0062892168254677E-2</v>
      </c>
      <c r="M288" s="28">
        <v>-3.5827809879310273E-2</v>
      </c>
      <c r="N288" s="28">
        <v>-1.7920412983846438E-2</v>
      </c>
    </row>
    <row r="289" spans="1:14">
      <c r="A289" s="4">
        <v>39640</v>
      </c>
      <c r="B289" s="28">
        <v>-1.5778616573033661E-2</v>
      </c>
      <c r="C289" s="28">
        <v>8.3477158254374531E-3</v>
      </c>
      <c r="D289" s="28">
        <v>-1.2321660181582381E-2</v>
      </c>
      <c r="E289" s="28">
        <v>-2.2365235874121807E-2</v>
      </c>
      <c r="F289" s="28">
        <v>-9.494398305000504E-4</v>
      </c>
      <c r="G289" s="28">
        <v>4.2173299323939407E-2</v>
      </c>
      <c r="H289" s="28">
        <v>-6.141105047988084E-4</v>
      </c>
      <c r="I289" s="28">
        <v>-1.4195094737277068E-2</v>
      </c>
      <c r="J289" s="28">
        <v>-9.778212364994E-3</v>
      </c>
      <c r="K289" s="28">
        <v>8.6687893132303406E-3</v>
      </c>
      <c r="L289" s="28">
        <v>-1.2643791208168437E-3</v>
      </c>
      <c r="M289" s="28">
        <v>-1.5442647459135653E-2</v>
      </c>
      <c r="N289" s="28">
        <v>-4.2187750035155578E-3</v>
      </c>
    </row>
    <row r="290" spans="1:14">
      <c r="A290" s="4">
        <v>39647</v>
      </c>
      <c r="B290" s="28">
        <v>1.2672151738797561E-2</v>
      </c>
      <c r="C290" s="28">
        <v>-1.3657957244655471E-2</v>
      </c>
      <c r="D290" s="28">
        <v>7.8194950158180752E-3</v>
      </c>
      <c r="E290" s="28">
        <v>2.9910658565947171E-2</v>
      </c>
      <c r="F290" s="28">
        <v>-2.0852506902484923E-2</v>
      </c>
      <c r="G290" s="28">
        <v>-2.8143712574850207E-2</v>
      </c>
      <c r="H290" s="28">
        <v>6.2560717253649202E-3</v>
      </c>
      <c r="I290" s="28">
        <v>5.6130790190735162E-3</v>
      </c>
      <c r="J290" s="28">
        <v>2.6868351362269456E-2</v>
      </c>
      <c r="K290" s="28">
        <v>-1.3719997987286389E-2</v>
      </c>
      <c r="L290" s="28">
        <v>-5.0856974582874455E-3</v>
      </c>
      <c r="M290" s="28">
        <v>6.5390168653972304E-3</v>
      </c>
      <c r="N290" s="28">
        <v>-2.3622967504419366E-2</v>
      </c>
    </row>
    <row r="291" spans="1:14">
      <c r="A291" s="4">
        <v>39654</v>
      </c>
      <c r="B291" s="28">
        <v>-1.3430995508322281E-3</v>
      </c>
      <c r="C291" s="28">
        <v>-1.5228246626766541E-3</v>
      </c>
      <c r="D291" s="28">
        <v>3.2397536128879405E-2</v>
      </c>
      <c r="E291" s="28">
        <v>5.3205213407245162E-3</v>
      </c>
      <c r="F291" s="28">
        <v>1.5018466583911897E-2</v>
      </c>
      <c r="G291" s="28">
        <v>8.2382223787029599E-2</v>
      </c>
      <c r="H291" s="28">
        <v>2.6811210691914762E-3</v>
      </c>
      <c r="I291" s="28">
        <v>3.9109754928321083E-2</v>
      </c>
      <c r="J291" s="28">
        <v>2.1361506451725656E-2</v>
      </c>
      <c r="K291" s="28">
        <v>4.5674540414604684E-2</v>
      </c>
      <c r="L291" s="28">
        <v>3.9626811125238783E-2</v>
      </c>
      <c r="M291" s="28">
        <v>5.4762745636638674E-2</v>
      </c>
      <c r="N291" s="28">
        <v>6.6583541147131713E-3</v>
      </c>
    </row>
    <row r="292" spans="1:14">
      <c r="A292" s="4">
        <v>39661</v>
      </c>
      <c r="B292" s="28">
        <v>-6.4526086029881692E-3</v>
      </c>
      <c r="C292" s="28">
        <v>6.9518337234871939E-3</v>
      </c>
      <c r="D292" s="28">
        <v>-7.0563937811943646E-3</v>
      </c>
      <c r="E292" s="28">
        <v>-3.371402573465089E-2</v>
      </c>
      <c r="F292" s="28">
        <v>8.9532408316096018E-3</v>
      </c>
      <c r="G292" s="28">
        <v>-4.6637601933633026E-2</v>
      </c>
      <c r="H292" s="28">
        <v>-1.8520451961671461E-2</v>
      </c>
      <c r="I292" s="28">
        <v>-1.4137224145608689E-2</v>
      </c>
      <c r="J292" s="28">
        <v>-1.984481924823352E-2</v>
      </c>
      <c r="K292" s="28">
        <v>-5.36780682010383E-2</v>
      </c>
      <c r="L292" s="28">
        <v>2.756404681585421E-3</v>
      </c>
      <c r="M292" s="28">
        <v>-5.6392174046041375E-2</v>
      </c>
      <c r="N292" s="28">
        <v>5.375678152946782E-3</v>
      </c>
    </row>
    <row r="293" spans="1:14">
      <c r="A293" s="4">
        <v>39668</v>
      </c>
      <c r="B293" s="28">
        <v>4.3789897256473025E-3</v>
      </c>
      <c r="C293" s="28">
        <v>-1.3737231419513433E-3</v>
      </c>
      <c r="D293" s="28">
        <v>-3.871042292581557E-3</v>
      </c>
      <c r="E293" s="28">
        <v>2.3743123548757735E-4</v>
      </c>
      <c r="F293" s="28">
        <v>4.2199144045730885E-3</v>
      </c>
      <c r="G293" s="28">
        <v>-2.8575219645343829E-3</v>
      </c>
      <c r="H293" s="28">
        <v>2.1937108107629007E-2</v>
      </c>
      <c r="I293" s="28">
        <v>1.6887286518248446E-2</v>
      </c>
      <c r="J293" s="28">
        <v>3.0869857570754887E-3</v>
      </c>
      <c r="K293" s="28">
        <v>-1.7302477134539199E-2</v>
      </c>
      <c r="L293" s="28">
        <v>-6.481792553433213E-5</v>
      </c>
      <c r="M293" s="28">
        <v>3.6579328955495482E-3</v>
      </c>
      <c r="N293" s="28">
        <v>-1.9322885866351287E-2</v>
      </c>
    </row>
    <row r="294" spans="1:14">
      <c r="A294" s="4">
        <v>39675</v>
      </c>
      <c r="B294" s="28">
        <v>-1.0951297290529663E-2</v>
      </c>
      <c r="C294" s="28">
        <v>-3.3155796973651642E-3</v>
      </c>
      <c r="D294" s="28">
        <v>-2.0706455542021884E-2</v>
      </c>
      <c r="E294" s="28">
        <v>-8.6098683575268325E-3</v>
      </c>
      <c r="F294" s="28">
        <v>-4.2369513818521255E-3</v>
      </c>
      <c r="G294" s="28">
        <v>-3.7363546067608021E-2</v>
      </c>
      <c r="H294" s="28">
        <v>-5.2913724605749904E-3</v>
      </c>
      <c r="I294" s="28">
        <v>-4.7139421441633848E-2</v>
      </c>
      <c r="J294" s="28">
        <v>-1.5622483491705533E-2</v>
      </c>
      <c r="K294" s="28">
        <v>5.4633149940364837E-3</v>
      </c>
      <c r="L294" s="28">
        <v>8.6286468152706533E-3</v>
      </c>
      <c r="M294" s="28">
        <v>-2.0187162274231143E-2</v>
      </c>
      <c r="N294" s="28">
        <v>-8.2713983487354391E-3</v>
      </c>
    </row>
    <row r="295" spans="1:14">
      <c r="A295" s="4">
        <v>39682</v>
      </c>
      <c r="B295" s="28">
        <v>-4.0433073211414063E-3</v>
      </c>
      <c r="C295" s="28">
        <v>1.9110308949995417E-3</v>
      </c>
      <c r="D295" s="28">
        <v>-2.3158019426676123E-2</v>
      </c>
      <c r="E295" s="28">
        <v>5.9818515332046478E-3</v>
      </c>
      <c r="F295" s="28">
        <v>4.5542746831211903E-3</v>
      </c>
      <c r="G295" s="28">
        <v>-5.7633160048776402E-2</v>
      </c>
      <c r="H295" s="28">
        <v>1.7191060880889356E-2</v>
      </c>
      <c r="I295" s="28">
        <v>1.433748955345476E-2</v>
      </c>
      <c r="J295" s="28">
        <v>1.0356233196547365E-2</v>
      </c>
      <c r="K295" s="28">
        <v>-1.3208380729748339E-2</v>
      </c>
      <c r="L295" s="28">
        <v>-2.7311913218846476E-2</v>
      </c>
      <c r="M295" s="28">
        <v>-4.9451846704175302E-2</v>
      </c>
      <c r="N295" s="28">
        <v>1.2409236241658354E-2</v>
      </c>
    </row>
    <row r="296" spans="1:14">
      <c r="A296" s="4">
        <v>39689</v>
      </c>
      <c r="B296" s="28">
        <v>5.4802509102599029E-3</v>
      </c>
      <c r="C296" s="28">
        <v>4.0973473208292472E-3</v>
      </c>
      <c r="D296" s="28">
        <v>2.6617352816346244E-2</v>
      </c>
      <c r="E296" s="28">
        <v>-1.0545169957157857E-2</v>
      </c>
      <c r="F296" s="28">
        <v>4.6577682437532819E-3</v>
      </c>
      <c r="G296" s="28">
        <v>2.1997768266424987E-2</v>
      </c>
      <c r="H296" s="28">
        <v>-1.4099962849712841E-2</v>
      </c>
      <c r="I296" s="28">
        <v>2.931300744003883E-2</v>
      </c>
      <c r="J296" s="28">
        <v>-3.2781001899459962E-2</v>
      </c>
      <c r="K296" s="28">
        <v>3.1148650554161193E-2</v>
      </c>
      <c r="L296" s="28">
        <v>6.4899593609800063E-3</v>
      </c>
      <c r="M296" s="28">
        <v>6.9172368544379807E-3</v>
      </c>
      <c r="N296" s="28">
        <v>1.14163021391177E-2</v>
      </c>
    </row>
    <row r="297" spans="1:14">
      <c r="A297" s="4">
        <v>39696</v>
      </c>
      <c r="B297" s="28">
        <v>-5.6310694049938131E-2</v>
      </c>
      <c r="C297" s="28">
        <v>3.4122489182820113E-3</v>
      </c>
      <c r="D297" s="28">
        <v>-4.4826364280652044E-2</v>
      </c>
      <c r="E297" s="28">
        <v>-7.424410450438694E-2</v>
      </c>
      <c r="F297" s="28">
        <v>-5.0068702365536101E-2</v>
      </c>
      <c r="G297" s="28">
        <v>-7.2656626444264474E-2</v>
      </c>
      <c r="H297" s="28">
        <v>-5.6047026632192874E-2</v>
      </c>
      <c r="I297" s="28">
        <v>-6.6187739078319208E-2</v>
      </c>
      <c r="J297" s="28">
        <v>-7.9395102173795015E-2</v>
      </c>
      <c r="K297" s="28">
        <v>-6.5348640037195593E-2</v>
      </c>
      <c r="L297" s="28">
        <v>-6.4260136081593505E-2</v>
      </c>
      <c r="M297" s="28">
        <v>-6.7366049819413937E-2</v>
      </c>
      <c r="N297" s="28">
        <v>-5.5759267231780922E-2</v>
      </c>
    </row>
    <row r="298" spans="1:14">
      <c r="A298" s="4">
        <v>39703</v>
      </c>
      <c r="B298" s="28">
        <v>1.1039058252503675E-2</v>
      </c>
      <c r="C298" s="28">
        <v>-2.8046557285093653E-3</v>
      </c>
      <c r="D298" s="28">
        <v>4.0437766648117358E-2</v>
      </c>
      <c r="E298" s="28">
        <v>2.2126115334137917E-2</v>
      </c>
      <c r="F298" s="28">
        <v>1.3772685647685662E-2</v>
      </c>
      <c r="G298" s="28">
        <v>9.678952837906556E-3</v>
      </c>
      <c r="H298" s="28">
        <v>4.212982865565322E-2</v>
      </c>
      <c r="I298" s="28">
        <v>-3.1573597064042829E-3</v>
      </c>
      <c r="J298" s="28">
        <v>2.2315065126566769E-2</v>
      </c>
      <c r="K298" s="28">
        <v>-5.522087251685296E-2</v>
      </c>
      <c r="L298" s="28">
        <v>-2.6223845320811354E-3</v>
      </c>
      <c r="M298" s="28">
        <v>2.0825223822499038E-2</v>
      </c>
      <c r="N298" s="28">
        <v>-1.2053559730630096E-4</v>
      </c>
    </row>
    <row r="299" spans="1:14">
      <c r="A299" s="4">
        <v>39710</v>
      </c>
      <c r="B299" s="28">
        <v>2.5718160138410106E-3</v>
      </c>
      <c r="C299" s="28">
        <v>-1.0336099001546891E-2</v>
      </c>
      <c r="D299" s="28">
        <v>-1.3074225946395774E-2</v>
      </c>
      <c r="E299" s="28">
        <v>3.0941116655033022E-2</v>
      </c>
      <c r="F299" s="28">
        <v>1.426819065998078E-2</v>
      </c>
      <c r="G299" s="28">
        <v>-2.9284075791502204E-2</v>
      </c>
      <c r="H299" s="28">
        <v>1.411397253815771E-2</v>
      </c>
      <c r="I299" s="28">
        <v>-4.988268236087167E-2</v>
      </c>
      <c r="J299" s="28">
        <v>4.6809942785710913E-2</v>
      </c>
      <c r="K299" s="28">
        <v>9.3381237030383327E-3</v>
      </c>
      <c r="L299" s="28">
        <v>1.3952815627470536E-2</v>
      </c>
      <c r="M299" s="28">
        <v>3.5951211165701248E-2</v>
      </c>
      <c r="N299" s="28">
        <v>1.6373852153130114E-2</v>
      </c>
    </row>
    <row r="300" spans="1:14">
      <c r="A300" s="4">
        <v>39717</v>
      </c>
      <c r="B300" s="28">
        <v>-2.8038618202170455E-2</v>
      </c>
      <c r="C300" s="28">
        <v>-2.2024866785080089E-3</v>
      </c>
      <c r="D300" s="28">
        <v>-4.3114349370747256E-2</v>
      </c>
      <c r="E300" s="28">
        <v>-2.4880154806137159E-2</v>
      </c>
      <c r="F300" s="28">
        <v>-3.1884585996285776E-2</v>
      </c>
      <c r="G300" s="28">
        <v>-7.2246348203710712E-3</v>
      </c>
      <c r="H300" s="28">
        <v>-1.1697707528256317E-2</v>
      </c>
      <c r="I300" s="28">
        <v>7.567798652895398E-3</v>
      </c>
      <c r="J300" s="28">
        <v>-3.8181016506985889E-2</v>
      </c>
      <c r="K300" s="28">
        <v>-2.5403900148825515E-2</v>
      </c>
      <c r="L300" s="28">
        <v>-6.528472299572248E-2</v>
      </c>
      <c r="M300" s="28">
        <v>-2.891335431718331E-2</v>
      </c>
      <c r="N300" s="28">
        <v>-1.7120815198333323E-2</v>
      </c>
    </row>
    <row r="301" spans="1:14">
      <c r="A301" s="4">
        <v>39724</v>
      </c>
      <c r="B301" s="28">
        <v>-8.9333557267048821E-2</v>
      </c>
      <c r="C301" s="28">
        <v>-3.3466248931928147E-3</v>
      </c>
      <c r="D301" s="28">
        <v>-0.12031967780504692</v>
      </c>
      <c r="E301" s="28">
        <v>-4.5766649236650928E-2</v>
      </c>
      <c r="F301" s="28">
        <v>-8.1717350170919689E-2</v>
      </c>
      <c r="G301" s="28">
        <v>-3.6755307364127528E-2</v>
      </c>
      <c r="H301" s="28">
        <v>-3.3091866973987472E-2</v>
      </c>
      <c r="I301" s="28">
        <v>-4.2474824300474362E-2</v>
      </c>
      <c r="J301" s="28">
        <v>-4.8105896004546039E-2</v>
      </c>
      <c r="K301" s="28">
        <v>-0.11697660231812182</v>
      </c>
      <c r="L301" s="28">
        <v>-0.11318137535696819</v>
      </c>
      <c r="M301" s="28">
        <v>-4.879921470293809E-2</v>
      </c>
      <c r="N301" s="28">
        <v>-7.7462276228252483E-2</v>
      </c>
    </row>
    <row r="302" spans="1:14">
      <c r="A302" s="4">
        <v>39731</v>
      </c>
      <c r="B302" s="28">
        <v>-0.20053219984719015</v>
      </c>
      <c r="C302" s="28">
        <v>-1.3288561834678754E-2</v>
      </c>
      <c r="D302" s="28">
        <v>-0.16374561842764138</v>
      </c>
      <c r="E302" s="28">
        <v>-0.22061571354138595</v>
      </c>
      <c r="F302" s="28">
        <v>-0.20456615286537186</v>
      </c>
      <c r="G302" s="28">
        <v>-0.25466061960733433</v>
      </c>
      <c r="H302" s="28">
        <v>-0.22342560385298343</v>
      </c>
      <c r="I302" s="28">
        <v>-0.23602174107753149</v>
      </c>
      <c r="J302" s="28">
        <v>-0.2123869388328426</v>
      </c>
      <c r="K302" s="28">
        <v>-0.25746223753470943</v>
      </c>
      <c r="L302" s="28">
        <v>-0.20662996189257074</v>
      </c>
      <c r="M302" s="28">
        <v>-0.21169919280678456</v>
      </c>
      <c r="N302" s="28">
        <v>-0.21384048409845763</v>
      </c>
    </row>
    <row r="303" spans="1:14">
      <c r="A303" s="4">
        <v>39738</v>
      </c>
      <c r="B303" s="28">
        <v>4.4423450836509767E-2</v>
      </c>
      <c r="C303" s="28">
        <v>-1.0245456520165234E-2</v>
      </c>
      <c r="D303" s="28">
        <v>-1.6595380667237057E-2</v>
      </c>
      <c r="E303" s="28">
        <v>0.11908782323549574</v>
      </c>
      <c r="F303" s="28">
        <v>9.9323768292246553E-2</v>
      </c>
      <c r="G303" s="28">
        <v>8.6557102050182466E-2</v>
      </c>
      <c r="H303" s="28">
        <v>0.1245467999968677</v>
      </c>
      <c r="I303" s="28">
        <v>1.9411964335297446E-2</v>
      </c>
      <c r="J303" s="28">
        <v>0.18288302059846379</v>
      </c>
      <c r="K303" s="28">
        <v>0.10112366294913507</v>
      </c>
      <c r="L303" s="28">
        <v>0.1450538413996387</v>
      </c>
      <c r="M303" s="28">
        <v>6.0802841181578943E-2</v>
      </c>
      <c r="N303" s="28">
        <v>9.0528965796631833E-2</v>
      </c>
    </row>
    <row r="304" spans="1:14">
      <c r="A304" s="4">
        <v>39745</v>
      </c>
      <c r="B304" s="28">
        <v>-8.3227278942330951E-2</v>
      </c>
      <c r="C304" s="28">
        <v>1.1046490361754412E-2</v>
      </c>
      <c r="D304" s="28">
        <v>-0.11812804453723033</v>
      </c>
      <c r="E304" s="28">
        <v>-9.3504580730547959E-2</v>
      </c>
      <c r="F304" s="28">
        <v>-4.9536208299430375E-2</v>
      </c>
      <c r="G304" s="28">
        <v>-0.13825572758123489</v>
      </c>
      <c r="H304" s="28">
        <v>-4.7664475516684186E-2</v>
      </c>
      <c r="I304" s="28">
        <v>-9.731192232962696E-2</v>
      </c>
      <c r="J304" s="28">
        <v>-0.14393021565301681</v>
      </c>
      <c r="K304" s="28">
        <v>-0.24832511106871266</v>
      </c>
      <c r="L304" s="28">
        <v>-0.13577528603050124</v>
      </c>
      <c r="M304" s="28">
        <v>-8.9006866889860856E-2</v>
      </c>
      <c r="N304" s="28">
        <v>-3.1330847916362634E-2</v>
      </c>
    </row>
    <row r="305" spans="1:14">
      <c r="A305" s="4">
        <v>39752</v>
      </c>
      <c r="B305" s="28">
        <v>9.8217153870864132E-2</v>
      </c>
      <c r="C305" s="28">
        <v>-1.5194819290185034E-2</v>
      </c>
      <c r="D305" s="28">
        <v>0.10100611560465585</v>
      </c>
      <c r="E305" s="28">
        <v>8.4169384068262687E-2</v>
      </c>
      <c r="F305" s="28">
        <v>0.12124096839365817</v>
      </c>
      <c r="G305" s="28">
        <v>7.6343877025005835E-2</v>
      </c>
      <c r="H305" s="28">
        <v>9.5296242404743908E-2</v>
      </c>
      <c r="I305" s="28">
        <v>2.8417396435420569E-2</v>
      </c>
      <c r="J305" s="28">
        <v>0.16960719564738819</v>
      </c>
      <c r="K305" s="28">
        <v>0.10714259813910988</v>
      </c>
      <c r="L305" s="28">
        <v>0.136850544306439</v>
      </c>
      <c r="M305" s="28">
        <v>6.2951413338698248E-2</v>
      </c>
      <c r="N305" s="28">
        <v>9.929257719674299E-2</v>
      </c>
    </row>
    <row r="306" spans="1:14">
      <c r="A306" s="4">
        <v>39759</v>
      </c>
      <c r="B306" s="28">
        <v>-1.877252546356754E-2</v>
      </c>
      <c r="C306" s="28">
        <v>1.5943572976746014E-2</v>
      </c>
      <c r="D306" s="28">
        <v>-1.505106611718336E-2</v>
      </c>
      <c r="E306" s="28">
        <v>4.74738265161754E-3</v>
      </c>
      <c r="F306" s="28">
        <v>-4.1143918200808781E-2</v>
      </c>
      <c r="G306" s="28">
        <v>2.4888707435991909E-2</v>
      </c>
      <c r="H306" s="28">
        <v>-5.5275174236962083E-3</v>
      </c>
      <c r="I306" s="28">
        <v>3.1655060897686639E-2</v>
      </c>
      <c r="J306" s="28">
        <v>-1.0524334498521073E-2</v>
      </c>
      <c r="K306" s="28">
        <v>-3.537156519176033E-3</v>
      </c>
      <c r="L306" s="28">
        <v>-8.2487487289198774E-2</v>
      </c>
      <c r="M306" s="28">
        <v>5.0283277182622328E-2</v>
      </c>
      <c r="N306" s="28">
        <v>-3.0245075441372494E-2</v>
      </c>
    </row>
    <row r="307" spans="1:14">
      <c r="A307" s="4">
        <v>39766</v>
      </c>
      <c r="B307" s="28">
        <v>-6.3729665275530215E-2</v>
      </c>
      <c r="C307" s="28">
        <v>4.3030193455071333E-3</v>
      </c>
      <c r="D307" s="28">
        <v>-0.13025286519919951</v>
      </c>
      <c r="E307" s="28">
        <v>-5.1426872770511362E-2</v>
      </c>
      <c r="F307" s="28">
        <v>-5.9166019034029307E-2</v>
      </c>
      <c r="G307" s="28">
        <v>-8.3401640914070263E-2</v>
      </c>
      <c r="H307" s="28">
        <v>-3.124832178722944E-2</v>
      </c>
      <c r="I307" s="28">
        <v>-7.116358143679645E-2</v>
      </c>
      <c r="J307" s="28">
        <v>-6.9524384079829166E-2</v>
      </c>
      <c r="K307" s="28">
        <v>-0.1028759244042728</v>
      </c>
      <c r="L307" s="28">
        <v>-0.10002187780669231</v>
      </c>
      <c r="M307" s="28">
        <v>-6.4172954010283972E-2</v>
      </c>
      <c r="N307" s="28">
        <v>-4.9972055734356001E-2</v>
      </c>
    </row>
    <row r="308" spans="1:14">
      <c r="A308" s="4">
        <v>39773</v>
      </c>
      <c r="B308" s="28">
        <v>-9.6177025766982713E-2</v>
      </c>
      <c r="C308" s="28">
        <v>8.749189889825041E-3</v>
      </c>
      <c r="D308" s="28">
        <v>-0.14453043296381518</v>
      </c>
      <c r="E308" s="28">
        <v>-0.10639023129745391</v>
      </c>
      <c r="F308" s="28">
        <v>-7.1851260037645484E-2</v>
      </c>
      <c r="G308" s="28">
        <v>-0.11022147931466787</v>
      </c>
      <c r="H308" s="28">
        <v>-6.200411605330082E-2</v>
      </c>
      <c r="I308" s="28">
        <v>-8.1045404750726441E-2</v>
      </c>
      <c r="J308" s="28">
        <v>-9.3702723699043852E-2</v>
      </c>
      <c r="K308" s="28">
        <v>-0.14672284301154059</v>
      </c>
      <c r="L308" s="28">
        <v>-0.17536255989355101</v>
      </c>
      <c r="M308" s="28">
        <v>-0.11975813439973307</v>
      </c>
      <c r="N308" s="28">
        <v>-6.0322676620144997E-2</v>
      </c>
    </row>
    <row r="309" spans="1:14">
      <c r="A309" s="4">
        <v>39780</v>
      </c>
      <c r="B309" s="28">
        <v>0.12340848472648573</v>
      </c>
      <c r="C309" s="28">
        <v>1.2670878395260061E-2</v>
      </c>
      <c r="D309" s="28">
        <v>0.18178484107579468</v>
      </c>
      <c r="E309" s="28">
        <v>7.8161145838460525E-2</v>
      </c>
      <c r="F309" s="28">
        <v>9.8918895259771628E-2</v>
      </c>
      <c r="G309" s="28">
        <v>6.6540173958783561E-2</v>
      </c>
      <c r="H309" s="28">
        <v>6.4226350976988006E-2</v>
      </c>
      <c r="I309" s="28">
        <v>0.10942868143584882</v>
      </c>
      <c r="J309" s="28">
        <v>5.1521342622728977E-2</v>
      </c>
      <c r="K309" s="28">
        <v>0.14923873560553363</v>
      </c>
      <c r="L309" s="28">
        <v>0.2311559153339823</v>
      </c>
      <c r="M309" s="28">
        <v>7.8413499402035972E-2</v>
      </c>
      <c r="N309" s="28">
        <v>6.6814423568185177E-2</v>
      </c>
    </row>
    <row r="310" spans="1:14">
      <c r="A310" s="4">
        <v>39787</v>
      </c>
      <c r="B310" s="28">
        <v>-4.9869530646299232E-2</v>
      </c>
      <c r="C310" s="28">
        <v>9.4459326096149356E-3</v>
      </c>
      <c r="D310" s="28">
        <v>-5.2343022654391252E-2</v>
      </c>
      <c r="E310" s="28">
        <v>-8.3365669938370315E-2</v>
      </c>
      <c r="F310" s="28">
        <v>-2.8405092869186521E-2</v>
      </c>
      <c r="G310" s="28">
        <v>-8.0557659450795294E-2</v>
      </c>
      <c r="H310" s="28">
        <v>-7.4983166619232391E-2</v>
      </c>
      <c r="I310" s="28">
        <v>-7.0684419528147538E-2</v>
      </c>
      <c r="J310" s="28">
        <v>-9.4083467665320289E-2</v>
      </c>
      <c r="K310" s="28">
        <v>-6.8332959725024317E-2</v>
      </c>
      <c r="L310" s="28">
        <v>7.2909315455187043E-2</v>
      </c>
      <c r="M310" s="28">
        <v>-6.9770429725800345E-2</v>
      </c>
      <c r="N310" s="28">
        <v>-6.3392062164422752E-2</v>
      </c>
    </row>
    <row r="311" spans="1:14">
      <c r="A311" s="4">
        <v>39794</v>
      </c>
      <c r="B311" s="28">
        <v>4.3576143328618609E-2</v>
      </c>
      <c r="C311" s="28">
        <v>1.1871508379888387E-2</v>
      </c>
      <c r="D311" s="28">
        <v>5.9709638685732987E-2</v>
      </c>
      <c r="E311" s="28">
        <v>8.8251956347155908E-2</v>
      </c>
      <c r="F311" s="28">
        <v>8.0074882313151546E-3</v>
      </c>
      <c r="G311" s="28">
        <v>7.4598415693636802E-2</v>
      </c>
      <c r="H311" s="28">
        <v>4.8882985509204099E-2</v>
      </c>
      <c r="I311" s="28">
        <v>0.10646778317198587</v>
      </c>
      <c r="J311" s="28">
        <v>4.8591706528284227E-2</v>
      </c>
      <c r="K311" s="28">
        <v>9.881701888759678E-2</v>
      </c>
      <c r="L311" s="28">
        <v>-2.0698869475847828E-2</v>
      </c>
      <c r="M311" s="28">
        <v>8.4526085471079523E-2</v>
      </c>
      <c r="N311" s="28">
        <v>4.1842510838722785E-2</v>
      </c>
    </row>
    <row r="312" spans="1:14">
      <c r="A312" s="4">
        <v>39801</v>
      </c>
      <c r="B312" s="28">
        <v>2.4340106396195889E-2</v>
      </c>
      <c r="C312" s="28">
        <v>2.5155279503105463E-2</v>
      </c>
      <c r="D312" s="28">
        <v>8.2200247218788672E-2</v>
      </c>
      <c r="E312" s="28">
        <v>5.0981940082491045E-2</v>
      </c>
      <c r="F312" s="28">
        <v>6.3645914528756573E-3</v>
      </c>
      <c r="G312" s="28">
        <v>7.0043766211771566E-2</v>
      </c>
      <c r="H312" s="28">
        <v>1.4380665517167301E-2</v>
      </c>
      <c r="I312" s="28">
        <v>5.8908670790360156E-2</v>
      </c>
      <c r="J312" s="28">
        <v>1.7337161660805962E-2</v>
      </c>
      <c r="K312" s="28">
        <v>3.8640643475468271E-2</v>
      </c>
      <c r="L312" s="28">
        <v>6.690534661065474E-2</v>
      </c>
      <c r="M312" s="28">
        <v>8.6993531954824191E-2</v>
      </c>
      <c r="N312" s="28">
        <v>1.1018636288226391E-2</v>
      </c>
    </row>
    <row r="313" spans="1:14">
      <c r="A313" s="4">
        <v>39808</v>
      </c>
      <c r="B313" s="28">
        <v>-1.4885546685484939E-2</v>
      </c>
      <c r="C313" s="28">
        <v>1.3463933488169718E-3</v>
      </c>
      <c r="D313" s="28">
        <v>-2.3034456501047035E-2</v>
      </c>
      <c r="E313" s="28">
        <v>-1.6302070009089994E-2</v>
      </c>
      <c r="F313" s="28">
        <v>-1.3254845966297172E-2</v>
      </c>
      <c r="G313" s="28">
        <v>-2.9447290599358685E-2</v>
      </c>
      <c r="H313" s="28">
        <v>-8.5131294037987717E-3</v>
      </c>
      <c r="I313" s="28">
        <v>-1.0346624168684366E-2</v>
      </c>
      <c r="J313" s="28">
        <v>-4.3444619209499066E-3</v>
      </c>
      <c r="K313" s="28">
        <v>-1.8151791988756098E-2</v>
      </c>
      <c r="L313" s="28">
        <v>-3.2998982614512069E-2</v>
      </c>
      <c r="M313" s="28">
        <v>-4.4489252284583281E-2</v>
      </c>
      <c r="N313" s="28">
        <v>-9.5105908736615122E-3</v>
      </c>
    </row>
    <row r="314" spans="1:14">
      <c r="A314" s="4">
        <v>39815</v>
      </c>
      <c r="B314" s="28">
        <v>5.8818920552483792E-2</v>
      </c>
      <c r="C314" s="28">
        <v>-4.5715822380584682E-3</v>
      </c>
      <c r="D314" s="28">
        <v>1.9388152766952407E-2</v>
      </c>
      <c r="E314" s="28">
        <v>2.3394789845288935E-2</v>
      </c>
      <c r="F314" s="28">
        <v>5.5219581450589118E-2</v>
      </c>
      <c r="G314" s="28">
        <v>5.6244099218951342E-2</v>
      </c>
      <c r="H314" s="28">
        <v>2.8170216398480451E-2</v>
      </c>
      <c r="I314" s="28">
        <v>5.2366884062010295E-2</v>
      </c>
      <c r="J314" s="28">
        <v>3.8831240803378651E-2</v>
      </c>
      <c r="K314" s="28">
        <v>6.9612144549339006E-2</v>
      </c>
      <c r="L314" s="28">
        <v>6.0334667838900305E-2</v>
      </c>
      <c r="M314" s="28">
        <v>4.0313889480443232E-2</v>
      </c>
      <c r="N314" s="28">
        <v>4.9100209157364946E-2</v>
      </c>
    </row>
    <row r="315" spans="1:14">
      <c r="A315" s="4">
        <v>39822</v>
      </c>
      <c r="B315" s="28">
        <v>-2.4673086884362115E-2</v>
      </c>
      <c r="C315" s="28">
        <v>5.0991118765406776E-3</v>
      </c>
      <c r="D315" s="28">
        <v>-1.1468985950492103E-2</v>
      </c>
      <c r="E315" s="28">
        <v>-6.6449673428781329E-3</v>
      </c>
      <c r="F315" s="28">
        <v>-1.4165955134673659E-2</v>
      </c>
      <c r="G315" s="28">
        <v>9.5885847086451276E-3</v>
      </c>
      <c r="H315" s="28">
        <v>3.5424190847829014E-3</v>
      </c>
      <c r="I315" s="28">
        <v>-1.6037713640001883E-2</v>
      </c>
      <c r="J315" s="28">
        <v>2.4772661773452558E-3</v>
      </c>
      <c r="K315" s="28">
        <v>-4.2966214543337614E-2</v>
      </c>
      <c r="L315" s="28">
        <v>-2.2684413647925679E-2</v>
      </c>
      <c r="M315" s="28">
        <v>-2.3262161458010248E-2</v>
      </c>
      <c r="N315" s="28">
        <v>-1.7370706671930428E-2</v>
      </c>
    </row>
    <row r="316" spans="1:14">
      <c r="A316" s="4">
        <v>39829</v>
      </c>
      <c r="B316" s="28">
        <v>-6.1563140153691027E-2</v>
      </c>
      <c r="C316" s="28">
        <v>-1.8142722752317016E-3</v>
      </c>
      <c r="D316" s="28">
        <v>-8.7305423958232625E-2</v>
      </c>
      <c r="E316" s="28">
        <v>-6.5740272039973208E-2</v>
      </c>
      <c r="F316" s="28">
        <v>-1.5839271419760294E-2</v>
      </c>
      <c r="G316" s="28">
        <v>-5.2638780454432113E-2</v>
      </c>
      <c r="H316" s="28">
        <v>-4.4096355638900783E-2</v>
      </c>
      <c r="I316" s="28">
        <v>-8.6376333088098875E-2</v>
      </c>
      <c r="J316" s="28">
        <v>-4.1575171114522746E-2</v>
      </c>
      <c r="K316" s="28">
        <v>-0.13504915327711828</v>
      </c>
      <c r="L316" s="28">
        <v>-4.5560865614377236E-3</v>
      </c>
      <c r="M316" s="28">
        <v>-8.1362412356467781E-2</v>
      </c>
      <c r="N316" s="28">
        <v>-2.3804740859783166E-2</v>
      </c>
    </row>
    <row r="317" spans="1:14">
      <c r="A317" s="4">
        <v>39836</v>
      </c>
      <c r="B317" s="28">
        <v>-4.6718177933312593E-2</v>
      </c>
      <c r="C317" s="28">
        <v>-1.3867384718949863E-2</v>
      </c>
      <c r="D317" s="28">
        <v>-4.1631355932203462E-2</v>
      </c>
      <c r="E317" s="28">
        <v>-7.2667424043811366E-2</v>
      </c>
      <c r="F317" s="28">
        <v>-5.7003040162143187E-3</v>
      </c>
      <c r="G317" s="28">
        <v>-4.1570733116403205E-2</v>
      </c>
      <c r="H317" s="28">
        <v>-3.8045438153624232E-2</v>
      </c>
      <c r="I317" s="28">
        <v>-9.0941824990507167E-2</v>
      </c>
      <c r="J317" s="28">
        <v>-5.7578658497670576E-2</v>
      </c>
      <c r="K317" s="28">
        <v>-0.11346164727945865</v>
      </c>
      <c r="L317" s="28">
        <v>8.1719993857970082E-3</v>
      </c>
      <c r="M317" s="28">
        <v>-6.6507656676691243E-2</v>
      </c>
      <c r="N317" s="28">
        <v>-2.2066742120245463E-2</v>
      </c>
    </row>
    <row r="318" spans="1:14">
      <c r="A318" s="4">
        <v>39843</v>
      </c>
      <c r="B318" s="28">
        <v>1.6295524485691493E-2</v>
      </c>
      <c r="C318" s="28">
        <v>-4.0958427196397207E-4</v>
      </c>
      <c r="D318" s="28">
        <v>1.2379794406985792E-2</v>
      </c>
      <c r="E318" s="28">
        <v>2.8183348830196204E-2</v>
      </c>
      <c r="F318" s="28">
        <v>1.5220904269228995E-2</v>
      </c>
      <c r="G318" s="28">
        <v>2.9323641521141881E-2</v>
      </c>
      <c r="H318" s="28">
        <v>3.233739456419877E-2</v>
      </c>
      <c r="I318" s="28">
        <v>5.3184977134420899E-2</v>
      </c>
      <c r="J318" s="28">
        <v>5.7290679090933961E-3</v>
      </c>
      <c r="K318" s="28">
        <v>5.4399066298292033E-2</v>
      </c>
      <c r="L318" s="28">
        <v>1.4768103467548961E-2</v>
      </c>
      <c r="M318" s="28">
        <v>2.5906313645621196E-2</v>
      </c>
      <c r="N318" s="28">
        <v>1.1825935693844269E-2</v>
      </c>
    </row>
    <row r="319" spans="1:14">
      <c r="A319" s="4">
        <v>39850</v>
      </c>
      <c r="B319" s="28">
        <v>3.8041081029529182E-2</v>
      </c>
      <c r="C319" s="28">
        <v>-3.3121628081678183E-3</v>
      </c>
      <c r="D319" s="28">
        <v>-1.4957964843323556E-2</v>
      </c>
      <c r="E319" s="28">
        <v>3.487761062703941E-2</v>
      </c>
      <c r="F319" s="28">
        <v>3.5612620288361881E-2</v>
      </c>
      <c r="G319" s="28">
        <v>-1.7464992507621534E-2</v>
      </c>
      <c r="H319" s="28">
        <v>3.5210040090639549E-2</v>
      </c>
      <c r="I319" s="28">
        <v>4.1985776805250766E-3</v>
      </c>
      <c r="J319" s="28">
        <v>4.0568565926444644E-2</v>
      </c>
      <c r="K319" s="28">
        <v>7.9213400555186338E-3</v>
      </c>
      <c r="L319" s="28">
        <v>8.940656786458381E-3</v>
      </c>
      <c r="M319" s="28">
        <v>1.1550428448705269E-2</v>
      </c>
      <c r="N319" s="28">
        <v>3.1728756221664552E-2</v>
      </c>
    </row>
    <row r="320" spans="1:14">
      <c r="A320" s="4">
        <v>39857</v>
      </c>
      <c r="B320" s="28">
        <v>-3.8725681604152823E-2</v>
      </c>
      <c r="C320" s="28">
        <v>5.8926307855699999E-3</v>
      </c>
      <c r="D320" s="28">
        <v>-6.2403014852582525E-2</v>
      </c>
      <c r="E320" s="28">
        <v>-2.5678117213608402E-2</v>
      </c>
      <c r="F320" s="28">
        <v>-4.1868889469958412E-2</v>
      </c>
      <c r="G320" s="28">
        <v>1.3857480936103027E-2</v>
      </c>
      <c r="H320" s="28">
        <v>-3.8930515799517326E-2</v>
      </c>
      <c r="I320" s="28">
        <v>-5.9038228444578105E-3</v>
      </c>
      <c r="J320" s="28">
        <v>-2.4809271446042839E-2</v>
      </c>
      <c r="K320" s="28">
        <v>2.2796496014688541E-2</v>
      </c>
      <c r="L320" s="28">
        <v>-3.1358243054020254E-2</v>
      </c>
      <c r="M320" s="28">
        <v>3.6396594420615522E-3</v>
      </c>
      <c r="N320" s="28">
        <v>-3.453581579106494E-2</v>
      </c>
    </row>
    <row r="321" spans="1:14">
      <c r="A321" s="4">
        <v>39864</v>
      </c>
      <c r="B321" s="28">
        <v>-7.6676781916800024E-2</v>
      </c>
      <c r="C321" s="28">
        <v>-5.3812881032663769E-3</v>
      </c>
      <c r="D321" s="28">
        <v>-8.3343184773613868E-2</v>
      </c>
      <c r="E321" s="28">
        <v>-5.1243205245520264E-2</v>
      </c>
      <c r="F321" s="28">
        <v>-7.4676837466884888E-2</v>
      </c>
      <c r="G321" s="28">
        <v>-7.0173163541423583E-2</v>
      </c>
      <c r="H321" s="28">
        <v>-4.3252279413374999E-2</v>
      </c>
      <c r="I321" s="28">
        <v>-0.11094823511682535</v>
      </c>
      <c r="J321" s="28">
        <v>-5.7151388474171318E-2</v>
      </c>
      <c r="K321" s="28">
        <v>-8.5680731482258105E-2</v>
      </c>
      <c r="L321" s="28">
        <v>-7.0534794695025979E-2</v>
      </c>
      <c r="M321" s="28">
        <v>-9.176366855574436E-2</v>
      </c>
      <c r="N321" s="28">
        <v>-6.3288584532086245E-2</v>
      </c>
    </row>
    <row r="322" spans="1:14">
      <c r="A322" s="4">
        <v>39871</v>
      </c>
      <c r="B322" s="28">
        <v>-2.8440556906992414E-2</v>
      </c>
      <c r="C322" s="28">
        <v>-1.1711125569290687E-2</v>
      </c>
      <c r="D322" s="28">
        <v>-3.1854526695899055E-2</v>
      </c>
      <c r="E322" s="28">
        <v>-1.3304718288718089E-2</v>
      </c>
      <c r="F322" s="28">
        <v>-1.2538215300507185E-2</v>
      </c>
      <c r="G322" s="28">
        <v>-4.279710656972309E-2</v>
      </c>
      <c r="H322" s="28">
        <v>-2.4179396011048078E-2</v>
      </c>
      <c r="I322" s="28">
        <v>-3.4494182910855979E-2</v>
      </c>
      <c r="J322" s="28">
        <v>-2.5680544999014728E-2</v>
      </c>
      <c r="K322" s="28">
        <v>-5.152482659914133E-2</v>
      </c>
      <c r="L322" s="28">
        <v>6.4040977008793604E-2</v>
      </c>
      <c r="M322" s="28">
        <v>-5.5751283978454247E-2</v>
      </c>
      <c r="N322" s="28">
        <v>-2.0475939285422368E-2</v>
      </c>
    </row>
    <row r="323" spans="1:14">
      <c r="A323" s="4">
        <v>39878</v>
      </c>
      <c r="B323" s="28">
        <v>-7.1065178595210846E-2</v>
      </c>
      <c r="C323" s="28">
        <v>5.5438134506762817E-4</v>
      </c>
      <c r="D323" s="28">
        <v>-9.5111229519115326E-2</v>
      </c>
      <c r="E323" s="28">
        <v>-7.5039811494193392E-2</v>
      </c>
      <c r="F323" s="28">
        <v>-7.9819628183460528E-2</v>
      </c>
      <c r="G323" s="28">
        <v>-6.4486988955911054E-2</v>
      </c>
      <c r="H323" s="28">
        <v>-9.013003057243163E-2</v>
      </c>
      <c r="I323" s="28">
        <v>-6.7782273187937447E-2</v>
      </c>
      <c r="J323" s="28">
        <v>-7.4586652990761532E-2</v>
      </c>
      <c r="K323" s="28">
        <v>-5.010640355968334E-3</v>
      </c>
      <c r="L323" s="28">
        <v>-5.0835263714252323E-2</v>
      </c>
      <c r="M323" s="28">
        <v>-7.6090110855920462E-2</v>
      </c>
      <c r="N323" s="28">
        <v>-7.676671141754085E-2</v>
      </c>
    </row>
    <row r="324" spans="1:14">
      <c r="A324" s="4">
        <v>39885</v>
      </c>
      <c r="B324" s="28">
        <v>8.4458781362007129E-2</v>
      </c>
      <c r="C324" s="28">
        <v>1.0388890812767795E-4</v>
      </c>
      <c r="D324" s="28">
        <v>0.11600176652436324</v>
      </c>
      <c r="E324" s="28">
        <v>1.4137144296853502E-3</v>
      </c>
      <c r="F324" s="28">
        <v>6.3317895736848359E-2</v>
      </c>
      <c r="G324" s="28">
        <v>5.7812110640418586E-2</v>
      </c>
      <c r="H324" s="28">
        <v>6.1873743189593802E-4</v>
      </c>
      <c r="I324" s="28">
        <v>0.10587318843681236</v>
      </c>
      <c r="J324" s="28">
        <v>9.2805794703278034E-3</v>
      </c>
      <c r="K324" s="28">
        <v>3.8488460267154197E-2</v>
      </c>
      <c r="L324" s="28">
        <v>8.3453533277998856E-2</v>
      </c>
      <c r="M324" s="28">
        <v>6.0971013192138615E-2</v>
      </c>
      <c r="N324" s="28">
        <v>4.2055537298718415E-2</v>
      </c>
    </row>
    <row r="325" spans="1:14">
      <c r="A325" s="4">
        <v>39892</v>
      </c>
      <c r="B325" s="28">
        <v>4.4314591293081775E-2</v>
      </c>
      <c r="C325" s="28">
        <v>2.1502770083102422E-2</v>
      </c>
      <c r="D325" s="28">
        <v>1.7807677087455405E-2</v>
      </c>
      <c r="E325" s="28">
        <v>7.2542770882254234E-2</v>
      </c>
      <c r="F325" s="28">
        <v>6.1922524253050587E-2</v>
      </c>
      <c r="G325" s="28">
        <v>7.7974087161366376E-2</v>
      </c>
      <c r="H325" s="28">
        <v>6.7615383294113415E-2</v>
      </c>
      <c r="I325" s="28">
        <v>4.0360098152290948E-2</v>
      </c>
      <c r="J325" s="28">
        <v>6.6609438077119484E-2</v>
      </c>
      <c r="K325" s="28">
        <v>9.6394903623819306E-2</v>
      </c>
      <c r="L325" s="28">
        <v>4.046120257338065E-2</v>
      </c>
      <c r="M325" s="28">
        <v>0.11817397482744624</v>
      </c>
      <c r="N325" s="28">
        <v>6.6604120183854948E-2</v>
      </c>
    </row>
    <row r="326" spans="1:14">
      <c r="A326" s="4">
        <v>39899</v>
      </c>
      <c r="B326" s="28">
        <v>4.4003899079665419E-2</v>
      </c>
      <c r="C326" s="28">
        <v>-9.2200264397816027E-3</v>
      </c>
      <c r="D326" s="28">
        <v>7.7501296008294501E-2</v>
      </c>
      <c r="E326" s="28">
        <v>-1.4361300075585766E-2</v>
      </c>
      <c r="F326" s="28">
        <v>1.6195751244478817E-2</v>
      </c>
      <c r="G326" s="28">
        <v>6.4375728438228474E-2</v>
      </c>
      <c r="H326" s="28">
        <v>-1.3981063622688163E-2</v>
      </c>
      <c r="I326" s="28">
        <v>1.7737963259201881E-2</v>
      </c>
      <c r="J326" s="28">
        <v>-1.7285508160587115E-2</v>
      </c>
      <c r="K326" s="28">
        <v>0.2260626035280657</v>
      </c>
      <c r="L326" s="28">
        <v>3.6342018403347782E-2</v>
      </c>
      <c r="M326" s="28">
        <v>4.4857974961231478E-2</v>
      </c>
      <c r="N326" s="28">
        <v>1.0237495103003346E-2</v>
      </c>
    </row>
    <row r="327" spans="1:14">
      <c r="A327" s="4">
        <v>39906</v>
      </c>
      <c r="B327" s="28">
        <v>3.6631946549612486E-2</v>
      </c>
      <c r="C327" s="28">
        <v>-3.3186219165897814E-3</v>
      </c>
      <c r="D327" s="28">
        <v>7.7940822708684201E-2</v>
      </c>
      <c r="E327" s="28">
        <v>2.0150200973132925E-2</v>
      </c>
      <c r="F327" s="28">
        <v>2.8018490409824685E-2</v>
      </c>
      <c r="G327" s="28">
        <v>1.7939329649083808E-2</v>
      </c>
      <c r="H327" s="28">
        <v>5.9393177942939903E-3</v>
      </c>
      <c r="I327" s="28">
        <v>5.6848338633622104E-2</v>
      </c>
      <c r="J327" s="28">
        <v>3.6042350684325188E-2</v>
      </c>
      <c r="K327" s="28">
        <v>3.4374695321531472E-2</v>
      </c>
      <c r="L327" s="28">
        <v>7.0908609707151141E-2</v>
      </c>
      <c r="M327" s="28">
        <v>1.4414479638009108E-2</v>
      </c>
      <c r="N327" s="28">
        <v>1.0828845703582266E-2</v>
      </c>
    </row>
    <row r="328" spans="1:14">
      <c r="A328" s="4">
        <v>39913</v>
      </c>
      <c r="B328" s="28">
        <v>8.2582758217336055E-3</v>
      </c>
      <c r="C328" s="28">
        <v>-9.9546890017856819E-4</v>
      </c>
      <c r="D328" s="28">
        <v>3.0127203749163004E-2</v>
      </c>
      <c r="E328" s="28">
        <v>2.786562289387852E-3</v>
      </c>
      <c r="F328" s="28">
        <v>-6.5100234226616238E-3</v>
      </c>
      <c r="G328" s="28">
        <v>2.0892336395189465E-2</v>
      </c>
      <c r="H328" s="28">
        <v>-3.4062984079610429E-3</v>
      </c>
      <c r="I328" s="28">
        <v>3.894549705660662E-3</v>
      </c>
      <c r="J328" s="28">
        <v>7.7980344680245303E-3</v>
      </c>
      <c r="K328" s="28">
        <v>-4.5034673130007322E-2</v>
      </c>
      <c r="L328" s="28">
        <v>-1.6087894369356766E-2</v>
      </c>
      <c r="M328" s="28">
        <v>6.8229181535298927E-3</v>
      </c>
      <c r="N328" s="28">
        <v>1.0401586658173692E-2</v>
      </c>
    </row>
    <row r="329" spans="1:14">
      <c r="A329" s="4">
        <v>39920</v>
      </c>
      <c r="B329" s="28">
        <v>2.240243166736269E-2</v>
      </c>
      <c r="C329" s="28">
        <v>6.9065044840739718E-3</v>
      </c>
      <c r="D329" s="28">
        <v>3.4987001733102298E-2</v>
      </c>
      <c r="E329" s="28">
        <v>2.0860529138824607E-2</v>
      </c>
      <c r="F329" s="28">
        <v>6.174382392877235E-3</v>
      </c>
      <c r="G329" s="28">
        <v>4.0748454439935508E-3</v>
      </c>
      <c r="H329" s="28">
        <v>1.6910669672284547E-2</v>
      </c>
      <c r="I329" s="28">
        <v>4.4596345194454413E-2</v>
      </c>
      <c r="J329" s="28">
        <v>6.1053598558455796E-3</v>
      </c>
      <c r="K329" s="28">
        <v>3.60544553408393E-2</v>
      </c>
      <c r="L329" s="28">
        <v>-1.9894261439566213E-2</v>
      </c>
      <c r="M329" s="28">
        <v>1.1270840421912119E-2</v>
      </c>
      <c r="N329" s="28">
        <v>1.5251918131084801E-2</v>
      </c>
    </row>
    <row r="330" spans="1:14">
      <c r="A330" s="4">
        <v>39927</v>
      </c>
      <c r="B330" s="28">
        <v>1.1233787601983604E-3</v>
      </c>
      <c r="C330" s="28">
        <v>8.8725088725085614E-4</v>
      </c>
      <c r="D330" s="28">
        <v>-8.3725798011512007E-3</v>
      </c>
      <c r="E330" s="28">
        <v>7.9761980122807549E-3</v>
      </c>
      <c r="F330" s="28">
        <v>-1.7073416361744309E-2</v>
      </c>
      <c r="G330" s="28">
        <v>1.1978158921719656E-2</v>
      </c>
      <c r="H330" s="28">
        <v>-1.4396722124856961E-2</v>
      </c>
      <c r="I330" s="28">
        <v>2.4941291326947904E-2</v>
      </c>
      <c r="J330" s="28">
        <v>-1.5276129204447285E-2</v>
      </c>
      <c r="K330" s="28">
        <v>-2.4048178013677601E-2</v>
      </c>
      <c r="L330" s="28">
        <v>1.6297180960916626E-4</v>
      </c>
      <c r="M330" s="28">
        <v>1.2175631913193506E-2</v>
      </c>
      <c r="N330" s="28">
        <v>4.6924173358358591E-3</v>
      </c>
    </row>
    <row r="331" spans="1:14">
      <c r="A331" s="4">
        <v>39934</v>
      </c>
      <c r="B331" s="28">
        <v>1.5823000022669096E-2</v>
      </c>
      <c r="C331" s="28">
        <v>2.2502557108761271E-3</v>
      </c>
      <c r="D331" s="28">
        <v>-3.6939313984168266E-3</v>
      </c>
      <c r="E331" s="28">
        <v>3.1080826477422604E-2</v>
      </c>
      <c r="F331" s="28">
        <v>1.5156896763705451E-2</v>
      </c>
      <c r="G331" s="28">
        <v>2.405353511621694E-2</v>
      </c>
      <c r="H331" s="28">
        <v>4.0175381617408266E-2</v>
      </c>
      <c r="I331" s="28">
        <v>-3.2611004202681267E-2</v>
      </c>
      <c r="J331" s="28">
        <v>4.0312687227183237E-2</v>
      </c>
      <c r="K331" s="28">
        <v>2.950753376423253E-2</v>
      </c>
      <c r="L331" s="28">
        <v>-1.902479131190829E-2</v>
      </c>
      <c r="M331" s="28">
        <v>2.9009896190416901E-2</v>
      </c>
      <c r="N331" s="28">
        <v>2.6632392912075229E-2</v>
      </c>
    </row>
    <row r="332" spans="1:14">
      <c r="A332" s="4">
        <v>39941</v>
      </c>
      <c r="B332" s="28">
        <v>6.3990984356519634E-2</v>
      </c>
      <c r="C332" s="28">
        <v>3.0956592733706119E-3</v>
      </c>
      <c r="D332" s="28">
        <v>8.2627118644067757E-2</v>
      </c>
      <c r="E332" s="28">
        <v>5.2674215338137043E-2</v>
      </c>
      <c r="F332" s="28">
        <v>4.5350253328937428E-3</v>
      </c>
      <c r="G332" s="28">
        <v>5.3717504469866055E-2</v>
      </c>
      <c r="H332" s="28">
        <v>1.2450432447622355E-2</v>
      </c>
      <c r="I332" s="28">
        <v>9.7471891424389598E-2</v>
      </c>
      <c r="J332" s="28">
        <v>4.5277534006143025E-2</v>
      </c>
      <c r="K332" s="28">
        <v>0.19526863660067859</v>
      </c>
      <c r="L332" s="28">
        <v>-2.0843054512994272E-2</v>
      </c>
      <c r="M332" s="28">
        <v>5.1700002692007384E-2</v>
      </c>
      <c r="N332" s="28">
        <v>3.190696083461611E-2</v>
      </c>
    </row>
    <row r="333" spans="1:14">
      <c r="A333" s="4">
        <v>39948</v>
      </c>
      <c r="B333" s="28">
        <v>-3.4313160019715412E-2</v>
      </c>
      <c r="C333" s="28">
        <v>1.2107030216705644E-2</v>
      </c>
      <c r="D333" s="28">
        <v>-5.8023483365949181E-2</v>
      </c>
      <c r="E333" s="28">
        <v>1.0646484634923995E-2</v>
      </c>
      <c r="F333" s="28">
        <v>-5.334405037007274E-2</v>
      </c>
      <c r="G333" s="28">
        <v>-1.7440987446693507E-2</v>
      </c>
      <c r="H333" s="28">
        <v>-8.6428224482086279E-3</v>
      </c>
      <c r="I333" s="28">
        <v>-3.6802638199331848E-2</v>
      </c>
      <c r="J333" s="28">
        <v>-1.0363373999737607E-2</v>
      </c>
      <c r="K333" s="28">
        <v>-5.8231577754483378E-2</v>
      </c>
      <c r="L333" s="28">
        <v>-3.2613847385064884E-2</v>
      </c>
      <c r="M333" s="28">
        <v>-2.2601906955909603E-2</v>
      </c>
      <c r="N333" s="28">
        <v>-2.7386816406897534E-2</v>
      </c>
    </row>
    <row r="334" spans="1:14">
      <c r="A334" s="4">
        <v>39955</v>
      </c>
      <c r="B334" s="28">
        <v>2.2153445186512435E-2</v>
      </c>
      <c r="C334" s="28">
        <v>2.0104543626860432E-4</v>
      </c>
      <c r="D334" s="28">
        <v>2.74228731692116E-2</v>
      </c>
      <c r="E334" s="28">
        <v>3.7219394619475911E-2</v>
      </c>
      <c r="F334" s="28">
        <v>1.8665402494852587E-2</v>
      </c>
      <c r="G334" s="28">
        <v>2.8517066685005567E-2</v>
      </c>
      <c r="H334" s="28">
        <v>2.521348244699886E-2</v>
      </c>
      <c r="I334" s="28">
        <v>5.427654352067468E-2</v>
      </c>
      <c r="J334" s="28">
        <v>3.2158006362672312E-2</v>
      </c>
      <c r="K334" s="28">
        <v>7.0423806314978937E-2</v>
      </c>
      <c r="L334" s="28">
        <v>3.9970121801848134E-2</v>
      </c>
      <c r="M334" s="28">
        <v>3.8647880684570944E-2</v>
      </c>
      <c r="N334" s="28">
        <v>1.3250811135043799E-2</v>
      </c>
    </row>
    <row r="335" spans="1:14">
      <c r="A335" s="4">
        <v>39962</v>
      </c>
      <c r="B335" s="28">
        <v>3.054448871181939E-2</v>
      </c>
      <c r="C335" s="28">
        <v>2.0435510887772653E-3</v>
      </c>
      <c r="D335" s="28">
        <v>9.1497320796683823E-2</v>
      </c>
      <c r="E335" s="28">
        <v>2.2167270158085232E-2</v>
      </c>
      <c r="F335" s="28">
        <v>5.0997089651244255E-2</v>
      </c>
      <c r="G335" s="28">
        <v>3.4204797884116733E-2</v>
      </c>
      <c r="H335" s="28">
        <v>2.9888335963102388E-2</v>
      </c>
      <c r="I335" s="28">
        <v>4.4187351504948826E-2</v>
      </c>
      <c r="J335" s="28">
        <v>1.2810469267716363E-2</v>
      </c>
      <c r="K335" s="28">
        <v>5.5476553146762635E-2</v>
      </c>
      <c r="L335" s="28">
        <v>6.7279621877944493E-2</v>
      </c>
      <c r="M335" s="28">
        <v>1.6824150125125174E-2</v>
      </c>
      <c r="N335" s="28">
        <v>4.1015257110566979E-2</v>
      </c>
    </row>
    <row r="336" spans="1:14">
      <c r="A336" s="4">
        <v>39969</v>
      </c>
      <c r="B336" s="28">
        <v>1.2670103092783467E-2</v>
      </c>
      <c r="C336" s="28">
        <v>-5.7503928320685608E-3</v>
      </c>
      <c r="D336" s="28">
        <v>1.7691737680622554E-2</v>
      </c>
      <c r="E336" s="28">
        <v>-3.1028598583030829E-2</v>
      </c>
      <c r="F336" s="28">
        <v>4.0446497610881682E-3</v>
      </c>
      <c r="G336" s="28">
        <v>3.6399554613699273E-2</v>
      </c>
      <c r="H336" s="28">
        <v>-3.0855013110986783E-2</v>
      </c>
      <c r="I336" s="28">
        <v>3.8978709780694641E-2</v>
      </c>
      <c r="J336" s="28">
        <v>-6.555630931926632E-3</v>
      </c>
      <c r="K336" s="28">
        <v>6.4904703833680424E-2</v>
      </c>
      <c r="L336" s="28">
        <v>-4.3730952131130187E-2</v>
      </c>
      <c r="M336" s="28">
        <v>5.2073647015073187E-4</v>
      </c>
      <c r="N336" s="28">
        <v>1.9101900496933708E-2</v>
      </c>
    </row>
    <row r="337" spans="1:14">
      <c r="A337" s="4">
        <v>39976</v>
      </c>
      <c r="B337" s="28">
        <v>1.2318154516487007E-2</v>
      </c>
      <c r="C337" s="28">
        <v>-8.4064696190187978E-4</v>
      </c>
      <c r="D337" s="28">
        <v>3.0035496495858585E-3</v>
      </c>
      <c r="E337" s="28">
        <v>1.6718866683757064E-3</v>
      </c>
      <c r="F337" s="28">
        <v>2.6658241345944984E-2</v>
      </c>
      <c r="G337" s="28">
        <v>-1.2081346345791328E-2</v>
      </c>
      <c r="H337" s="28">
        <v>1.0176705301159111E-2</v>
      </c>
      <c r="I337" s="28">
        <v>3.0979343436011476E-3</v>
      </c>
      <c r="J337" s="28">
        <v>5.0423439464430439E-2</v>
      </c>
      <c r="K337" s="28">
        <v>-2.7649009106320399E-2</v>
      </c>
      <c r="L337" s="28">
        <v>-5.7308541671659526E-3</v>
      </c>
      <c r="M337" s="28">
        <v>-3.4078094600787794E-4</v>
      </c>
      <c r="N337" s="28">
        <v>1.9897910655971664E-2</v>
      </c>
    </row>
    <row r="338" spans="1:14">
      <c r="A338" s="4">
        <v>39983</v>
      </c>
      <c r="B338" s="28">
        <v>-2.9756936413278524E-2</v>
      </c>
      <c r="C338" s="28">
        <v>4.3077337282090246E-3</v>
      </c>
      <c r="D338" s="28">
        <v>-4.5916515426497294E-2</v>
      </c>
      <c r="E338" s="28">
        <v>-1.1027161757669587E-2</v>
      </c>
      <c r="F338" s="28">
        <v>-2.2901399601213047E-2</v>
      </c>
      <c r="G338" s="28">
        <v>-1.6361582555129088E-2</v>
      </c>
      <c r="H338" s="28">
        <v>1.0706170907503943E-2</v>
      </c>
      <c r="I338" s="28">
        <v>-4.2502070796557274E-2</v>
      </c>
      <c r="J338" s="28">
        <v>-4.3531355942500995E-2</v>
      </c>
      <c r="K338" s="28">
        <v>-7.3055204122566206E-2</v>
      </c>
      <c r="L338" s="28">
        <v>-1.8202413373636563E-2</v>
      </c>
      <c r="M338" s="28">
        <v>-2.536894365280562E-2</v>
      </c>
      <c r="N338" s="28">
        <v>-1.890663566334878E-2</v>
      </c>
    </row>
    <row r="339" spans="1:14">
      <c r="A339" s="4">
        <v>39990</v>
      </c>
      <c r="B339" s="28">
        <v>-1.0675787728026251E-3</v>
      </c>
      <c r="C339" s="28">
        <v>1.1426848066483372E-2</v>
      </c>
      <c r="D339" s="28">
        <v>2.6536047175195039E-2</v>
      </c>
      <c r="E339" s="28">
        <v>7.7465739553095152E-3</v>
      </c>
      <c r="F339" s="28">
        <v>2.3930289171330915E-2</v>
      </c>
      <c r="G339" s="28">
        <v>1.2896139004400897E-2</v>
      </c>
      <c r="H339" s="28">
        <v>-2.8138189776457513E-3</v>
      </c>
      <c r="I339" s="28">
        <v>8.7769050524494196E-3</v>
      </c>
      <c r="J339" s="28">
        <v>1.3714118745593345E-2</v>
      </c>
      <c r="K339" s="28">
        <v>-1.8070651420074645E-2</v>
      </c>
      <c r="L339" s="28">
        <v>6.3278497481289012E-2</v>
      </c>
      <c r="M339" s="28">
        <v>1.186039708482242E-2</v>
      </c>
      <c r="N339" s="28">
        <v>1.6286232113661453E-2</v>
      </c>
    </row>
    <row r="340" spans="1:14">
      <c r="A340" s="4">
        <v>39997</v>
      </c>
      <c r="B340" s="28">
        <v>-1.7607935503284006E-2</v>
      </c>
      <c r="C340" s="28">
        <v>4.7708975250969014E-3</v>
      </c>
      <c r="D340" s="28">
        <v>-2.6961919762809327E-2</v>
      </c>
      <c r="E340" s="28">
        <v>-4.0584370272367361E-3</v>
      </c>
      <c r="F340" s="28">
        <v>-8.0167640725930418E-3</v>
      </c>
      <c r="G340" s="28">
        <v>-2.3118904263934318E-2</v>
      </c>
      <c r="H340" s="28">
        <v>-6.7632633865585337E-3</v>
      </c>
      <c r="I340" s="28">
        <v>-9.3025369006308929E-3</v>
      </c>
      <c r="J340" s="28">
        <v>-2.6618542747575014E-2</v>
      </c>
      <c r="K340" s="28">
        <v>-9.7751158322975369E-4</v>
      </c>
      <c r="L340" s="28">
        <v>-1.224080633304382E-2</v>
      </c>
      <c r="M340" s="28">
        <v>3.6201142598563212E-3</v>
      </c>
      <c r="N340" s="28">
        <v>-1.2028284239143967E-2</v>
      </c>
    </row>
    <row r="341" spans="1:14">
      <c r="A341" s="4">
        <v>40004</v>
      </c>
      <c r="B341" s="28">
        <v>-2.6827207435572431E-2</v>
      </c>
      <c r="C341" s="28">
        <v>1.022191446565774E-2</v>
      </c>
      <c r="D341" s="28">
        <v>-3.6564463911635779E-2</v>
      </c>
      <c r="E341" s="28">
        <v>-2.6036119861439663E-2</v>
      </c>
      <c r="F341" s="28">
        <v>-2.0368611794802208E-2</v>
      </c>
      <c r="G341" s="28">
        <v>-1.6385288562736997E-2</v>
      </c>
      <c r="H341" s="28">
        <v>-2.0247570517012058E-2</v>
      </c>
      <c r="I341" s="28">
        <v>-3.1643574118766615E-2</v>
      </c>
      <c r="J341" s="28">
        <v>-2.2499034376207056E-2</v>
      </c>
      <c r="K341" s="28">
        <v>-8.5584846753804969E-2</v>
      </c>
      <c r="L341" s="28">
        <v>-1.6202265684681354E-2</v>
      </c>
      <c r="M341" s="28">
        <v>-3.525020821983002E-2</v>
      </c>
      <c r="N341" s="28">
        <v>-1.6043624521121205E-2</v>
      </c>
    </row>
    <row r="342" spans="1:14">
      <c r="A342" s="4">
        <v>40011</v>
      </c>
      <c r="B342" s="28">
        <v>6.631213370957241E-2</v>
      </c>
      <c r="C342" s="28">
        <v>-6.3322126840095238E-3</v>
      </c>
      <c r="D342" s="28">
        <v>6.5823285234235973E-2</v>
      </c>
      <c r="E342" s="28">
        <v>4.7104931486352024E-2</v>
      </c>
      <c r="F342" s="28">
        <v>4.7993985914378395E-2</v>
      </c>
      <c r="G342" s="28">
        <v>7.0605134519124299E-2</v>
      </c>
      <c r="H342" s="28">
        <v>3.0469702897383402E-2</v>
      </c>
      <c r="I342" s="28">
        <v>6.7421251102573285E-2</v>
      </c>
      <c r="J342" s="28">
        <v>3.3033685666304359E-2</v>
      </c>
      <c r="K342" s="28">
        <v>0.16956239369104692</v>
      </c>
      <c r="L342" s="28">
        <v>4.6840223072498612E-2</v>
      </c>
      <c r="M342" s="28">
        <v>8.3637331394669626E-2</v>
      </c>
      <c r="N342" s="28">
        <v>5.418823484134163E-2</v>
      </c>
    </row>
    <row r="343" spans="1:14">
      <c r="A343" s="4">
        <v>40018</v>
      </c>
      <c r="B343" s="28">
        <v>4.5791348600508916E-2</v>
      </c>
      <c r="C343" s="28">
        <v>3.9417928587854201E-4</v>
      </c>
      <c r="D343" s="28">
        <v>4.9517804154302701E-2</v>
      </c>
      <c r="E343" s="28">
        <v>1.856594813845865E-2</v>
      </c>
      <c r="F343" s="28">
        <v>4.4688589370886336E-2</v>
      </c>
      <c r="G343" s="28">
        <v>3.984036472416369E-2</v>
      </c>
      <c r="H343" s="28">
        <v>2.5764715516150501E-2</v>
      </c>
      <c r="I343" s="28">
        <v>6.2913172722836003E-2</v>
      </c>
      <c r="J343" s="28">
        <v>-1.2176385462288211E-2</v>
      </c>
      <c r="K343" s="28">
        <v>4.3238898085028739E-2</v>
      </c>
      <c r="L343" s="28">
        <v>4.6181318681318584E-2</v>
      </c>
      <c r="M343" s="28">
        <v>5.0993452855166065E-2</v>
      </c>
      <c r="N343" s="28">
        <v>3.1895539370486024E-2</v>
      </c>
    </row>
    <row r="344" spans="1:14">
      <c r="A344" s="4">
        <v>40025</v>
      </c>
      <c r="B344" s="28">
        <v>1.6798217014277503E-2</v>
      </c>
      <c r="C344" s="28">
        <v>9.0297159743884421E-3</v>
      </c>
      <c r="D344" s="28">
        <v>4.1084997349354932E-2</v>
      </c>
      <c r="E344" s="28">
        <v>4.4948306749260361E-3</v>
      </c>
      <c r="F344" s="28">
        <v>1.390160458728854E-2</v>
      </c>
      <c r="G344" s="28">
        <v>6.9583879186059109E-3</v>
      </c>
      <c r="H344" s="28">
        <v>9.3401648862052149E-3</v>
      </c>
      <c r="I344" s="28">
        <v>1.2042409316692489E-2</v>
      </c>
      <c r="J344" s="28">
        <v>-1.1894082645481516E-2</v>
      </c>
      <c r="K344" s="28">
        <v>-5.094669606874094E-3</v>
      </c>
      <c r="L344" s="28">
        <v>2.3090369155906988E-2</v>
      </c>
      <c r="M344" s="28">
        <v>1.5228889294182034E-2</v>
      </c>
      <c r="N344" s="28">
        <v>9.8000483516223688E-3</v>
      </c>
    </row>
    <row r="345" spans="1:14">
      <c r="A345" s="4">
        <v>40032</v>
      </c>
      <c r="B345" s="28">
        <v>1.7669298875329059E-2</v>
      </c>
      <c r="C345" s="28">
        <v>-4.2629352424341108E-3</v>
      </c>
      <c r="D345" s="28">
        <v>3.717219723330218E-2</v>
      </c>
      <c r="E345" s="28">
        <v>7.6118545099029709E-3</v>
      </c>
      <c r="F345" s="28">
        <v>-4.1822113442482496E-3</v>
      </c>
      <c r="G345" s="28">
        <v>-1.0617154811715488E-2</v>
      </c>
      <c r="H345" s="28">
        <v>4.7023634049712494E-3</v>
      </c>
      <c r="I345" s="28">
        <v>1.1094842341877865E-2</v>
      </c>
      <c r="J345" s="28">
        <v>-8.6017712986910192E-3</v>
      </c>
      <c r="K345" s="28">
        <v>2.6974421685519237E-2</v>
      </c>
      <c r="L345" s="28">
        <v>-3.7097960354295988E-2</v>
      </c>
      <c r="M345" s="28">
        <v>2.0889472738704774E-2</v>
      </c>
      <c r="N345" s="28">
        <v>8.1166461317471817E-4</v>
      </c>
    </row>
    <row r="346" spans="1:14">
      <c r="A346" s="4">
        <v>40039</v>
      </c>
      <c r="B346" s="28">
        <v>7.2422193169738975E-4</v>
      </c>
      <c r="C346" s="28">
        <v>9.2813490636948093E-3</v>
      </c>
      <c r="D346" s="28">
        <v>5.6460191473693801E-3</v>
      </c>
      <c r="E346" s="28">
        <v>-3.7318604923925781E-4</v>
      </c>
      <c r="F346" s="28">
        <v>-4.1043262462117794E-3</v>
      </c>
      <c r="G346" s="28">
        <v>6.8126552836074517E-3</v>
      </c>
      <c r="H346" s="28">
        <v>8.5019286782650558E-3</v>
      </c>
      <c r="I346" s="28">
        <v>9.5453711068959318E-3</v>
      </c>
      <c r="J346" s="28">
        <v>-2.0897154640261956E-2</v>
      </c>
      <c r="K346" s="28">
        <v>2.3517270805838678E-3</v>
      </c>
      <c r="L346" s="28">
        <v>-1.2654662951819854E-2</v>
      </c>
      <c r="M346" s="28">
        <v>-1.0085290543252873E-2</v>
      </c>
      <c r="N346" s="28">
        <v>-5.5428491411503773E-4</v>
      </c>
    </row>
    <row r="347" spans="1:14">
      <c r="A347" s="4">
        <v>40046</v>
      </c>
      <c r="B347" s="28">
        <v>1.5592398353352429E-2</v>
      </c>
      <c r="C347" s="28">
        <v>1.1656898617362745E-3</v>
      </c>
      <c r="D347" s="28">
        <v>-8.6248982912937536E-3</v>
      </c>
      <c r="E347" s="28">
        <v>2.0463563443979926E-2</v>
      </c>
      <c r="F347" s="28">
        <v>2.0037139091889193E-2</v>
      </c>
      <c r="G347" s="28">
        <v>-3.5827967998319943E-2</v>
      </c>
      <c r="H347" s="28">
        <v>2.460243682630699E-2</v>
      </c>
      <c r="I347" s="28">
        <v>-8.5611249166616388E-3</v>
      </c>
      <c r="J347" s="28">
        <v>2.597918166587038E-2</v>
      </c>
      <c r="K347" s="28">
        <v>-3.4564515809689708E-2</v>
      </c>
      <c r="L347" s="28">
        <v>2.7386213575138596E-2</v>
      </c>
      <c r="M347" s="28">
        <v>-1.6909701969280367E-2</v>
      </c>
      <c r="N347" s="28">
        <v>1.014612048080228E-2</v>
      </c>
    </row>
    <row r="348" spans="1:14">
      <c r="A348" s="4">
        <v>40053</v>
      </c>
      <c r="B348" s="28">
        <v>1.2511915007819931E-2</v>
      </c>
      <c r="C348" s="28">
        <v>7.7622174067724613E-3</v>
      </c>
      <c r="D348" s="28">
        <v>2.4458305975049159E-2</v>
      </c>
      <c r="E348" s="28">
        <v>7.5415096607626365E-3</v>
      </c>
      <c r="F348" s="28">
        <v>-1.303696743694384E-2</v>
      </c>
      <c r="G348" s="28">
        <v>3.4130203937158016E-2</v>
      </c>
      <c r="H348" s="28">
        <v>-9.432916862897274E-3</v>
      </c>
      <c r="I348" s="28">
        <v>2.8554253080853596E-2</v>
      </c>
      <c r="J348" s="28">
        <v>-2.1904512067155812E-3</v>
      </c>
      <c r="K348" s="28">
        <v>4.0626522084647135E-2</v>
      </c>
      <c r="L348" s="28">
        <v>-1.7843922235323186E-2</v>
      </c>
      <c r="M348" s="28">
        <v>2.9931457696458757E-2</v>
      </c>
      <c r="N348" s="28">
        <v>4.9238593348166449E-3</v>
      </c>
    </row>
    <row r="349" spans="1:14">
      <c r="A349" s="4">
        <v>40060</v>
      </c>
      <c r="B349" s="28">
        <v>-1.7073549707976345E-2</v>
      </c>
      <c r="C349" s="28">
        <v>1.0911775089060363E-3</v>
      </c>
      <c r="D349" s="28">
        <v>-2.5316455696202507E-2</v>
      </c>
      <c r="E349" s="28">
        <v>-1.1562162835090031E-2</v>
      </c>
      <c r="F349" s="28">
        <v>-1.0870794038020992E-2</v>
      </c>
      <c r="G349" s="28">
        <v>1.0768683929911337E-2</v>
      </c>
      <c r="H349" s="28">
        <v>-8.2921986212296361E-3</v>
      </c>
      <c r="I349" s="28">
        <v>-3.1808140744336265E-2</v>
      </c>
      <c r="J349" s="28">
        <v>-5.3829873936876776E-3</v>
      </c>
      <c r="K349" s="28">
        <v>1.9914371160127935E-2</v>
      </c>
      <c r="L349" s="28">
        <v>1.7074629088058076E-2</v>
      </c>
      <c r="M349" s="28">
        <v>-1.4006847060372623E-2</v>
      </c>
      <c r="N349" s="28">
        <v>-9.1323675720438469E-3</v>
      </c>
    </row>
    <row r="350" spans="1:14">
      <c r="A350" s="4">
        <v>40067</v>
      </c>
      <c r="B350" s="28">
        <v>4.0747249886089895E-2</v>
      </c>
      <c r="C350" s="28">
        <v>9.6496008719904811E-3</v>
      </c>
      <c r="D350" s="28">
        <v>6.5263850073976643E-2</v>
      </c>
      <c r="E350" s="28">
        <v>6.8872504001469395E-2</v>
      </c>
      <c r="F350" s="28">
        <v>2.3051287912510939E-2</v>
      </c>
      <c r="G350" s="28">
        <v>4.3625210018364405E-2</v>
      </c>
      <c r="H350" s="28">
        <v>3.2177100958826754E-2</v>
      </c>
      <c r="I350" s="28">
        <v>6.9942090077554295E-2</v>
      </c>
      <c r="J350" s="28">
        <v>3.8790169632649855E-2</v>
      </c>
      <c r="K350" s="28">
        <v>8.7285216727613524E-2</v>
      </c>
      <c r="L350" s="28">
        <v>7.5019786896270896E-2</v>
      </c>
      <c r="M350" s="28">
        <v>6.9170631277300137E-2</v>
      </c>
      <c r="N350" s="28">
        <v>2.6628129008293654E-2</v>
      </c>
    </row>
    <row r="351" spans="1:14">
      <c r="A351" s="4">
        <v>40074</v>
      </c>
      <c r="B351" s="28">
        <v>1.8048122369843593E-2</v>
      </c>
      <c r="C351" s="28">
        <v>6.0328951546325565E-4</v>
      </c>
      <c r="D351" s="28">
        <v>3.0015432098765546E-2</v>
      </c>
      <c r="E351" s="28">
        <v>1.388950259967889E-2</v>
      </c>
      <c r="F351" s="28">
        <v>3.0552125595343115E-2</v>
      </c>
      <c r="G351" s="28">
        <v>1.7309696300317621E-2</v>
      </c>
      <c r="H351" s="28">
        <v>1.1236031802409802E-2</v>
      </c>
      <c r="I351" s="28">
        <v>3.8628148488151916E-2</v>
      </c>
      <c r="J351" s="28">
        <v>5.5726254317830437E-3</v>
      </c>
      <c r="K351" s="28">
        <v>-9.952017060601726E-4</v>
      </c>
      <c r="L351" s="28">
        <v>5.1511479327210022E-2</v>
      </c>
      <c r="M351" s="28">
        <v>1.9068833074849266E-2</v>
      </c>
      <c r="N351" s="28">
        <v>2.1561788034168763E-2</v>
      </c>
    </row>
    <row r="352" spans="1:14">
      <c r="A352" s="4">
        <v>40081</v>
      </c>
      <c r="B352" s="28">
        <v>-2.1089492114478265E-2</v>
      </c>
      <c r="C352" s="28">
        <v>3.9666169517342054E-3</v>
      </c>
      <c r="D352" s="28">
        <v>-4.0901940220241274E-2</v>
      </c>
      <c r="E352" s="28">
        <v>-1.9205067116043861E-2</v>
      </c>
      <c r="F352" s="28">
        <v>-1.5661908185272695E-2</v>
      </c>
      <c r="G352" s="28">
        <v>3.6189436364872054E-4</v>
      </c>
      <c r="H352" s="28">
        <v>-2.3093705462380733E-2</v>
      </c>
      <c r="I352" s="28">
        <v>-5.6760899888135116E-3</v>
      </c>
      <c r="J352" s="28">
        <v>-4.6712594813788512E-2</v>
      </c>
      <c r="K352" s="28">
        <v>-2.8106877290355443E-3</v>
      </c>
      <c r="L352" s="28">
        <v>-1.459543084598861E-2</v>
      </c>
      <c r="M352" s="28">
        <v>-2.5075328124201293E-3</v>
      </c>
      <c r="N352" s="28">
        <v>-1.1422183607174338E-2</v>
      </c>
    </row>
    <row r="353" spans="1:14">
      <c r="A353" s="4">
        <v>40088</v>
      </c>
      <c r="B353" s="28">
        <v>-2.3758292989062218E-2</v>
      </c>
      <c r="C353" s="28">
        <v>4.741134079271762E-3</v>
      </c>
      <c r="D353" s="28">
        <v>-3.0383503866281344E-2</v>
      </c>
      <c r="E353" s="28">
        <v>-3.1104659774274429E-4</v>
      </c>
      <c r="F353" s="28">
        <v>-1.6937068530787573E-2</v>
      </c>
      <c r="G353" s="28">
        <v>1.063829787234037E-2</v>
      </c>
      <c r="H353" s="28">
        <v>-2.8624766645923201E-3</v>
      </c>
      <c r="I353" s="28">
        <v>-8.5557932164782441E-3</v>
      </c>
      <c r="J353" s="28">
        <v>5.1032258492655913E-3</v>
      </c>
      <c r="K353" s="28">
        <v>-1.6715427429712951E-2</v>
      </c>
      <c r="L353" s="28">
        <v>-2.436702816927435E-2</v>
      </c>
      <c r="M353" s="28">
        <v>1.6066025322677199E-2</v>
      </c>
      <c r="N353" s="28">
        <v>-2.8381578284453592E-3</v>
      </c>
    </row>
    <row r="354" spans="1:14">
      <c r="A354" s="4">
        <v>40095</v>
      </c>
      <c r="B354" s="28">
        <v>4.6781155294333569E-2</v>
      </c>
      <c r="C354" s="28">
        <v>5.3479300364922587E-4</v>
      </c>
      <c r="D354" s="28">
        <v>5.0668599967778366E-2</v>
      </c>
      <c r="E354" s="28">
        <v>2.5429797658028851E-2</v>
      </c>
      <c r="F354" s="28">
        <v>4.3891768229765538E-2</v>
      </c>
      <c r="G354" s="28">
        <v>1.0459578340664346E-2</v>
      </c>
      <c r="H354" s="28">
        <v>1.1808675875076256E-2</v>
      </c>
      <c r="I354" s="28">
        <v>3.1357111503366904E-2</v>
      </c>
      <c r="J354" s="28">
        <v>5.235774934305262E-3</v>
      </c>
      <c r="K354" s="28">
        <v>1.0581650610497253E-2</v>
      </c>
      <c r="L354" s="28">
        <v>4.4257483158223809E-2</v>
      </c>
      <c r="M354" s="28">
        <v>4.3399829686027645E-2</v>
      </c>
      <c r="N354" s="28">
        <v>3.6591253578846947E-2</v>
      </c>
    </row>
    <row r="355" spans="1:14">
      <c r="A355" s="4">
        <v>40102</v>
      </c>
      <c r="B355" s="28">
        <v>1.4352891633913645E-2</v>
      </c>
      <c r="C355" s="28">
        <v>-3.4271340984122992E-3</v>
      </c>
      <c r="D355" s="28">
        <v>2.0700759027829623E-3</v>
      </c>
      <c r="E355" s="28">
        <v>6.6465023985187656E-4</v>
      </c>
      <c r="F355" s="28">
        <v>2.3564896663522437E-2</v>
      </c>
      <c r="G355" s="28">
        <v>3.6956091000246147E-2</v>
      </c>
      <c r="H355" s="28">
        <v>1.3706234280665676E-4</v>
      </c>
      <c r="I355" s="28">
        <v>1.7531388520381507E-2</v>
      </c>
      <c r="J355" s="28">
        <v>5.32016210074118E-4</v>
      </c>
      <c r="K355" s="28">
        <v>1.4658294772652744E-2</v>
      </c>
      <c r="L355" s="28">
        <v>5.9728749399074132E-2</v>
      </c>
      <c r="M355" s="28">
        <v>1.8868015646882778E-2</v>
      </c>
      <c r="N355" s="28">
        <v>1.2645682596074645E-2</v>
      </c>
    </row>
    <row r="356" spans="1:14">
      <c r="A356" s="4">
        <v>40109</v>
      </c>
      <c r="B356" s="28">
        <v>-2.4044282996021214E-3</v>
      </c>
      <c r="C356" s="28">
        <v>5.9944472488641389E-4</v>
      </c>
      <c r="D356" s="28">
        <v>1.5837796480489837E-2</v>
      </c>
      <c r="E356" s="28">
        <v>3.0996409422138632E-3</v>
      </c>
      <c r="F356" s="28">
        <v>-1.4402781226719718E-2</v>
      </c>
      <c r="G356" s="28">
        <v>1.260538261997405E-2</v>
      </c>
      <c r="H356" s="28">
        <v>8.154091778071566E-3</v>
      </c>
      <c r="I356" s="28">
        <v>-4.5075712067209131E-3</v>
      </c>
      <c r="J356" s="28">
        <v>-1.1698133025234316E-2</v>
      </c>
      <c r="K356" s="28">
        <v>-1.3889196063253385E-2</v>
      </c>
      <c r="L356" s="28">
        <v>-1.8717373462053072E-2</v>
      </c>
      <c r="M356" s="28">
        <v>7.014982675836789E-4</v>
      </c>
      <c r="N356" s="28">
        <v>-8.2093024499552952E-3</v>
      </c>
    </row>
    <row r="357" spans="1:14">
      <c r="A357" s="4">
        <v>40116</v>
      </c>
      <c r="B357" s="28">
        <v>-4.0965129787935005E-2</v>
      </c>
      <c r="C357" s="28">
        <v>2.7116506384991762E-3</v>
      </c>
      <c r="D357" s="28">
        <v>-3.5324244934849723E-2</v>
      </c>
      <c r="E357" s="28">
        <v>-2.7335540521088143E-2</v>
      </c>
      <c r="F357" s="28">
        <v>-3.5995632821029626E-2</v>
      </c>
      <c r="G357" s="28">
        <v>-2.4696793819797495E-2</v>
      </c>
      <c r="H357" s="28">
        <v>8.8357835640906374E-5</v>
      </c>
      <c r="I357" s="28">
        <v>-5.0943143214732617E-2</v>
      </c>
      <c r="J357" s="28">
        <v>-9.7841248754566706E-3</v>
      </c>
      <c r="K357" s="28">
        <v>-6.9047031645995405E-2</v>
      </c>
      <c r="L357" s="28">
        <v>-5.7869630025915858E-2</v>
      </c>
      <c r="M357" s="28">
        <v>-5.6672587329780977E-2</v>
      </c>
      <c r="N357" s="28">
        <v>-2.7749018592813098E-2</v>
      </c>
    </row>
    <row r="358" spans="1:14">
      <c r="A358" s="4">
        <v>40123</v>
      </c>
      <c r="B358" s="28">
        <v>2.3522605024544129E-2</v>
      </c>
      <c r="C358" s="28">
        <v>-1.5722776013336491E-4</v>
      </c>
      <c r="D358" s="28">
        <v>-1.0071830106183684E-2</v>
      </c>
      <c r="E358" s="28">
        <v>2.5247517426114672E-2</v>
      </c>
      <c r="F358" s="28">
        <v>3.135164018213922E-2</v>
      </c>
      <c r="G358" s="28">
        <v>1.8708739344050894E-2</v>
      </c>
      <c r="H358" s="28">
        <v>1.6609805494012468E-2</v>
      </c>
      <c r="I358" s="28">
        <v>1.8961676313917833E-2</v>
      </c>
      <c r="J358" s="28">
        <v>1.8641373250065377E-2</v>
      </c>
      <c r="K358" s="28">
        <v>-1.7986720760135372E-2</v>
      </c>
      <c r="L358" s="28">
        <v>5.606670973529259E-2</v>
      </c>
      <c r="M358" s="28">
        <v>6.6494275959028071E-2</v>
      </c>
      <c r="N358" s="28">
        <v>1.1663764129072319E-2</v>
      </c>
    </row>
    <row r="359" spans="1:14">
      <c r="A359" s="4">
        <v>40130</v>
      </c>
      <c r="B359" s="28">
        <v>2.3026170519082428E-2</v>
      </c>
      <c r="C359" s="28">
        <v>3.742609133224298E-3</v>
      </c>
      <c r="D359" s="28">
        <v>3.0601782474958445E-2</v>
      </c>
      <c r="E359" s="28">
        <v>2.8046826508076255E-2</v>
      </c>
      <c r="F359" s="28">
        <v>2.2165407097885895E-2</v>
      </c>
      <c r="G359" s="28">
        <v>2.2261486132613573E-2</v>
      </c>
      <c r="H359" s="28">
        <v>2.6994504833340094E-2</v>
      </c>
      <c r="I359" s="28">
        <v>1.4319456064044679E-2</v>
      </c>
      <c r="J359" s="28">
        <v>3.403224107048787E-2</v>
      </c>
      <c r="K359" s="28">
        <v>3.9370194643023625E-2</v>
      </c>
      <c r="L359" s="28">
        <v>3.8766055519513981E-2</v>
      </c>
      <c r="M359" s="28">
        <v>1.6727635673695635E-2</v>
      </c>
      <c r="N359" s="28">
        <v>1.9352539678188622E-2</v>
      </c>
    </row>
    <row r="360" spans="1:14">
      <c r="A360" s="4">
        <v>40137</v>
      </c>
      <c r="B360" s="28">
        <v>-1.0826584704643141E-2</v>
      </c>
      <c r="C360" s="28">
        <v>6.6739777534074746E-3</v>
      </c>
      <c r="D360" s="28">
        <v>-1.6224075916430523E-2</v>
      </c>
      <c r="E360" s="28">
        <v>2.7613966114387769E-3</v>
      </c>
      <c r="F360" s="28">
        <v>2.6059170293647833E-3</v>
      </c>
      <c r="G360" s="28">
        <v>-2.333620461544527E-2</v>
      </c>
      <c r="H360" s="28">
        <v>7.7657136905692229E-3</v>
      </c>
      <c r="I360" s="28">
        <v>-2.795663645436024E-2</v>
      </c>
      <c r="J360" s="28">
        <v>-6.368453230073686E-6</v>
      </c>
      <c r="K360" s="28">
        <v>-3.6769530715233166E-2</v>
      </c>
      <c r="L360" s="28">
        <v>6.9392933736312475E-3</v>
      </c>
      <c r="M360" s="28">
        <v>-1.0099279482857593E-2</v>
      </c>
      <c r="N360" s="28">
        <v>-2.8504584935595528E-3</v>
      </c>
    </row>
    <row r="361" spans="1:14">
      <c r="A361" s="4">
        <v>40144</v>
      </c>
      <c r="B361" s="28">
        <v>-9.9500750619706388E-4</v>
      </c>
      <c r="C361" s="28">
        <v>8.9018924302789269E-3</v>
      </c>
      <c r="D361" s="28">
        <v>-2.567094515752634E-2</v>
      </c>
      <c r="E361" s="28">
        <v>5.1901983663943481E-3</v>
      </c>
      <c r="F361" s="28">
        <v>1.0154794678623838E-2</v>
      </c>
      <c r="G361" s="28">
        <v>-2.5692314787059845E-2</v>
      </c>
      <c r="H361" s="28">
        <v>8.2161519729745617E-3</v>
      </c>
      <c r="I361" s="28">
        <v>-1.7256413141314108E-2</v>
      </c>
      <c r="J361" s="28">
        <v>2.3359635212675891E-2</v>
      </c>
      <c r="K361" s="28">
        <v>-6.9832977200995863E-2</v>
      </c>
      <c r="L361" s="28">
        <v>-2.7947710494873042E-3</v>
      </c>
      <c r="M361" s="28">
        <v>-1.4215881183487251E-2</v>
      </c>
      <c r="N361" s="28">
        <v>1.0172325449691285E-2</v>
      </c>
    </row>
    <row r="362" spans="1:14">
      <c r="A362" s="4">
        <v>40151</v>
      </c>
      <c r="B362" s="28">
        <v>2.1247968687204185E-2</v>
      </c>
      <c r="C362" s="28">
        <v>-7.1265502560622024E-3</v>
      </c>
      <c r="D362" s="28">
        <v>6.0439121756486969E-2</v>
      </c>
      <c r="E362" s="28">
        <v>1.174301873125248E-2</v>
      </c>
      <c r="F362" s="28">
        <v>2.4805391908872897E-2</v>
      </c>
      <c r="G362" s="28">
        <v>3.5753376839290162E-2</v>
      </c>
      <c r="H362" s="28">
        <v>1.0455573422854868E-2</v>
      </c>
      <c r="I362" s="28">
        <v>3.2485653362336636E-2</v>
      </c>
      <c r="J362" s="28">
        <v>2.4624901207908306E-2</v>
      </c>
      <c r="K362" s="28">
        <v>9.262625464316724E-3</v>
      </c>
      <c r="L362" s="28">
        <v>8.2350414180185003E-3</v>
      </c>
      <c r="M362" s="28">
        <v>2.331827499810183E-2</v>
      </c>
      <c r="N362" s="28">
        <v>2.8752048950563512E-2</v>
      </c>
    </row>
    <row r="363" spans="1:14">
      <c r="A363" s="4">
        <v>40158</v>
      </c>
      <c r="B363" s="28">
        <v>-1.1429549148772459E-2</v>
      </c>
      <c r="C363" s="28">
        <v>-2.3925675045831088E-3</v>
      </c>
      <c r="D363" s="28">
        <v>-1.5359132660743804E-2</v>
      </c>
      <c r="E363" s="28">
        <v>-2.1946753193110183E-2</v>
      </c>
      <c r="F363" s="28">
        <v>2.0844944822204871E-2</v>
      </c>
      <c r="G363" s="28">
        <v>-4.198512526990386E-3</v>
      </c>
      <c r="H363" s="28">
        <v>3.1511339644055181E-3</v>
      </c>
      <c r="I363" s="28">
        <v>-1.2659339034655928E-2</v>
      </c>
      <c r="J363" s="28">
        <v>-6.8023905543948575E-3</v>
      </c>
      <c r="K363" s="28">
        <v>-6.3063486345815489E-2</v>
      </c>
      <c r="L363" s="28">
        <v>-1.8774407006987768E-2</v>
      </c>
      <c r="M363" s="28">
        <v>-2.3765360537908647E-2</v>
      </c>
      <c r="N363" s="28">
        <v>2.1185824908135906E-2</v>
      </c>
    </row>
    <row r="364" spans="1:14">
      <c r="A364" s="4">
        <v>40165</v>
      </c>
      <c r="B364" s="28">
        <v>-9.8914793083753599E-3</v>
      </c>
      <c r="C364" s="28">
        <v>-3.1458294399800378E-3</v>
      </c>
      <c r="D364" s="28">
        <v>-8.6404649028903151E-3</v>
      </c>
      <c r="E364" s="28">
        <v>-1.3837989010318774E-2</v>
      </c>
      <c r="F364" s="28">
        <v>1.6358323193876825E-2</v>
      </c>
      <c r="G364" s="28">
        <v>-3.4991710979934257E-4</v>
      </c>
      <c r="H364" s="28">
        <v>-1.5168944115082297E-4</v>
      </c>
      <c r="I364" s="28">
        <v>2.2311547442454567E-2</v>
      </c>
      <c r="J364" s="28">
        <v>-5.4058020644782044E-3</v>
      </c>
      <c r="K364" s="28">
        <v>4.5304864798604773E-2</v>
      </c>
      <c r="L364" s="28">
        <v>4.1432440418034254E-2</v>
      </c>
      <c r="M364" s="28">
        <v>-2.9412183826148949E-2</v>
      </c>
      <c r="N364" s="28">
        <v>8.6400552963575956E-5</v>
      </c>
    </row>
    <row r="365" spans="1:14" ht="15.75" thickBot="1">
      <c r="A365" s="6">
        <v>40172</v>
      </c>
      <c r="B365" s="136">
        <v>2.3992448278574656E-2</v>
      </c>
      <c r="C365" s="136">
        <v>-1.0498359631307651E-2</v>
      </c>
      <c r="D365" s="136">
        <v>2.1056691091399841E-2</v>
      </c>
      <c r="E365" s="28">
        <v>1.8129044537495198E-2</v>
      </c>
      <c r="F365" s="28">
        <v>1.9430688003929004E-2</v>
      </c>
      <c r="G365" s="28">
        <v>1.0139671536616348E-2</v>
      </c>
      <c r="H365" s="28">
        <v>1.9469764972122806E-2</v>
      </c>
      <c r="I365" s="28">
        <v>3.066796662226594E-3</v>
      </c>
      <c r="J365" s="28">
        <v>1.0587540886844904E-2</v>
      </c>
      <c r="K365" s="28">
        <v>4.4689878680625225E-2</v>
      </c>
      <c r="L365" s="28">
        <v>2.9832401221866776E-2</v>
      </c>
      <c r="M365" s="28">
        <v>1.8646033680315911E-2</v>
      </c>
      <c r="N365" s="28">
        <v>1.3014864693177437E-2</v>
      </c>
    </row>
    <row r="366" spans="1:14">
      <c r="A366" s="4">
        <v>40179</v>
      </c>
      <c r="B366" s="28">
        <v>-2.637508962409026E-3</v>
      </c>
      <c r="C366" s="28">
        <v>-5.3680255139100042E-4</v>
      </c>
      <c r="D366" s="28">
        <v>4.0036259253663784E-3</v>
      </c>
      <c r="E366" s="28">
        <v>1.8320325279244883E-2</v>
      </c>
      <c r="F366" s="28">
        <v>-3.7187220844917017E-3</v>
      </c>
      <c r="G366" s="28">
        <v>2.7750478603443752E-2</v>
      </c>
      <c r="H366" s="28">
        <v>1.2047819239307058E-2</v>
      </c>
      <c r="I366" s="28">
        <v>2.6521979200416334E-2</v>
      </c>
      <c r="J366" s="28">
        <v>9.4910139566576467E-3</v>
      </c>
      <c r="K366" s="28">
        <v>1.026593464906009E-2</v>
      </c>
      <c r="L366" s="28">
        <v>-5.519556534306534E-3</v>
      </c>
      <c r="M366" s="28">
        <v>1.1905276660757365E-2</v>
      </c>
      <c r="N366" s="28">
        <v>6.797567925512794E-3</v>
      </c>
    </row>
    <row r="367" spans="1:14">
      <c r="A367" s="4">
        <v>40186</v>
      </c>
      <c r="B367" s="28">
        <v>2.5494877917276407E-2</v>
      </c>
      <c r="C367" s="28">
        <v>2.2747377732845551E-3</v>
      </c>
      <c r="D367" s="28">
        <v>1.0382965916785761E-2</v>
      </c>
      <c r="E367" s="28">
        <v>-3.5660195511496543E-3</v>
      </c>
      <c r="F367" s="28">
        <v>1.8184474186609477E-3</v>
      </c>
      <c r="G367" s="28">
        <v>4.2781812754949682E-2</v>
      </c>
      <c r="H367" s="28">
        <v>-1.9330094291648652E-2</v>
      </c>
      <c r="I367" s="28">
        <v>4.3587270116603044E-2</v>
      </c>
      <c r="J367" s="28">
        <v>-2.3624989453130147E-3</v>
      </c>
      <c r="K367" s="28">
        <v>6.4166666666666761E-2</v>
      </c>
      <c r="L367" s="28">
        <v>1.4344115390164147E-2</v>
      </c>
      <c r="M367" s="28">
        <v>3.6245198721874906E-2</v>
      </c>
      <c r="N367" s="28">
        <v>2.2173390934321011E-3</v>
      </c>
    </row>
    <row r="368" spans="1:14">
      <c r="A368" s="4">
        <v>40193</v>
      </c>
      <c r="B368" s="28">
        <v>-2.16981289536487E-3</v>
      </c>
      <c r="C368" s="28">
        <v>9.740259740259662E-3</v>
      </c>
      <c r="D368" s="28">
        <v>-9.1592821505695875E-3</v>
      </c>
      <c r="E368" s="28">
        <v>-8.0142598554680576E-4</v>
      </c>
      <c r="F368" s="28">
        <v>3.816333303164764E-3</v>
      </c>
      <c r="G368" s="28">
        <v>-2.0232378165781387E-2</v>
      </c>
      <c r="H368" s="28">
        <v>-3.8110232284983321E-4</v>
      </c>
      <c r="I368" s="28">
        <v>-2.4408321832029737E-2</v>
      </c>
      <c r="J368" s="28">
        <v>1.9270965481412005E-3</v>
      </c>
      <c r="K368" s="28">
        <v>3.5025272300135128E-2</v>
      </c>
      <c r="L368" s="28">
        <v>4.092217109132156E-3</v>
      </c>
      <c r="M368" s="28">
        <v>-1.7685734576528037E-3</v>
      </c>
      <c r="N368" s="28">
        <v>-4.0122106435446347E-3</v>
      </c>
    </row>
    <row r="369" spans="1:14">
      <c r="A369" s="4">
        <v>40200</v>
      </c>
      <c r="B369" s="28">
        <v>-3.8280113075623484E-2</v>
      </c>
      <c r="C369" s="28">
        <v>-1.6233259451190391E-3</v>
      </c>
      <c r="D369" s="28">
        <v>-3.6750338193296365E-2</v>
      </c>
      <c r="E369" s="28">
        <v>-2.1296309100714866E-2</v>
      </c>
      <c r="F369" s="28">
        <v>-2.5115081571420748E-2</v>
      </c>
      <c r="G369" s="28">
        <v>-3.5955226383756866E-2</v>
      </c>
      <c r="H369" s="28">
        <v>-2.3431103555602784E-2</v>
      </c>
      <c r="I369" s="28">
        <v>-3.8611336704129785E-2</v>
      </c>
      <c r="J369" s="28">
        <v>6.5781143542776328E-3</v>
      </c>
      <c r="K369" s="28">
        <v>-1.4852007244881525E-2</v>
      </c>
      <c r="L369" s="28">
        <v>-3.982557735355876E-2</v>
      </c>
      <c r="M369" s="28">
        <v>-3.8748055023890539E-2</v>
      </c>
      <c r="N369" s="28">
        <v>-2.0171817360442001E-2</v>
      </c>
    </row>
    <row r="370" spans="1:14">
      <c r="A370" s="4">
        <v>40207</v>
      </c>
      <c r="B370" s="28">
        <v>-2.6393828974945546E-2</v>
      </c>
      <c r="C370" s="28">
        <v>1.313279759857465E-3</v>
      </c>
      <c r="D370" s="28">
        <v>-2.5434969181555678E-2</v>
      </c>
      <c r="E370" s="28">
        <v>-2.346469227907072E-2</v>
      </c>
      <c r="F370" s="28">
        <v>-1.814239545386814E-2</v>
      </c>
      <c r="G370" s="28">
        <v>-4.3458009483992283E-2</v>
      </c>
      <c r="H370" s="28">
        <v>-1.6543788239510478E-2</v>
      </c>
      <c r="I370" s="28">
        <v>-3.0315691947153053E-2</v>
      </c>
      <c r="J370" s="28">
        <v>-1.5873586352309756E-2</v>
      </c>
      <c r="K370" s="28">
        <v>-4.4492334043919897E-2</v>
      </c>
      <c r="L370" s="28">
        <v>-4.4726491441148802E-3</v>
      </c>
      <c r="M370" s="28">
        <v>-3.1929980375023224E-2</v>
      </c>
      <c r="N370" s="28">
        <v>-2.9772579067492689E-2</v>
      </c>
    </row>
    <row r="371" spans="1:14">
      <c r="A371" s="4">
        <v>40214</v>
      </c>
      <c r="B371" s="28">
        <v>-2.14909695053325E-2</v>
      </c>
      <c r="C371" s="28">
        <v>-6.5577865908889347E-4</v>
      </c>
      <c r="D371" s="28">
        <v>-1.2088703866784012E-2</v>
      </c>
      <c r="E371" s="28">
        <v>-4.4217867529673834E-2</v>
      </c>
      <c r="F371" s="28">
        <v>-1.4641855402520209E-2</v>
      </c>
      <c r="G371" s="28">
        <v>-3.3687100691694429E-2</v>
      </c>
      <c r="H371" s="28">
        <v>-2.588714558102909E-2</v>
      </c>
      <c r="I371" s="28">
        <v>-2.5727373213181633E-2</v>
      </c>
      <c r="J371" s="28">
        <v>-1.6385260569466976E-2</v>
      </c>
      <c r="K371" s="28">
        <v>-1.642091316059946E-2</v>
      </c>
      <c r="L371" s="28">
        <v>-4.5001981825388331E-2</v>
      </c>
      <c r="M371" s="28">
        <v>-6.4550656012627064E-2</v>
      </c>
      <c r="N371" s="28">
        <v>-1.2455104912730266E-2</v>
      </c>
    </row>
    <row r="372" spans="1:14">
      <c r="A372" s="4">
        <v>40221</v>
      </c>
      <c r="B372" s="28">
        <v>1.0808047613831305E-2</v>
      </c>
      <c r="C372" s="28">
        <v>-4.9996875195299235E-3</v>
      </c>
      <c r="D372" s="28">
        <v>6.2398703403565318E-3</v>
      </c>
      <c r="E372" s="28">
        <v>1.171222542375449E-2</v>
      </c>
      <c r="F372" s="28">
        <v>1.1301235275998668E-2</v>
      </c>
      <c r="G372" s="28">
        <v>2.6222003654930853E-2</v>
      </c>
      <c r="H372" s="28">
        <v>6.159437233196694E-3</v>
      </c>
      <c r="I372" s="28">
        <v>1.9979328413816284E-2</v>
      </c>
      <c r="J372" s="28">
        <v>9.0778579473026772E-3</v>
      </c>
      <c r="K372" s="28">
        <v>-2.0439192535509805E-2</v>
      </c>
      <c r="L372" s="28">
        <v>5.7957494283641803E-2</v>
      </c>
      <c r="M372" s="28">
        <v>6.5435294986106634E-3</v>
      </c>
      <c r="N372" s="28">
        <v>8.6243566293759972E-3</v>
      </c>
    </row>
    <row r="373" spans="1:14">
      <c r="A373" s="4">
        <v>40228</v>
      </c>
      <c r="B373" s="28">
        <v>2.4500596033666971E-2</v>
      </c>
      <c r="C373" s="28">
        <v>-3.8314176245211585E-3</v>
      </c>
      <c r="D373" s="28">
        <v>9.7447048401384691E-3</v>
      </c>
      <c r="E373" s="28">
        <v>1.4953364257568965E-2</v>
      </c>
      <c r="F373" s="28">
        <v>3.336204089777655E-2</v>
      </c>
      <c r="G373" s="28">
        <v>1.1181579383297497E-2</v>
      </c>
      <c r="H373" s="28">
        <v>1.9726314811003207E-2</v>
      </c>
      <c r="I373" s="28">
        <v>3.1870519533772235E-2</v>
      </c>
      <c r="J373" s="28">
        <v>1.1001477901992442E-2</v>
      </c>
      <c r="K373" s="28">
        <v>-1.222009312954718E-2</v>
      </c>
      <c r="L373" s="28">
        <v>3.3615025670833874E-2</v>
      </c>
      <c r="M373" s="28">
        <v>2.7669806279924949E-2</v>
      </c>
      <c r="N373" s="28">
        <v>2.2567925184771232E-2</v>
      </c>
    </row>
    <row r="374" spans="1:14">
      <c r="A374" s="4">
        <v>40235</v>
      </c>
      <c r="B374" s="28">
        <v>-9.6963286173928898E-4</v>
      </c>
      <c r="C374" s="28">
        <v>9.6469104665826057E-3</v>
      </c>
      <c r="D374" s="28">
        <v>2.2491625458605783E-2</v>
      </c>
      <c r="E374" s="28">
        <v>1.4742884101260375E-5</v>
      </c>
      <c r="F374" s="28">
        <v>-1.2867226685774365E-2</v>
      </c>
      <c r="G374" s="28">
        <v>2.1723867585625785E-2</v>
      </c>
      <c r="H374" s="28">
        <v>-6.9930069930069991E-3</v>
      </c>
      <c r="I374" s="28">
        <v>2.1074940735293389E-2</v>
      </c>
      <c r="J374" s="28">
        <v>-1.5849523543790971E-2</v>
      </c>
      <c r="K374" s="28">
        <v>2.1343897794975763E-2</v>
      </c>
      <c r="L374" s="28">
        <v>-1.0659533034976737E-2</v>
      </c>
      <c r="M374" s="28">
        <v>-5.1739254546937907E-3</v>
      </c>
      <c r="N374" s="28">
        <v>2.8405722386905482E-3</v>
      </c>
    </row>
    <row r="375" spans="1:14">
      <c r="A375" s="4">
        <v>40242</v>
      </c>
      <c r="B375" s="28">
        <v>3.2743636122998306E-2</v>
      </c>
      <c r="C375" s="28">
        <v>-9.3673889964318734E-5</v>
      </c>
      <c r="D375" s="28">
        <v>2.6209048361934585E-2</v>
      </c>
      <c r="E375" s="28">
        <v>2.5381957924429023E-2</v>
      </c>
      <c r="F375" s="28">
        <v>3.2942593708010941E-2</v>
      </c>
      <c r="G375" s="28">
        <v>2.9038372339389936E-2</v>
      </c>
      <c r="H375" s="28">
        <v>1.7585962703595984E-2</v>
      </c>
      <c r="I375" s="28">
        <v>4.0841523259091017E-2</v>
      </c>
      <c r="J375" s="28">
        <v>5.1032357473035275E-3</v>
      </c>
      <c r="K375" s="28">
        <v>6.0167784225877229E-2</v>
      </c>
      <c r="L375" s="28">
        <v>2.069702206438755E-2</v>
      </c>
      <c r="M375" s="28">
        <v>4.6295110191073081E-2</v>
      </c>
      <c r="N375" s="28">
        <v>3.54142890924607E-2</v>
      </c>
    </row>
    <row r="376" spans="1:14">
      <c r="A376" s="4">
        <v>40249</v>
      </c>
      <c r="B376" s="28">
        <v>1.4447311313500549E-2</v>
      </c>
      <c r="C376" s="28">
        <v>-1.0929644318147041E-3</v>
      </c>
      <c r="D376" s="28">
        <v>2.1435086652477904E-2</v>
      </c>
      <c r="E376" s="28">
        <v>1.227379035350056E-2</v>
      </c>
      <c r="F376" s="28">
        <v>1.1791912123839924E-2</v>
      </c>
      <c r="G376" s="28">
        <v>5.4812968136135985E-3</v>
      </c>
      <c r="H376" s="28">
        <v>3.4280559314388403E-3</v>
      </c>
      <c r="I376" s="28">
        <v>1.0172900630487789E-2</v>
      </c>
      <c r="J376" s="28">
        <v>3.3051668526717891E-3</v>
      </c>
      <c r="K376" s="28">
        <v>3.4564259647928551E-2</v>
      </c>
      <c r="L376" s="28">
        <v>3.8913323459890347E-3</v>
      </c>
      <c r="M376" s="28">
        <v>-2.8012301906012002E-3</v>
      </c>
      <c r="N376" s="28">
        <v>2.223766849539506E-2</v>
      </c>
    </row>
    <row r="377" spans="1:14">
      <c r="A377" s="4">
        <v>40256</v>
      </c>
      <c r="B377" s="28">
        <v>2.8718933441135301E-3</v>
      </c>
      <c r="C377" s="28">
        <v>2.2508440665250321E-3</v>
      </c>
      <c r="D377" s="28">
        <v>1.1906533710373526E-2</v>
      </c>
      <c r="E377" s="28">
        <v>-1.182669955543352E-2</v>
      </c>
      <c r="F377" s="28">
        <v>6.1227907709889388E-3</v>
      </c>
      <c r="G377" s="28">
        <v>3.8685682976639215E-3</v>
      </c>
      <c r="H377" s="28">
        <v>-6.0685066978333471E-3</v>
      </c>
      <c r="I377" s="28">
        <v>-2.1051377614404117E-2</v>
      </c>
      <c r="J377" s="28">
        <v>2.0169053337973879E-4</v>
      </c>
      <c r="K377" s="28">
        <v>1.8463858174175413E-2</v>
      </c>
      <c r="L377" s="28">
        <v>-3.3927908989736799E-3</v>
      </c>
      <c r="M377" s="28">
        <v>-8.1080815620948373E-3</v>
      </c>
      <c r="N377" s="28">
        <v>5.9836614957211789E-3</v>
      </c>
    </row>
    <row r="378" spans="1:14">
      <c r="A378" s="4">
        <v>40263</v>
      </c>
      <c r="B378" s="28">
        <v>2.2086363560020398E-3</v>
      </c>
      <c r="C378" s="28">
        <v>-1.0729881472239543E-2</v>
      </c>
      <c r="D378" s="28">
        <v>6.6186203853510386E-4</v>
      </c>
      <c r="E378" s="28">
        <v>-8.0443083763337142E-3</v>
      </c>
      <c r="F378" s="28">
        <v>-1.4202834691929202E-2</v>
      </c>
      <c r="G378" s="28">
        <v>-1.0772606485616291E-2</v>
      </c>
      <c r="H378" s="28">
        <v>-7.2620609005214012E-3</v>
      </c>
      <c r="I378" s="28">
        <v>1.0995410611222035E-3</v>
      </c>
      <c r="J378" s="28">
        <v>-2.0886037274671594E-2</v>
      </c>
      <c r="K378" s="28">
        <v>1.7267755640396308E-2</v>
      </c>
      <c r="L378" s="28">
        <v>-2.5719965155263286E-2</v>
      </c>
      <c r="M378" s="28">
        <v>-2.4552786758626113E-2</v>
      </c>
      <c r="N378" s="28">
        <v>-6.0977376089916806E-3</v>
      </c>
    </row>
    <row r="379" spans="1:14">
      <c r="A379" s="4">
        <v>40270</v>
      </c>
      <c r="B379" s="28">
        <v>1.6214042114612671E-2</v>
      </c>
      <c r="C379" s="28">
        <v>3.3106318577372758E-3</v>
      </c>
      <c r="D379" s="28">
        <v>5.1444109649446393E-3</v>
      </c>
      <c r="E379" s="28">
        <v>2.9351816074188554E-2</v>
      </c>
      <c r="F379" s="28">
        <v>2.587482741837754E-2</v>
      </c>
      <c r="G379" s="28">
        <v>3.04460742788355E-2</v>
      </c>
      <c r="H379" s="28">
        <v>2.7308285552511202E-2</v>
      </c>
      <c r="I379" s="28">
        <v>2.465389474232596E-2</v>
      </c>
      <c r="J379" s="28">
        <v>5.5968845174497024E-2</v>
      </c>
      <c r="K379" s="28">
        <v>8.2116868798235466E-3</v>
      </c>
      <c r="L379" s="28">
        <v>2.6748277877860781E-2</v>
      </c>
      <c r="M379" s="28">
        <v>2.0029033469702563E-2</v>
      </c>
      <c r="N379" s="28">
        <v>3.019483831480152E-2</v>
      </c>
    </row>
    <row r="380" spans="1:14">
      <c r="A380" s="4">
        <v>40277</v>
      </c>
      <c r="B380" s="28">
        <v>8.7074111943005583E-3</v>
      </c>
      <c r="C380" s="28">
        <v>-3.4568366801783983E-4</v>
      </c>
      <c r="D380" s="28">
        <v>1.6304745192659134E-2</v>
      </c>
      <c r="E380" s="28">
        <v>4.3919537155647495E-3</v>
      </c>
      <c r="F380" s="28">
        <v>4.9815069421583454E-3</v>
      </c>
      <c r="G380" s="28">
        <v>2.5652397306579443E-2</v>
      </c>
      <c r="H380" s="28">
        <v>5.7903439362936094E-3</v>
      </c>
      <c r="I380" s="28">
        <v>2.6895114139000462E-2</v>
      </c>
      <c r="J380" s="28">
        <v>1.6365248226950388E-2</v>
      </c>
      <c r="K380" s="28">
        <v>1.9810858572603347E-2</v>
      </c>
      <c r="L380" s="28">
        <v>-1.3169998931929421E-2</v>
      </c>
      <c r="M380" s="28">
        <v>2.6821257961783937E-3</v>
      </c>
      <c r="N380" s="28">
        <v>1.1641888164316154E-2</v>
      </c>
    </row>
    <row r="381" spans="1:14">
      <c r="A381" s="4">
        <v>40284</v>
      </c>
      <c r="B381" s="28">
        <v>-8.7466893372129646E-4</v>
      </c>
      <c r="C381" s="28">
        <v>5.1241747878025632E-3</v>
      </c>
      <c r="D381" s="28">
        <v>-7.5539568345324559E-3</v>
      </c>
      <c r="E381" s="28">
        <v>-4.125146575848216E-3</v>
      </c>
      <c r="F381" s="28">
        <v>-1.1103457245668077E-2</v>
      </c>
      <c r="G381" s="28">
        <v>-9.2755671331695884E-3</v>
      </c>
      <c r="H381" s="28">
        <v>-6.1538267732407477E-3</v>
      </c>
      <c r="I381" s="28">
        <v>-1.3615209426675908E-2</v>
      </c>
      <c r="J381" s="28">
        <v>-1.4828253929487026E-3</v>
      </c>
      <c r="K381" s="28">
        <v>-2.5478144127373801E-3</v>
      </c>
      <c r="L381" s="28">
        <v>-1.5020747467447351E-2</v>
      </c>
      <c r="M381" s="28">
        <v>2.3275549754589622E-3</v>
      </c>
      <c r="N381" s="28">
        <v>-1.1796893935156675E-2</v>
      </c>
    </row>
    <row r="382" spans="1:14">
      <c r="A382" s="4">
        <v>40291</v>
      </c>
      <c r="B382" s="28">
        <v>2.5608508897525949E-3</v>
      </c>
      <c r="C382" s="28">
        <v>-8.1318612579360993E-4</v>
      </c>
      <c r="D382" s="28">
        <v>6.0166727075028096E-3</v>
      </c>
      <c r="E382" s="28">
        <v>-2.4440587324670412E-2</v>
      </c>
      <c r="F382" s="28">
        <v>2.1559954795214411E-2</v>
      </c>
      <c r="G382" s="28">
        <v>-4.6040270599693759E-3</v>
      </c>
      <c r="H382" s="28">
        <v>2.5794430431091251E-3</v>
      </c>
      <c r="I382" s="28">
        <v>4.57176797336405E-3</v>
      </c>
      <c r="J382" s="28">
        <v>-1.3522485062371166E-2</v>
      </c>
      <c r="K382" s="28">
        <v>-1.1214937195491635E-2</v>
      </c>
      <c r="L382" s="28">
        <v>6.979342881929849E-3</v>
      </c>
      <c r="M382" s="28">
        <v>-3.1232670522062977E-2</v>
      </c>
      <c r="N382" s="28">
        <v>1.4343189461222381E-2</v>
      </c>
    </row>
    <row r="383" spans="1:14">
      <c r="A383" s="4">
        <v>40298</v>
      </c>
      <c r="B383" s="28">
        <v>-2.188708808696091E-2</v>
      </c>
      <c r="C383" s="28">
        <v>4.6639747081101577E-3</v>
      </c>
      <c r="D383" s="28">
        <v>-1.3690733535091347E-3</v>
      </c>
      <c r="E383" s="28">
        <v>-3.9925947297557211E-2</v>
      </c>
      <c r="F383" s="28">
        <v>-2.1853572007591259E-2</v>
      </c>
      <c r="G383" s="28">
        <v>-1.2694236795106253E-2</v>
      </c>
      <c r="H383" s="28">
        <v>-2.590506533158864E-2</v>
      </c>
      <c r="I383" s="28">
        <v>-8.3357968763662169E-3</v>
      </c>
      <c r="J383" s="28">
        <v>-2.0945499197128563E-2</v>
      </c>
      <c r="K383" s="28">
        <v>-2.6472238289285372E-2</v>
      </c>
      <c r="L383" s="28">
        <v>-2.2186845766573385E-2</v>
      </c>
      <c r="M383" s="28">
        <v>-4.1066135132372436E-2</v>
      </c>
      <c r="N383" s="28">
        <v>-2.749490835030555E-2</v>
      </c>
    </row>
    <row r="384" spans="1:14">
      <c r="A384" s="4">
        <v>40305</v>
      </c>
      <c r="B384" s="28">
        <v>-8.2582432252035792E-2</v>
      </c>
      <c r="C384" s="28">
        <v>2.2121136590230448E-3</v>
      </c>
      <c r="D384" s="28">
        <v>-6.78259614690815E-2</v>
      </c>
      <c r="E384" s="28">
        <v>-0.11174664549702736</v>
      </c>
      <c r="F384" s="28">
        <v>-5.9561938468588288E-2</v>
      </c>
      <c r="G384" s="28">
        <v>-6.7358102253032986E-2</v>
      </c>
      <c r="H384" s="28">
        <v>-7.5070573347610275E-2</v>
      </c>
      <c r="I384" s="28">
        <v>-0.10507752963256883</v>
      </c>
      <c r="J384" s="28">
        <v>-8.4284025952099551E-2</v>
      </c>
      <c r="K384" s="28">
        <v>-0.12196451226703357</v>
      </c>
      <c r="L384" s="28">
        <v>-6.7997915648565485E-2</v>
      </c>
      <c r="M384" s="28">
        <v>-0.1130393071285809</v>
      </c>
      <c r="N384" s="28">
        <v>-6.5653015850247312E-2</v>
      </c>
    </row>
    <row r="385" spans="1:14">
      <c r="A385" s="4">
        <v>40312</v>
      </c>
      <c r="B385" s="28">
        <v>2.2008403208497833E-2</v>
      </c>
      <c r="C385" s="28">
        <v>-4.8807784375291237E-3</v>
      </c>
      <c r="D385" s="28">
        <v>1.5790695874293614E-2</v>
      </c>
      <c r="E385" s="28">
        <v>2.0485378863915694E-2</v>
      </c>
      <c r="F385" s="28">
        <v>3.4165660168054952E-2</v>
      </c>
      <c r="G385" s="28">
        <v>2.9865914066537786E-2</v>
      </c>
      <c r="H385" s="28">
        <v>2.4984739733524264E-2</v>
      </c>
      <c r="I385" s="28">
        <v>1.7387550963915879E-2</v>
      </c>
      <c r="J385" s="28">
        <v>3.2357473035439052E-2</v>
      </c>
      <c r="K385" s="28">
        <v>6.0407021114220312E-2</v>
      </c>
      <c r="L385" s="28">
        <v>4.78928756969512E-2</v>
      </c>
      <c r="M385" s="28">
        <v>9.9990385539851165E-3</v>
      </c>
      <c r="N385" s="28">
        <v>3.0079728166866226E-2</v>
      </c>
    </row>
    <row r="386" spans="1:14">
      <c r="A386" s="4">
        <v>40319</v>
      </c>
      <c r="B386" s="28">
        <v>-4.4643969460214698E-2</v>
      </c>
      <c r="C386" s="28">
        <v>1.0434239300218603E-2</v>
      </c>
      <c r="D386" s="28">
        <v>-5.4332088699230327E-2</v>
      </c>
      <c r="E386" s="28">
        <v>-3.5407422960674957E-2</v>
      </c>
      <c r="F386" s="28">
        <v>-5.330720186061428E-2</v>
      </c>
      <c r="G386" s="28">
        <v>-9.1290471733222106E-2</v>
      </c>
      <c r="H386" s="28">
        <v>-5.7307923991019125E-2</v>
      </c>
      <c r="I386" s="28">
        <v>-7.5495625948249143E-2</v>
      </c>
      <c r="J386" s="28">
        <v>-2.6776374537568579E-2</v>
      </c>
      <c r="K386" s="28">
        <v>-9.1918838132067929E-2</v>
      </c>
      <c r="L386" s="28">
        <v>-2.3074534247345502E-2</v>
      </c>
      <c r="M386" s="28">
        <v>-5.1261304140885207E-2</v>
      </c>
      <c r="N386" s="28">
        <v>-6.0002384595512971E-2</v>
      </c>
    </row>
    <row r="387" spans="1:14">
      <c r="A387" s="4">
        <v>40326</v>
      </c>
      <c r="B387" s="28">
        <v>6.2313130466370983E-3</v>
      </c>
      <c r="C387" s="28">
        <v>-6.1835270838486271E-3</v>
      </c>
      <c r="D387" s="28">
        <v>1.7485898468976645E-2</v>
      </c>
      <c r="E387" s="28">
        <v>-2.6006610490860245E-3</v>
      </c>
      <c r="F387" s="28">
        <v>1.2940186054884631E-2</v>
      </c>
      <c r="G387" s="28">
        <v>1.963315048772624E-2</v>
      </c>
      <c r="H387" s="28">
        <v>-4.6399837346423793E-3</v>
      </c>
      <c r="I387" s="28">
        <v>2.0176978790478684E-2</v>
      </c>
      <c r="J387" s="28">
        <v>3.7730531779633356E-2</v>
      </c>
      <c r="K387" s="28">
        <v>1.6907510633239108E-2</v>
      </c>
      <c r="L387" s="28">
        <v>9.4298955137016149E-3</v>
      </c>
      <c r="M387" s="28">
        <v>1.3068780414388149E-2</v>
      </c>
      <c r="N387" s="28">
        <v>1.0200090902364494E-2</v>
      </c>
    </row>
    <row r="388" spans="1:14">
      <c r="A388" s="4">
        <v>40333</v>
      </c>
      <c r="B388" s="28">
        <v>-1.8541145977969058E-2</v>
      </c>
      <c r="C388" s="28">
        <v>1.1821801891488161E-3</v>
      </c>
      <c r="D388" s="28">
        <v>-2.233309574720831E-2</v>
      </c>
      <c r="E388" s="28">
        <v>-1.5185191566590312E-2</v>
      </c>
      <c r="F388" s="28">
        <v>-7.3858023239404061E-3</v>
      </c>
      <c r="G388" s="28">
        <v>-1.2932083739045764E-2</v>
      </c>
      <c r="H388" s="28">
        <v>-1.8930965807538863E-2</v>
      </c>
      <c r="I388" s="28">
        <v>-2.6002219820947511E-2</v>
      </c>
      <c r="J388" s="28">
        <v>1.5018409867436305E-2</v>
      </c>
      <c r="K388" s="28">
        <v>1.1898267217415963E-3</v>
      </c>
      <c r="L388" s="28">
        <v>5.7310472687583562E-3</v>
      </c>
      <c r="M388" s="28">
        <v>-2.9074949860103515E-2</v>
      </c>
      <c r="N388" s="28">
        <v>-9.0873896120203194E-3</v>
      </c>
    </row>
    <row r="389" spans="1:14">
      <c r="A389" s="4">
        <v>40340</v>
      </c>
      <c r="B389" s="28">
        <v>1.9249813726692336E-2</v>
      </c>
      <c r="C389" s="28">
        <v>6.5253868622204819E-4</v>
      </c>
      <c r="D389" s="28">
        <v>2.9566626164438975E-2</v>
      </c>
      <c r="E389" s="28">
        <v>2.4102919993235043E-2</v>
      </c>
      <c r="F389" s="28">
        <v>4.0389678778304391E-2</v>
      </c>
      <c r="G389" s="28">
        <v>1.7633095964733753E-2</v>
      </c>
      <c r="H389" s="28">
        <v>2.7490667896075332E-2</v>
      </c>
      <c r="I389" s="28">
        <v>1.8488677379356701E-2</v>
      </c>
      <c r="J389" s="28">
        <v>9.6505036803822813E-3</v>
      </c>
      <c r="K389" s="28">
        <v>-1.0981141083790924E-2</v>
      </c>
      <c r="L389" s="28">
        <v>5.360462858263132E-2</v>
      </c>
      <c r="M389" s="28">
        <v>3.4994995250269431E-2</v>
      </c>
      <c r="N389" s="28">
        <v>3.4312353820080577E-2</v>
      </c>
    </row>
    <row r="390" spans="1:14">
      <c r="A390" s="4">
        <v>40347</v>
      </c>
      <c r="B390" s="28">
        <v>3.2081652293000557E-2</v>
      </c>
      <c r="C390" s="28">
        <v>4.2232090177934164E-3</v>
      </c>
      <c r="D390" s="28">
        <v>2.439024390243898E-2</v>
      </c>
      <c r="E390" s="28">
        <v>3.7891643793492233E-2</v>
      </c>
      <c r="F390" s="28">
        <v>3.120413018170768E-2</v>
      </c>
      <c r="G390" s="28">
        <v>5.3151979643149265E-2</v>
      </c>
      <c r="H390" s="28">
        <v>4.6939115205639155E-2</v>
      </c>
      <c r="I390" s="28">
        <v>3.3136835464250981E-2</v>
      </c>
      <c r="J390" s="28">
        <v>2.3140730150121993E-2</v>
      </c>
      <c r="K390" s="28">
        <v>5.0493761084700238E-2</v>
      </c>
      <c r="L390" s="28">
        <v>1.6960885814515821E-2</v>
      </c>
      <c r="M390" s="28">
        <v>3.2099297770112049E-2</v>
      </c>
      <c r="N390" s="28">
        <v>3.7589456167753978E-2</v>
      </c>
    </row>
    <row r="391" spans="1:14">
      <c r="A391" s="4">
        <v>40354</v>
      </c>
      <c r="B391" s="28">
        <v>-3.2124445241403982E-2</v>
      </c>
      <c r="C391" s="28">
        <v>6.3081727944587669E-3</v>
      </c>
      <c r="D391" s="28">
        <v>-1.1136712749615888E-2</v>
      </c>
      <c r="E391" s="28">
        <v>-2.6061670141556019E-2</v>
      </c>
      <c r="F391" s="28">
        <v>-2.3957591969960952E-2</v>
      </c>
      <c r="G391" s="28">
        <v>-1.001564765170173E-2</v>
      </c>
      <c r="H391" s="28">
        <v>-3.5993502229288467E-2</v>
      </c>
      <c r="I391" s="28">
        <v>-1.6898129374215837E-2</v>
      </c>
      <c r="J391" s="28">
        <v>1.6202574342109553E-3</v>
      </c>
      <c r="K391" s="28">
        <v>2.2767119045359378E-2</v>
      </c>
      <c r="L391" s="28">
        <v>-2.0414587298765607E-2</v>
      </c>
      <c r="M391" s="28">
        <v>-2.0978687086320041E-2</v>
      </c>
      <c r="N391" s="28">
        <v>-2.0721208245191181E-2</v>
      </c>
    </row>
    <row r="392" spans="1:14">
      <c r="A392" s="4">
        <v>40361</v>
      </c>
      <c r="B392" s="28">
        <v>-3.9739884393063668E-2</v>
      </c>
      <c r="C392" s="28">
        <v>8.9727437544172822E-3</v>
      </c>
      <c r="D392" s="28">
        <v>-4.6912621359223347E-2</v>
      </c>
      <c r="E392" s="28">
        <v>2.4618331361614099E-3</v>
      </c>
      <c r="F392" s="28">
        <v>-2.761825258732541E-2</v>
      </c>
      <c r="G392" s="28">
        <v>-1.9065937578085473E-2</v>
      </c>
      <c r="H392" s="28">
        <v>-1.1523182606949718E-2</v>
      </c>
      <c r="I392" s="28">
        <v>-4.3282039336720604E-2</v>
      </c>
      <c r="J392" s="28">
        <v>-4.8709498953648615E-3</v>
      </c>
      <c r="K392" s="28">
        <v>-4.1849198325836633E-2</v>
      </c>
      <c r="L392" s="28">
        <v>-1.2672032916302745E-2</v>
      </c>
      <c r="M392" s="28">
        <v>-8.315247872418172E-3</v>
      </c>
      <c r="N392" s="28">
        <v>-2.1214922283957448E-2</v>
      </c>
    </row>
    <row r="393" spans="1:14">
      <c r="A393" s="4">
        <v>40368</v>
      </c>
      <c r="B393" s="28">
        <v>5.2970230171133191E-2</v>
      </c>
      <c r="C393" s="28">
        <v>-5.4819552306991563E-4</v>
      </c>
      <c r="D393" s="28">
        <v>4.5636052481460423E-2</v>
      </c>
      <c r="E393" s="28">
        <v>4.203498794584902E-2</v>
      </c>
      <c r="F393" s="28">
        <v>5.5455570380943529E-2</v>
      </c>
      <c r="G393" s="28">
        <v>4.0579126334372002E-2</v>
      </c>
      <c r="H393" s="28">
        <v>3.3195261550514679E-2</v>
      </c>
      <c r="I393" s="28">
        <v>6.0370888875362662E-2</v>
      </c>
      <c r="J393" s="28">
        <v>4.2639078570479071E-2</v>
      </c>
      <c r="K393" s="28">
        <v>2.668331719251741E-2</v>
      </c>
      <c r="L393" s="28">
        <v>4.0492657831079103E-2</v>
      </c>
      <c r="M393" s="28">
        <v>8.1691993705124338E-2</v>
      </c>
      <c r="N393" s="28">
        <v>5.1849000436266578E-2</v>
      </c>
    </row>
    <row r="394" spans="1:14">
      <c r="A394" s="4">
        <v>40375</v>
      </c>
      <c r="B394" s="28">
        <v>-1.5024781728398421E-3</v>
      </c>
      <c r="C394" s="28">
        <v>8.989243379955476E-3</v>
      </c>
      <c r="D394" s="28">
        <v>-1.5587249629801935E-3</v>
      </c>
      <c r="E394" s="28">
        <v>2.0309879359532369E-2</v>
      </c>
      <c r="F394" s="28">
        <v>-2.161354337653424E-2</v>
      </c>
      <c r="G394" s="28">
        <v>1.0247301543926767E-2</v>
      </c>
      <c r="H394" s="28">
        <v>2.0080462271901589E-3</v>
      </c>
      <c r="I394" s="28">
        <v>1.0461612054532356E-2</v>
      </c>
      <c r="J394" s="28">
        <v>-9.6210689819059092E-4</v>
      </c>
      <c r="K394" s="28">
        <v>8.0575896735757824E-3</v>
      </c>
      <c r="L394" s="28">
        <v>-1.4425666156254915E-2</v>
      </c>
      <c r="M394" s="28">
        <v>2.4380402475548613E-2</v>
      </c>
      <c r="N394" s="28">
        <v>-1.6380643807609136E-2</v>
      </c>
    </row>
    <row r="395" spans="1:14">
      <c r="A395" s="4">
        <v>40382</v>
      </c>
      <c r="B395" s="28">
        <v>2.5286955564322953E-2</v>
      </c>
      <c r="C395" s="28">
        <v>9.3621647741000923E-4</v>
      </c>
      <c r="D395" s="28">
        <v>4.0512059948481755E-2</v>
      </c>
      <c r="E395" s="28">
        <v>1.0513073950938921E-2</v>
      </c>
      <c r="F395" s="28">
        <v>3.8412612558470331E-2</v>
      </c>
      <c r="G395" s="28">
        <v>2.6739022630962068E-2</v>
      </c>
      <c r="H395" s="28">
        <v>3.2730024594816033E-2</v>
      </c>
      <c r="I395" s="28">
        <v>2.0062773093728899E-2</v>
      </c>
      <c r="J395" s="28">
        <v>2.4075835982642194E-2</v>
      </c>
      <c r="K395" s="28">
        <v>4.6058074937945698E-2</v>
      </c>
      <c r="L395" s="28">
        <v>5.2324788417150395E-2</v>
      </c>
      <c r="M395" s="28">
        <v>-8.0942685477472624E-3</v>
      </c>
      <c r="N395" s="28">
        <v>2.4397261633098553E-2</v>
      </c>
    </row>
    <row r="396" spans="1:14">
      <c r="A396" s="4">
        <v>40389</v>
      </c>
      <c r="B396" s="28">
        <v>6.6043223410442355E-3</v>
      </c>
      <c r="C396" s="28">
        <v>6.2154904504722027E-3</v>
      </c>
      <c r="D396" s="28">
        <v>9.6024006001500448E-3</v>
      </c>
      <c r="E396" s="28">
        <v>2.8768398698622258E-2</v>
      </c>
      <c r="F396" s="28">
        <v>-7.1957712786480787E-3</v>
      </c>
      <c r="G396" s="28">
        <v>4.2590326068462801E-3</v>
      </c>
      <c r="H396" s="28">
        <v>1.6799652608152846E-2</v>
      </c>
      <c r="I396" s="28">
        <v>2.8425571411996753E-2</v>
      </c>
      <c r="J396" s="28">
        <v>2.4829766261429128E-2</v>
      </c>
      <c r="K396" s="28">
        <v>4.4651600753295738E-2</v>
      </c>
      <c r="L396" s="28">
        <v>-3.4313525926645488E-4</v>
      </c>
      <c r="M396" s="28">
        <v>9.1447044610496603E-3</v>
      </c>
      <c r="N396" s="28">
        <v>-6.4068417127526745E-3</v>
      </c>
    </row>
    <row r="397" spans="1:14">
      <c r="A397" s="4">
        <v>40396</v>
      </c>
      <c r="B397" s="28">
        <v>2.437701697145353E-2</v>
      </c>
      <c r="C397" s="28">
        <v>6.8667726168699615E-3</v>
      </c>
      <c r="D397" s="28">
        <v>2.9573487888244831E-2</v>
      </c>
      <c r="E397" s="28">
        <v>3.0333228256780021E-2</v>
      </c>
      <c r="F397" s="28">
        <v>2.3609194955599124E-2</v>
      </c>
      <c r="G397" s="28">
        <v>2.3128589932067931E-2</v>
      </c>
      <c r="H397" s="28">
        <v>3.3030828773521953E-2</v>
      </c>
      <c r="I397" s="28">
        <v>3.9372743682310467E-2</v>
      </c>
      <c r="J397" s="28">
        <v>3.3459550592852591E-2</v>
      </c>
      <c r="K397" s="28">
        <v>-2.663553929080199E-3</v>
      </c>
      <c r="L397" s="28">
        <v>6.4104375520488959E-3</v>
      </c>
      <c r="M397" s="28">
        <v>2.5755568734169513E-2</v>
      </c>
      <c r="N397" s="28">
        <v>2.5626903862556318E-2</v>
      </c>
    </row>
    <row r="398" spans="1:14">
      <c r="A398" s="4">
        <v>40403</v>
      </c>
      <c r="B398" s="28">
        <v>-4.2256454762421396E-2</v>
      </c>
      <c r="C398" s="28">
        <v>1.4890702245521286E-4</v>
      </c>
      <c r="D398" s="28">
        <v>-3.5652424942263262E-2</v>
      </c>
      <c r="E398" s="28">
        <v>-3.8095614069716968E-2</v>
      </c>
      <c r="F398" s="28">
        <v>-2.0440221724438906E-2</v>
      </c>
      <c r="G398" s="28">
        <v>-3.0190856208836107E-2</v>
      </c>
      <c r="H398" s="28">
        <v>-1.1019959950907529E-2</v>
      </c>
      <c r="I398" s="28">
        <v>-5.4700966026267138E-2</v>
      </c>
      <c r="J398" s="28">
        <v>-2.5369334288984604E-2</v>
      </c>
      <c r="K398" s="28">
        <v>-5.94099225913155E-2</v>
      </c>
      <c r="L398" s="28">
        <v>-3.0106358291759772E-2</v>
      </c>
      <c r="M398" s="28">
        <v>-3.9422069010233762E-2</v>
      </c>
      <c r="N398" s="28">
        <v>-2.7029981039095523E-2</v>
      </c>
    </row>
    <row r="399" spans="1:14">
      <c r="A399" s="4">
        <v>40410</v>
      </c>
      <c r="B399" s="28">
        <v>-8.8712892819601697E-3</v>
      </c>
      <c r="C399" s="28">
        <v>5.1514158949469025E-3</v>
      </c>
      <c r="D399" s="28">
        <v>1.2722646310431634E-3</v>
      </c>
      <c r="E399" s="28">
        <v>-2.1505376344086058E-2</v>
      </c>
      <c r="F399" s="28">
        <v>1.3904701920980065E-3</v>
      </c>
      <c r="G399" s="28">
        <v>-9.2973556513931618E-3</v>
      </c>
      <c r="H399" s="28">
        <v>-1.61524192705612E-2</v>
      </c>
      <c r="I399" s="28">
        <v>-1.6842269641659732E-2</v>
      </c>
      <c r="J399" s="28">
        <v>-3.379524188458697E-2</v>
      </c>
      <c r="K399" s="28">
        <v>2.4871964870811825E-2</v>
      </c>
      <c r="L399" s="28">
        <v>2.5481693148543483E-2</v>
      </c>
      <c r="M399" s="28">
        <v>-1.407373240783448E-2</v>
      </c>
      <c r="N399" s="28">
        <v>-8.1418349654448566E-3</v>
      </c>
    </row>
    <row r="400" spans="1:14">
      <c r="A400" s="4">
        <v>40417</v>
      </c>
      <c r="B400" s="28">
        <v>-4.141638552895008E-3</v>
      </c>
      <c r="C400" s="28">
        <v>-6.5173598767634573E-4</v>
      </c>
      <c r="D400" s="28">
        <v>5.306824127363839E-3</v>
      </c>
      <c r="E400" s="28">
        <v>2.2476092609680458E-2</v>
      </c>
      <c r="F400" s="28">
        <v>1.6851160180364953E-2</v>
      </c>
      <c r="G400" s="28">
        <v>9.5680745431397495E-3</v>
      </c>
      <c r="H400" s="28">
        <v>2.4417284622687212E-2</v>
      </c>
      <c r="I400" s="28">
        <v>5.0266515306526529E-3</v>
      </c>
      <c r="J400" s="28">
        <v>2.098752108692074E-2</v>
      </c>
      <c r="K400" s="28">
        <v>-2.6138766096482899E-2</v>
      </c>
      <c r="L400" s="28">
        <v>1.5925232775755179E-3</v>
      </c>
      <c r="M400" s="28">
        <v>1.5672425203678786E-2</v>
      </c>
      <c r="N400" s="28">
        <v>1.7352938279872762E-2</v>
      </c>
    </row>
    <row r="401" spans="1:14">
      <c r="A401" s="4">
        <v>40424</v>
      </c>
      <c r="B401" s="28">
        <v>3.8788513091696966E-2</v>
      </c>
      <c r="C401" s="28">
        <v>-1.6304025612140706E-3</v>
      </c>
      <c r="D401" s="28">
        <v>4.5427509293680397E-2</v>
      </c>
      <c r="E401" s="28">
        <v>2.5996933695000099E-2</v>
      </c>
      <c r="F401" s="28">
        <v>1.9179255382419387E-2</v>
      </c>
      <c r="G401" s="28">
        <v>4.3278814912715409E-2</v>
      </c>
      <c r="H401" s="28">
        <v>8.6709135565651452E-3</v>
      </c>
      <c r="I401" s="28">
        <v>4.94898552071956E-2</v>
      </c>
      <c r="J401" s="28">
        <v>1.9649294583648547E-2</v>
      </c>
      <c r="K401" s="28">
        <v>3.6794755158919293E-2</v>
      </c>
      <c r="L401" s="28">
        <v>2.5387632886124136E-2</v>
      </c>
      <c r="M401" s="28">
        <v>5.7009487538127103E-2</v>
      </c>
      <c r="N401" s="28">
        <v>2.2826497323355947E-2</v>
      </c>
    </row>
    <row r="402" spans="1:14">
      <c r="A402" s="4">
        <v>40431</v>
      </c>
      <c r="B402" s="28">
        <v>6.6549417140230778E-3</v>
      </c>
      <c r="C402" s="28">
        <v>-2.4050595326464627E-3</v>
      </c>
      <c r="D402" s="28">
        <v>-4.2671218263283029E-4</v>
      </c>
      <c r="E402" s="28">
        <v>7.7713863053679808E-3</v>
      </c>
      <c r="F402" s="28">
        <v>1.4612102368748352E-3</v>
      </c>
      <c r="G402" s="28">
        <v>1.8569641433842387E-2</v>
      </c>
      <c r="H402" s="28">
        <v>8.0374180035593309E-3</v>
      </c>
      <c r="I402" s="28">
        <v>-2.4448361694023356E-3</v>
      </c>
      <c r="J402" s="28">
        <v>1.3814626481307787E-2</v>
      </c>
      <c r="K402" s="28">
        <v>3.0145177839371328E-2</v>
      </c>
      <c r="L402" s="28">
        <v>8.1379489878498044E-3</v>
      </c>
      <c r="M402" s="28">
        <v>5.3568012244116694E-3</v>
      </c>
      <c r="N402" s="28">
        <v>3.1232549995742738E-3</v>
      </c>
    </row>
    <row r="403" spans="1:14">
      <c r="A403" s="4">
        <v>40438</v>
      </c>
      <c r="B403" s="28">
        <v>1.4995346877139933E-2</v>
      </c>
      <c r="C403" s="28">
        <v>1.3988927912374856E-3</v>
      </c>
      <c r="D403" s="28">
        <v>1.4016364283173238E-2</v>
      </c>
      <c r="E403" s="28">
        <v>7.2105847814012353E-3</v>
      </c>
      <c r="F403" s="28">
        <v>-3.5567945030510625E-3</v>
      </c>
      <c r="G403" s="28">
        <v>1.0680582690304507E-2</v>
      </c>
      <c r="H403" s="28">
        <v>1.3830641563309109E-3</v>
      </c>
      <c r="I403" s="28">
        <v>3.3343693113705948E-2</v>
      </c>
      <c r="J403" s="28">
        <v>-5.6776596202696115E-3</v>
      </c>
      <c r="K403" s="28">
        <v>-1.0816462656173337E-4</v>
      </c>
      <c r="L403" s="28">
        <v>1.0729863262407065E-3</v>
      </c>
      <c r="M403" s="28">
        <v>1.5720477851781378E-2</v>
      </c>
      <c r="N403" s="28">
        <v>-8.4914472256563496E-4</v>
      </c>
    </row>
    <row r="404" spans="1:14">
      <c r="A404" s="4">
        <v>40445</v>
      </c>
      <c r="B404" s="28">
        <v>2.329383271343315E-2</v>
      </c>
      <c r="C404" s="28">
        <v>9.8677366622083318E-3</v>
      </c>
      <c r="D404" s="28">
        <v>2.0628683693516683E-2</v>
      </c>
      <c r="E404" s="28">
        <v>2.0280450217132307E-2</v>
      </c>
      <c r="F404" s="28">
        <v>2.4102247422294571E-2</v>
      </c>
      <c r="G404" s="28">
        <v>2.8918924462129026E-3</v>
      </c>
      <c r="H404" s="28">
        <v>1.2500397797791345E-2</v>
      </c>
      <c r="I404" s="28">
        <v>2.5702500644495876E-2</v>
      </c>
      <c r="J404" s="28">
        <v>8.3459171578417913E-3</v>
      </c>
      <c r="K404" s="28">
        <v>-3.0289371675830705E-3</v>
      </c>
      <c r="L404" s="28">
        <v>3.8955400236316731E-2</v>
      </c>
      <c r="M404" s="28">
        <v>2.88102251319255E-2</v>
      </c>
      <c r="N404" s="28">
        <v>1.6822632886051854E-2</v>
      </c>
    </row>
    <row r="405" spans="1:14">
      <c r="A405" s="4">
        <v>40452</v>
      </c>
      <c r="B405" s="28">
        <v>9.8053303804644166E-4</v>
      </c>
      <c r="C405" s="28">
        <v>5.945198222326982E-3</v>
      </c>
      <c r="D405" s="28">
        <v>1.1549566891241429E-2</v>
      </c>
      <c r="E405" s="28">
        <v>2.620390790508605E-3</v>
      </c>
      <c r="F405" s="28">
        <v>1.2443583605898477E-2</v>
      </c>
      <c r="G405" s="28">
        <v>7.1935457482923309E-3</v>
      </c>
      <c r="H405" s="28">
        <v>3.7025628775640405E-3</v>
      </c>
      <c r="I405" s="28">
        <v>1.1025376798116708E-2</v>
      </c>
      <c r="J405" s="28">
        <v>2.9307096504082256E-3</v>
      </c>
      <c r="K405" s="28">
        <v>4.9369766895130257E-3</v>
      </c>
      <c r="L405" s="28">
        <v>1.3007400416667808E-3</v>
      </c>
      <c r="M405" s="28">
        <v>1.1801305073600044E-2</v>
      </c>
      <c r="N405" s="28">
        <v>1.5782801900065369E-2</v>
      </c>
    </row>
    <row r="406" spans="1:14">
      <c r="A406" s="4">
        <v>40459</v>
      </c>
      <c r="B406" s="28">
        <v>2.1601263310786212E-2</v>
      </c>
      <c r="C406" s="28">
        <v>9.918370929518085E-3</v>
      </c>
      <c r="D406" s="28">
        <v>3.160255538942508E-2</v>
      </c>
      <c r="E406" s="28">
        <v>4.0820353863036882E-2</v>
      </c>
      <c r="F406" s="28">
        <v>6.758951775916843E-3</v>
      </c>
      <c r="G406" s="28">
        <v>1.0005126929578341E-2</v>
      </c>
      <c r="H406" s="28">
        <v>2.6386000951975273E-2</v>
      </c>
      <c r="I406" s="28">
        <v>1.9432037587941403E-2</v>
      </c>
      <c r="J406" s="28">
        <v>1.9941235971292322E-2</v>
      </c>
      <c r="K406" s="28">
        <v>1.2925139463739434E-2</v>
      </c>
      <c r="L406" s="28">
        <v>-3.0293206513578538E-3</v>
      </c>
      <c r="M406" s="28">
        <v>3.8605560360558434E-2</v>
      </c>
      <c r="N406" s="28">
        <v>1.5473578350703928E-2</v>
      </c>
    </row>
    <row r="407" spans="1:14">
      <c r="A407" s="4">
        <v>40466</v>
      </c>
      <c r="B407" s="28">
        <v>1.1291402497995555E-2</v>
      </c>
      <c r="C407" s="28">
        <v>-2.6363056955791904E-3</v>
      </c>
      <c r="D407" s="28">
        <v>1.3439620528361687E-2</v>
      </c>
      <c r="E407" s="28">
        <v>1.7063978357881152E-2</v>
      </c>
      <c r="F407" s="28">
        <v>7.2424147358041736E-3</v>
      </c>
      <c r="G407" s="28">
        <v>4.6640197014625184E-3</v>
      </c>
      <c r="H407" s="28">
        <v>1.180734801471808E-2</v>
      </c>
      <c r="I407" s="28">
        <v>1.7025410089252277E-2</v>
      </c>
      <c r="J407" s="28">
        <v>7.8761642398005993E-3</v>
      </c>
      <c r="K407" s="28">
        <v>1.7876732710645649E-2</v>
      </c>
      <c r="L407" s="28">
        <v>-3.4949992546576174E-3</v>
      </c>
      <c r="M407" s="28">
        <v>2.5545741173072838E-2</v>
      </c>
      <c r="N407" s="28">
        <v>1.0385108825316873E-2</v>
      </c>
    </row>
    <row r="408" spans="1:14">
      <c r="A408" s="4">
        <v>40473</v>
      </c>
      <c r="B408" s="28">
        <v>-3.8416582885823238E-4</v>
      </c>
      <c r="C408" s="28">
        <v>7.5522119266851866E-4</v>
      </c>
      <c r="D408" s="28">
        <v>-7.8008190860043259E-4</v>
      </c>
      <c r="E408" s="28">
        <v>2.1779162025143627E-3</v>
      </c>
      <c r="F408" s="28">
        <v>-8.2760093616799735E-4</v>
      </c>
      <c r="G408" s="28">
        <v>-1.9509950074538469E-3</v>
      </c>
      <c r="H408" s="28">
        <v>6.7906595262218301E-3</v>
      </c>
      <c r="I408" s="28">
        <v>-5.0872586749149866E-3</v>
      </c>
      <c r="J408" s="28">
        <v>2.6343738936670615E-3</v>
      </c>
      <c r="K408" s="28">
        <v>-4.8128528916389001E-3</v>
      </c>
      <c r="L408" s="28">
        <v>-6.5626399996279649E-3</v>
      </c>
      <c r="M408" s="28">
        <v>-3.7314833937253902E-3</v>
      </c>
      <c r="N408" s="28">
        <v>-4.3795555397144722E-3</v>
      </c>
    </row>
    <row r="409" spans="1:14">
      <c r="A409" s="4">
        <v>40480</v>
      </c>
      <c r="B409" s="28">
        <v>-5.9691240923662116E-4</v>
      </c>
      <c r="C409" s="28">
        <v>-1.0158767015933763E-3</v>
      </c>
      <c r="D409" s="28">
        <v>-1.6134278836770658E-2</v>
      </c>
      <c r="E409" s="28">
        <v>1.952689030642335E-2</v>
      </c>
      <c r="F409" s="28">
        <v>8.1581759886000024E-3</v>
      </c>
      <c r="G409" s="28">
        <v>5.7140565791852964E-4</v>
      </c>
      <c r="H409" s="28">
        <v>1.7850510955900824E-2</v>
      </c>
      <c r="I409" s="28">
        <v>8.5475578406170472E-3</v>
      </c>
      <c r="J409" s="28">
        <v>2.4799825528865622E-2</v>
      </c>
      <c r="K409" s="28">
        <v>6.1953304833936686E-3</v>
      </c>
      <c r="L409" s="28">
        <v>1.9042454835903434E-2</v>
      </c>
      <c r="M409" s="28">
        <v>1.3464809170015558E-2</v>
      </c>
      <c r="N409" s="28">
        <v>1.5483131888539513E-3</v>
      </c>
    </row>
    <row r="410" spans="1:14">
      <c r="A410" s="4">
        <v>40487</v>
      </c>
      <c r="B410" s="28">
        <v>3.4772505993143681E-2</v>
      </c>
      <c r="C410" s="28">
        <v>8.3967691324306655E-3</v>
      </c>
      <c r="D410" s="28">
        <v>5.4817165906235671E-2</v>
      </c>
      <c r="E410" s="28">
        <v>1.1703557347431084E-2</v>
      </c>
      <c r="F410" s="28">
        <v>1.5234637266334403E-2</v>
      </c>
      <c r="G410" s="28">
        <v>4.5100239452565333E-2</v>
      </c>
      <c r="H410" s="28">
        <v>1.6795941667353233E-2</v>
      </c>
      <c r="I410" s="28">
        <v>3.1518830051615321E-2</v>
      </c>
      <c r="J410" s="28">
        <v>4.0119985001874914E-2</v>
      </c>
      <c r="K410" s="28">
        <v>5.9301575681516977E-2</v>
      </c>
      <c r="L410" s="28">
        <v>7.4349869307768022E-3</v>
      </c>
      <c r="M410" s="28">
        <v>1.0798875020337967E-2</v>
      </c>
      <c r="N410" s="28">
        <v>1.5977481402050693E-2</v>
      </c>
    </row>
    <row r="411" spans="1:14">
      <c r="A411" s="4">
        <v>40494</v>
      </c>
      <c r="B411" s="28">
        <v>-2.2439572082578976E-2</v>
      </c>
      <c r="C411" s="28">
        <v>-1.6480825193764863E-2</v>
      </c>
      <c r="D411" s="28">
        <v>-4.3254764292878667E-2</v>
      </c>
      <c r="E411" s="28">
        <v>-2.8278234248816776E-2</v>
      </c>
      <c r="F411" s="28">
        <v>-1.9870258134971602E-2</v>
      </c>
      <c r="G411" s="28">
        <v>-1.1628520071899446E-2</v>
      </c>
      <c r="H411" s="28">
        <v>-2.0500532481363194E-2</v>
      </c>
      <c r="I411" s="28">
        <v>-4.166377093613171E-2</v>
      </c>
      <c r="J411" s="28">
        <v>-1.347454159278255E-2</v>
      </c>
      <c r="K411" s="28">
        <v>-5.2982965647456184E-3</v>
      </c>
      <c r="L411" s="28">
        <v>-1.9952379975270346E-2</v>
      </c>
      <c r="M411" s="28">
        <v>-3.125028743825839E-2</v>
      </c>
      <c r="N411" s="28">
        <v>-2.0405381039706776E-2</v>
      </c>
    </row>
    <row r="412" spans="1:14">
      <c r="A412" s="4">
        <v>40501</v>
      </c>
      <c r="B412" s="28">
        <v>-8.2500909936505191E-4</v>
      </c>
      <c r="C412" s="28">
        <v>-6.1520433572580125E-3</v>
      </c>
      <c r="D412" s="28">
        <v>-1.8673830428515229E-2</v>
      </c>
      <c r="E412" s="28">
        <v>-9.8271312109868489E-3</v>
      </c>
      <c r="F412" s="28">
        <v>-4.7852836989620406E-3</v>
      </c>
      <c r="G412" s="28">
        <v>-2.7046687908282661E-2</v>
      </c>
      <c r="H412" s="28">
        <v>-1.3307018684188746E-2</v>
      </c>
      <c r="I412" s="28">
        <v>-4.9917207537137059E-3</v>
      </c>
      <c r="J412" s="28">
        <v>-1.0784652609747626E-2</v>
      </c>
      <c r="K412" s="28">
        <v>-2.8427395175531198E-2</v>
      </c>
      <c r="L412" s="28">
        <v>1.2965471677190265E-3</v>
      </c>
      <c r="M412" s="28">
        <v>-1.8115959229596929E-2</v>
      </c>
      <c r="N412" s="28">
        <v>-5.6071577680909335E-3</v>
      </c>
    </row>
    <row r="413" spans="1:14">
      <c r="A413" s="4">
        <v>40508</v>
      </c>
      <c r="B413" s="28">
        <v>-2.021322237782619E-2</v>
      </c>
      <c r="C413" s="28">
        <v>-2.1812822402358413E-3</v>
      </c>
      <c r="D413" s="28">
        <v>-1.8695332843693738E-2</v>
      </c>
      <c r="E413" s="28">
        <v>-4.0809515972717453E-2</v>
      </c>
      <c r="F413" s="28">
        <v>6.645970490105897E-4</v>
      </c>
      <c r="G413" s="28">
        <v>-1.3612664613053377E-2</v>
      </c>
      <c r="H413" s="28">
        <v>-2.2727000515025599E-2</v>
      </c>
      <c r="I413" s="28">
        <v>-2.0872811492800694E-2</v>
      </c>
      <c r="J413" s="28">
        <v>-7.6675019717859392E-3</v>
      </c>
      <c r="K413" s="28">
        <v>9.794198395300921E-3</v>
      </c>
      <c r="L413" s="28">
        <v>-6.2358131765241952E-3</v>
      </c>
      <c r="M413" s="28">
        <v>-4.9935453301551525E-2</v>
      </c>
      <c r="N413" s="28">
        <v>-6.2166481566757782E-3</v>
      </c>
    </row>
    <row r="414" spans="1:14">
      <c r="A414" s="4">
        <v>40515</v>
      </c>
      <c r="B414" s="28">
        <v>3.039591526488003E-2</v>
      </c>
      <c r="C414" s="28">
        <v>-6.5876931257570475E-3</v>
      </c>
      <c r="D414" s="28">
        <v>2.9393753827311651E-2</v>
      </c>
      <c r="E414" s="28">
        <v>1.1390661563903863E-3</v>
      </c>
      <c r="F414" s="28">
        <v>1.4758519244913027E-2</v>
      </c>
      <c r="G414" s="28">
        <v>2.0005962878554315E-2</v>
      </c>
      <c r="H414" s="28">
        <v>-3.100737191075236E-3</v>
      </c>
      <c r="I414" s="28">
        <v>3.6477997824801413E-2</v>
      </c>
      <c r="J414" s="28">
        <v>-1.2928215705015365E-2</v>
      </c>
      <c r="K414" s="28">
        <v>3.2672107100102751E-2</v>
      </c>
      <c r="L414" s="28">
        <v>1.1985670188334795E-3</v>
      </c>
      <c r="M414" s="28">
        <v>3.1262245609392447E-2</v>
      </c>
      <c r="N414" s="28">
        <v>1.8153321976149932E-2</v>
      </c>
    </row>
    <row r="415" spans="1:14">
      <c r="A415" s="4">
        <v>40522</v>
      </c>
      <c r="B415" s="28">
        <v>7.5131299362545725E-3</v>
      </c>
      <c r="C415" s="28">
        <v>-7.5234923278219724E-3</v>
      </c>
      <c r="D415" s="28">
        <v>-6.5437239738249768E-3</v>
      </c>
      <c r="E415" s="28">
        <v>-3.0372274588213411E-3</v>
      </c>
      <c r="F415" s="28">
        <v>-7.5332958498788042E-3</v>
      </c>
      <c r="G415" s="28">
        <v>-2.1783502600941307E-2</v>
      </c>
      <c r="H415" s="28">
        <v>-3.2824976487727015E-3</v>
      </c>
      <c r="I415" s="28">
        <v>-6.6829451240434405E-3</v>
      </c>
      <c r="J415" s="28">
        <v>2.6806645601875397E-3</v>
      </c>
      <c r="K415" s="28">
        <v>-1.4417091519141714E-2</v>
      </c>
      <c r="L415" s="28">
        <v>-1.0894836842093063E-2</v>
      </c>
      <c r="M415" s="28">
        <v>-1.3447360369518657E-2</v>
      </c>
      <c r="N415" s="28">
        <v>-9.1646922867557983E-3</v>
      </c>
    </row>
    <row r="416" spans="1:14">
      <c r="A416" s="4">
        <v>40529</v>
      </c>
      <c r="B416" s="28">
        <v>1.0505204851494097E-3</v>
      </c>
      <c r="C416" s="28">
        <v>-4.7940074906374533E-4</v>
      </c>
      <c r="D416" s="28">
        <v>-6.4537591483699187E-3</v>
      </c>
      <c r="E416" s="28">
        <v>-7.5159247834514923E-3</v>
      </c>
      <c r="F416" s="28">
        <v>3.1910985611288065E-3</v>
      </c>
      <c r="G416" s="28">
        <v>-8.1183876669384484E-3</v>
      </c>
      <c r="H416" s="28">
        <v>1.4184659599006963E-4</v>
      </c>
      <c r="I416" s="28">
        <v>-5.2899426822459851E-3</v>
      </c>
      <c r="J416" s="28">
        <v>-3.4562329094365092E-3</v>
      </c>
      <c r="K416" s="28">
        <v>-3.1467561243295861E-2</v>
      </c>
      <c r="L416" s="28">
        <v>-9.5102066512426121E-3</v>
      </c>
      <c r="M416" s="28">
        <v>5.9774806544715146E-3</v>
      </c>
      <c r="N416" s="28">
        <v>1.5220631611180902E-3</v>
      </c>
    </row>
    <row r="417" spans="1:14">
      <c r="A417" s="4">
        <v>40536</v>
      </c>
      <c r="B417" s="28">
        <v>1.3181326718819688E-2</v>
      </c>
      <c r="C417" s="28">
        <v>8.093767798796087E-4</v>
      </c>
      <c r="D417" s="28">
        <v>2.5982722828634536E-2</v>
      </c>
      <c r="E417" s="28">
        <v>1.5848119779839138E-2</v>
      </c>
      <c r="F417" s="28">
        <v>1.2172309429900092E-2</v>
      </c>
      <c r="G417" s="28">
        <v>1.6696451365841112E-3</v>
      </c>
      <c r="H417" s="28">
        <v>1.3294690756613397E-2</v>
      </c>
      <c r="I417" s="28">
        <v>1.4310750022209143E-2</v>
      </c>
      <c r="J417" s="28">
        <v>1.8728387379759889E-2</v>
      </c>
      <c r="K417" s="28">
        <v>5.5628011990233213E-2</v>
      </c>
      <c r="L417" s="28">
        <v>1.4374868411121419E-2</v>
      </c>
      <c r="M417" s="28">
        <v>5.6336767572298793E-3</v>
      </c>
      <c r="N417" s="28">
        <v>1.1515028888738864E-2</v>
      </c>
    </row>
    <row r="418" spans="1:14">
      <c r="A418" s="4">
        <v>40543</v>
      </c>
      <c r="B418" s="28">
        <v>4.4333893065079512E-3</v>
      </c>
      <c r="C418" s="28">
        <v>8.9258970826093607E-3</v>
      </c>
      <c r="D418" s="28">
        <v>1.4946805038835533E-2</v>
      </c>
      <c r="E418" s="28">
        <v>-2.3822830133276183E-3</v>
      </c>
      <c r="F418" s="28">
        <v>4.7031440016388924E-3</v>
      </c>
      <c r="G418" s="28">
        <v>1.6072220494757272E-2</v>
      </c>
      <c r="H418" s="28">
        <v>-3.6451930917809775E-3</v>
      </c>
      <c r="I418" s="28">
        <v>1.7835104900672687E-2</v>
      </c>
      <c r="J418" s="28">
        <v>1.1965675034294287E-3</v>
      </c>
      <c r="K418" s="28">
        <v>9.8433968225677838E-3</v>
      </c>
      <c r="L418" s="28">
        <v>1.8717867582326315E-2</v>
      </c>
      <c r="M418" s="28">
        <v>7.001409181932732E-3</v>
      </c>
      <c r="N418" s="28">
        <v>1.9958571517474802E-3</v>
      </c>
    </row>
    <row r="419" spans="1:14">
      <c r="A419" s="4">
        <v>40550</v>
      </c>
      <c r="B419" s="28">
        <v>1.0468177521542929E-3</v>
      </c>
      <c r="C419" s="28">
        <v>-4.7203420021374393E-3</v>
      </c>
      <c r="D419" s="28">
        <v>3.8585209003215068E-3</v>
      </c>
      <c r="E419" s="28">
        <v>-5.9390711121870901E-3</v>
      </c>
      <c r="F419" s="28">
        <v>-7.4229934924078646E-3</v>
      </c>
      <c r="G419" s="28">
        <v>2.5084031505543574E-4</v>
      </c>
      <c r="H419" s="28">
        <v>7.7140606008783584E-3</v>
      </c>
      <c r="I419" s="28">
        <v>-7.0325028356866348E-3</v>
      </c>
      <c r="J419" s="28">
        <v>3.7204278492026857E-3</v>
      </c>
      <c r="K419" s="28">
        <v>2.1239811308645072E-2</v>
      </c>
      <c r="L419" s="28">
        <v>-2.0698176137088735E-2</v>
      </c>
      <c r="M419" s="28">
        <v>-2.257182278393988E-2</v>
      </c>
      <c r="N419" s="28">
        <v>-8.575294456890592E-3</v>
      </c>
    </row>
    <row r="420" spans="1:14">
      <c r="A420" s="4">
        <v>40557</v>
      </c>
      <c r="B420" s="28">
        <v>2.1530969791089438E-2</v>
      </c>
      <c r="C420" s="28">
        <v>3.9373601789708971E-3</v>
      </c>
      <c r="D420" s="28">
        <v>1.3709160794362683E-2</v>
      </c>
      <c r="E420" s="28">
        <v>7.2305958316617345E-3</v>
      </c>
      <c r="F420" s="28">
        <v>6.4207632359947614E-3</v>
      </c>
      <c r="G420" s="28">
        <v>7.0217674791859315E-4</v>
      </c>
      <c r="H420" s="28">
        <v>-1.5182738347778762E-2</v>
      </c>
      <c r="I420" s="28">
        <v>7.0507972521602162E-4</v>
      </c>
      <c r="J420" s="28">
        <v>-7.3385445469084038E-3</v>
      </c>
      <c r="K420" s="28">
        <v>4.8678075815720236E-2</v>
      </c>
      <c r="L420" s="28">
        <v>-1.5540246128481462E-2</v>
      </c>
      <c r="M420" s="28">
        <v>4.9471526745167277E-2</v>
      </c>
      <c r="N420" s="28">
        <v>1.486920646852991E-2</v>
      </c>
    </row>
    <row r="421" spans="1:14">
      <c r="A421" s="4">
        <v>40564</v>
      </c>
      <c r="B421" s="28">
        <v>-4.9350649350649632E-3</v>
      </c>
      <c r="C421" s="28">
        <v>-2.1689395965178663E-3</v>
      </c>
      <c r="D421" s="28">
        <v>-5.8139534883721936E-3</v>
      </c>
      <c r="E421" s="28">
        <v>2.3233539748319126E-2</v>
      </c>
      <c r="F421" s="28">
        <v>2.8229203762739666E-4</v>
      </c>
      <c r="G421" s="28">
        <v>-9.8386126704090356E-3</v>
      </c>
      <c r="H421" s="28">
        <v>1.9201772471305074E-2</v>
      </c>
      <c r="I421" s="28">
        <v>6.8372098515651937E-3</v>
      </c>
      <c r="J421" s="28">
        <v>-2.3764353970930654E-2</v>
      </c>
      <c r="K421" s="28">
        <v>-3.2103047373625397E-2</v>
      </c>
      <c r="L421" s="28">
        <v>1.2456028282257996E-2</v>
      </c>
      <c r="M421" s="28">
        <v>1.774910009956342E-2</v>
      </c>
      <c r="N421" s="28">
        <v>-2.1604461982760921E-3</v>
      </c>
    </row>
    <row r="422" spans="1:14">
      <c r="A422" s="4">
        <v>40571</v>
      </c>
      <c r="B422" s="28">
        <v>-3.1476960400437186E-4</v>
      </c>
      <c r="C422" s="28">
        <v>5.5383515959981358E-3</v>
      </c>
      <c r="D422" s="28">
        <v>4.7037884566489266E-3</v>
      </c>
      <c r="E422" s="28">
        <v>1.7886766573062935E-3</v>
      </c>
      <c r="F422" s="28">
        <v>4.1724013667762778E-3</v>
      </c>
      <c r="G422" s="28">
        <v>-3.2395713642132279E-4</v>
      </c>
      <c r="H422" s="28">
        <v>1.8960780169681472E-3</v>
      </c>
      <c r="I422" s="28">
        <v>1.1716734170484855E-2</v>
      </c>
      <c r="J422" s="28">
        <v>-1.0775629392379962E-2</v>
      </c>
      <c r="K422" s="28">
        <v>2.4712379021179148E-2</v>
      </c>
      <c r="L422" s="28">
        <v>1.8061517860659231E-2</v>
      </c>
      <c r="M422" s="28">
        <v>5.1970651867181746E-3</v>
      </c>
      <c r="N422" s="28">
        <v>-2.2800079535162535E-3</v>
      </c>
    </row>
    <row r="423" spans="1:14">
      <c r="A423" s="4">
        <v>40578</v>
      </c>
      <c r="B423" s="28">
        <v>2.2670547487578029E-2</v>
      </c>
      <c r="C423" s="28">
        <v>-7.5214687592536677E-3</v>
      </c>
      <c r="D423" s="28">
        <v>1.4614703277236506E-2</v>
      </c>
      <c r="E423" s="28">
        <v>1.9274890373193736E-2</v>
      </c>
      <c r="F423" s="28">
        <v>2.2621538887255366E-2</v>
      </c>
      <c r="G423" s="28">
        <v>1.3949861514078957E-2</v>
      </c>
      <c r="H423" s="28">
        <v>1.4495024680717672E-2</v>
      </c>
      <c r="I423" s="28">
        <v>1.5970786560272014E-2</v>
      </c>
      <c r="J423" s="28">
        <v>4.1867402568380105E-2</v>
      </c>
      <c r="K423" s="28">
        <v>1.4463800845170799E-3</v>
      </c>
      <c r="L423" s="28">
        <v>4.3694293141866923E-2</v>
      </c>
      <c r="M423" s="28">
        <v>6.7516668616211658E-3</v>
      </c>
      <c r="N423" s="28">
        <v>1.7006275492805589E-2</v>
      </c>
    </row>
    <row r="424" spans="1:14">
      <c r="A424" s="4">
        <v>40585</v>
      </c>
      <c r="B424" s="28">
        <v>7.013854991927246E-3</v>
      </c>
      <c r="C424" s="28">
        <v>-3.4610335362215807E-3</v>
      </c>
      <c r="D424" s="28">
        <v>-1.2782939452516127E-2</v>
      </c>
      <c r="E424" s="28">
        <v>1.6918154795670506E-2</v>
      </c>
      <c r="F424" s="28">
        <v>9.9189906813915499E-3</v>
      </c>
      <c r="G424" s="28">
        <v>-3.6694498821461398E-2</v>
      </c>
      <c r="H424" s="28">
        <v>1.5066181887312504E-2</v>
      </c>
      <c r="I424" s="28">
        <v>-6.0322990438082119E-3</v>
      </c>
      <c r="J424" s="28">
        <v>-1.7807884353503646E-3</v>
      </c>
      <c r="K424" s="28">
        <v>-5.5233763980964107E-2</v>
      </c>
      <c r="L424" s="28">
        <v>3.651347636761515E-2</v>
      </c>
      <c r="M424" s="28">
        <v>4.563875669244574E-3</v>
      </c>
      <c r="N424" s="28">
        <v>-4.2675677911853746E-4</v>
      </c>
    </row>
    <row r="425" spans="1:14">
      <c r="A425" s="4">
        <v>40592</v>
      </c>
      <c r="B425" s="28">
        <v>1.6129874197421221E-2</v>
      </c>
      <c r="C425" s="28">
        <v>3.8922155688623093E-3</v>
      </c>
      <c r="D425" s="28">
        <v>1.7559373420919663E-2</v>
      </c>
      <c r="E425" s="28">
        <v>1.2107121022121317E-2</v>
      </c>
      <c r="F425" s="28">
        <v>3.2236186584721799E-4</v>
      </c>
      <c r="G425" s="28">
        <v>2.9020217729393477E-2</v>
      </c>
      <c r="H425" s="28">
        <v>5.162121034765401E-3</v>
      </c>
      <c r="I425" s="28">
        <v>9.241118577135457E-3</v>
      </c>
      <c r="J425" s="28">
        <v>3.2925902976273812E-2</v>
      </c>
      <c r="K425" s="28">
        <v>5.0775340770750611E-2</v>
      </c>
      <c r="L425" s="28">
        <v>-3.237856429189051E-2</v>
      </c>
      <c r="M425" s="28">
        <v>1.2792042563034971E-2</v>
      </c>
      <c r="N425" s="28">
        <v>1.3113125759668366E-2</v>
      </c>
    </row>
    <row r="426" spans="1:14">
      <c r="A426" s="4">
        <v>40599</v>
      </c>
      <c r="B426" s="28">
        <v>-1.5646328396765011E-2</v>
      </c>
      <c r="C426" s="28">
        <v>9.9015806740232418E-3</v>
      </c>
      <c r="D426" s="28">
        <v>-9.2489137181873422E-3</v>
      </c>
      <c r="E426" s="28">
        <v>-8.099790119755151E-3</v>
      </c>
      <c r="F426" s="28">
        <v>-2.5571380143047692E-3</v>
      </c>
      <c r="G426" s="28">
        <v>-1.3627341333413916E-2</v>
      </c>
      <c r="H426" s="28">
        <v>-5.8052194570926315E-3</v>
      </c>
      <c r="I426" s="28">
        <v>-1.9977478416815964E-2</v>
      </c>
      <c r="J426" s="28">
        <v>-1.7711230981350294E-2</v>
      </c>
      <c r="K426" s="28">
        <v>-7.5595617953626806E-2</v>
      </c>
      <c r="L426" s="28">
        <v>-9.0055930172654106E-3</v>
      </c>
      <c r="M426" s="28">
        <v>-5.4952835575452575E-3</v>
      </c>
      <c r="N426" s="28">
        <v>3.3584031029752375E-3</v>
      </c>
    </row>
    <row r="427" spans="1:14">
      <c r="A427" s="4">
        <v>40606</v>
      </c>
      <c r="B427" s="28">
        <v>5.3231939163498844E-3</v>
      </c>
      <c r="C427" s="28">
        <v>-8.5641722284572814E-4</v>
      </c>
      <c r="D427" s="28">
        <v>4.8242591316332416E-3</v>
      </c>
      <c r="E427" s="28">
        <v>1.8332229428473536E-2</v>
      </c>
      <c r="F427" s="28">
        <v>7.2630995938370415E-3</v>
      </c>
      <c r="G427" s="28">
        <v>1.9781095340487154E-2</v>
      </c>
      <c r="H427" s="28">
        <v>1.2410319482268912E-2</v>
      </c>
      <c r="I427" s="28">
        <v>2.6892037233342783E-2</v>
      </c>
      <c r="J427" s="28">
        <v>1.835562735170701E-2</v>
      </c>
      <c r="K427" s="28">
        <v>3.7821289885147193E-2</v>
      </c>
      <c r="L427" s="28">
        <v>-6.6865410705776122E-3</v>
      </c>
      <c r="M427" s="28">
        <v>1.2116925112074718E-2</v>
      </c>
      <c r="N427" s="28">
        <v>1.5548660278058622E-2</v>
      </c>
    </row>
    <row r="428" spans="1:14">
      <c r="A428" s="4">
        <v>40613</v>
      </c>
      <c r="B428" s="28">
        <v>-2.4747115184954552E-2</v>
      </c>
      <c r="C428" s="28">
        <v>1.3891762480419333E-3</v>
      </c>
      <c r="D428" s="28">
        <v>-1.3655069210624753E-2</v>
      </c>
      <c r="E428" s="28">
        <v>-2.3493668233784137E-2</v>
      </c>
      <c r="F428" s="28">
        <v>-1.2513590409024432E-2</v>
      </c>
      <c r="G428" s="28">
        <v>-2.4596075445994875E-2</v>
      </c>
      <c r="H428" s="28">
        <v>-9.2558311736393919E-3</v>
      </c>
      <c r="I428" s="28">
        <v>-2.2766916953309485E-2</v>
      </c>
      <c r="J428" s="28">
        <v>-2.5337208796204543E-2</v>
      </c>
      <c r="K428" s="28">
        <v>-1.5441936339627932E-3</v>
      </c>
      <c r="L428" s="28">
        <v>-4.1912076096195378E-2</v>
      </c>
      <c r="M428" s="28">
        <v>-2.2146584978443469E-2</v>
      </c>
      <c r="N428" s="28">
        <v>-1.2892471303173416E-2</v>
      </c>
    </row>
    <row r="429" spans="1:14">
      <c r="A429" s="4">
        <v>40620</v>
      </c>
      <c r="B429" s="28">
        <v>-2.1246017322271687E-2</v>
      </c>
      <c r="C429" s="28">
        <v>1.2544273907910271E-2</v>
      </c>
      <c r="D429" s="28">
        <v>-2.6929641570263549E-2</v>
      </c>
      <c r="E429" s="28">
        <v>5.8873228103582982E-3</v>
      </c>
      <c r="F429" s="28">
        <v>-1.1225243087047362E-2</v>
      </c>
      <c r="G429" s="28">
        <v>-1.352981951682879E-2</v>
      </c>
      <c r="H429" s="28">
        <v>5.7805493273543126E-4</v>
      </c>
      <c r="I429" s="28">
        <v>-2.2156168798624542E-2</v>
      </c>
      <c r="J429" s="28">
        <v>-2.6248933171903041E-3</v>
      </c>
      <c r="K429" s="28">
        <v>-2.0248325527721465E-2</v>
      </c>
      <c r="L429" s="28">
        <v>-6.4264833812826937E-5</v>
      </c>
      <c r="M429" s="28">
        <v>-6.6134496681672632E-3</v>
      </c>
      <c r="N429" s="28">
        <v>-9.8245014001410898E-3</v>
      </c>
    </row>
    <row r="430" spans="1:14">
      <c r="A430" s="4">
        <v>40627</v>
      </c>
      <c r="B430" s="28">
        <v>3.0082431456029925E-2</v>
      </c>
      <c r="C430" s="28">
        <v>-6.5296603993587202E-3</v>
      </c>
      <c r="D430" s="28">
        <v>1.8125121808614253E-2</v>
      </c>
      <c r="E430" s="28">
        <v>2.1464949470709094E-2</v>
      </c>
      <c r="F430" s="28">
        <v>1.8682218828126984E-2</v>
      </c>
      <c r="G430" s="28">
        <v>4.6049344159900078E-2</v>
      </c>
      <c r="H430" s="28">
        <v>1.9315721596844072E-2</v>
      </c>
      <c r="I430" s="28">
        <v>2.6529831768773715E-2</v>
      </c>
      <c r="J430" s="28">
        <v>1.8611662512499856E-2</v>
      </c>
      <c r="K430" s="28">
        <v>4.3980685088418681E-2</v>
      </c>
      <c r="L430" s="28">
        <v>-6.0107156741029538E-3</v>
      </c>
      <c r="M430" s="28">
        <v>3.4104977925202645E-2</v>
      </c>
      <c r="N430" s="28">
        <v>2.9308267884821982E-2</v>
      </c>
    </row>
    <row r="431" spans="1:14">
      <c r="A431" s="4">
        <v>40634</v>
      </c>
      <c r="B431" s="28">
        <v>1.1766036882000329E-2</v>
      </c>
      <c r="C431" s="28">
        <v>-3.7557583404243702E-3</v>
      </c>
      <c r="D431" s="28">
        <v>1.3272077590607532E-2</v>
      </c>
      <c r="E431" s="28">
        <v>1.9808743169398995E-2</v>
      </c>
      <c r="F431" s="28">
        <v>2.7184815703618019E-2</v>
      </c>
      <c r="G431" s="28">
        <v>1.4609363726382888E-2</v>
      </c>
      <c r="H431" s="28">
        <v>1.7535623708300585E-2</v>
      </c>
      <c r="I431" s="28">
        <v>3.1017636575923394E-2</v>
      </c>
      <c r="J431" s="28">
        <v>2.6056929629195438E-2</v>
      </c>
      <c r="K431" s="28">
        <v>2.5355814972337206E-3</v>
      </c>
      <c r="L431" s="28">
        <v>4.831657623801569E-2</v>
      </c>
      <c r="M431" s="28">
        <v>3.2297996340554448E-2</v>
      </c>
      <c r="N431" s="28">
        <v>1.9241175360221626E-2</v>
      </c>
    </row>
    <row r="432" spans="1:14">
      <c r="A432" s="4">
        <v>40641</v>
      </c>
      <c r="B432" s="28">
        <v>7.4397107607439847E-3</v>
      </c>
      <c r="C432" s="28">
        <v>-4.4178717639089329E-3</v>
      </c>
      <c r="D432" s="28">
        <v>2.3929471032745303E-3</v>
      </c>
      <c r="E432" s="28">
        <v>1.6911190651916957E-2</v>
      </c>
      <c r="F432" s="28">
        <v>-1.0172711853349786E-2</v>
      </c>
      <c r="G432" s="28">
        <v>1.2613840894935351E-2</v>
      </c>
      <c r="H432" s="28">
        <v>2.1267497861998698E-3</v>
      </c>
      <c r="I432" s="28">
        <v>-5.3083697158439001E-3</v>
      </c>
      <c r="J432" s="28">
        <v>1.14242737255989E-3</v>
      </c>
      <c r="K432" s="28">
        <v>3.4747063805431876E-2</v>
      </c>
      <c r="L432" s="28">
        <v>-1.8334029086231989E-2</v>
      </c>
      <c r="M432" s="28">
        <v>1.4315474366941817E-2</v>
      </c>
      <c r="N432" s="28">
        <v>8.1899070713047941E-4</v>
      </c>
    </row>
    <row r="433" spans="1:14">
      <c r="A433" s="4">
        <v>40648</v>
      </c>
      <c r="B433" s="28">
        <v>-9.9080233530409265E-3</v>
      </c>
      <c r="C433" s="28">
        <v>1.0561192793539185E-2</v>
      </c>
      <c r="D433" s="28">
        <v>3.8321397160446364E-3</v>
      </c>
      <c r="E433" s="28">
        <v>1.7452226627230735E-3</v>
      </c>
      <c r="F433" s="28">
        <v>7.4968385584657168E-4</v>
      </c>
      <c r="G433" s="28">
        <v>9.58953868507092E-4</v>
      </c>
      <c r="H433" s="28">
        <v>1.0498893966784705E-3</v>
      </c>
      <c r="I433" s="28">
        <v>-4.0146955834604479E-3</v>
      </c>
      <c r="J433" s="28">
        <v>1.0184529215144648E-2</v>
      </c>
      <c r="K433" s="28">
        <v>1.3484422651438283E-2</v>
      </c>
      <c r="L433" s="28">
        <v>2.8809611376719375E-4</v>
      </c>
      <c r="M433" s="28">
        <v>-1.1041356546501907E-2</v>
      </c>
      <c r="N433" s="28">
        <v>7.6897454982087043E-4</v>
      </c>
    </row>
    <row r="434" spans="1:14">
      <c r="A434" s="4">
        <v>40655</v>
      </c>
      <c r="B434" s="28">
        <v>1.7181848076290702E-2</v>
      </c>
      <c r="C434" s="28">
        <v>5.2400468384073877E-3</v>
      </c>
      <c r="D434" s="28">
        <v>1.3580324175480418E-2</v>
      </c>
      <c r="E434" s="28">
        <v>1.7622842688488585E-2</v>
      </c>
      <c r="F434" s="28">
        <v>1.2105321649221387E-2</v>
      </c>
      <c r="G434" s="28">
        <v>2.4502474924155488E-2</v>
      </c>
      <c r="H434" s="28">
        <v>1.2574242432740183E-2</v>
      </c>
      <c r="I434" s="28">
        <v>3.0758008174561167E-2</v>
      </c>
      <c r="J434" s="28">
        <v>9.093433618405122E-3</v>
      </c>
      <c r="K434" s="28">
        <v>3.4472077174971076E-2</v>
      </c>
      <c r="L434" s="28">
        <v>1.0121057437173384E-2</v>
      </c>
      <c r="M434" s="28">
        <v>2.1277802500807127E-2</v>
      </c>
      <c r="N434" s="28">
        <v>1.5322474606357437E-2</v>
      </c>
    </row>
    <row r="435" spans="1:14">
      <c r="A435" s="4">
        <v>40662</v>
      </c>
      <c r="B435" s="28">
        <v>2.0271412092312379E-2</v>
      </c>
      <c r="C435" s="28">
        <v>7.4842016366230618E-3</v>
      </c>
      <c r="D435" s="28">
        <v>1.8029142998271099E-2</v>
      </c>
      <c r="E435" s="28">
        <v>2.9910819008267985E-2</v>
      </c>
      <c r="F435" s="28">
        <v>2.07977486050786E-2</v>
      </c>
      <c r="G435" s="28">
        <v>-1.1552066950981659E-2</v>
      </c>
      <c r="H435" s="28">
        <v>3.018117567560083E-2</v>
      </c>
      <c r="I435" s="28">
        <v>1.2913722471701106E-2</v>
      </c>
      <c r="J435" s="28">
        <v>2.7836729743974987E-2</v>
      </c>
      <c r="K435" s="28">
        <v>-2.3388373187320757E-2</v>
      </c>
      <c r="L435" s="28">
        <v>1.0787823545604088E-2</v>
      </c>
      <c r="M435" s="28">
        <v>1.7963713725473521E-2</v>
      </c>
      <c r="N435" s="28">
        <v>1.8280270501058321E-2</v>
      </c>
    </row>
    <row r="436" spans="1:14">
      <c r="A436" s="4">
        <v>40669</v>
      </c>
      <c r="B436" s="28">
        <v>-2.1136091947400952E-2</v>
      </c>
      <c r="C436" s="28">
        <v>5.2318187073650199E-3</v>
      </c>
      <c r="D436" s="28">
        <v>-1.6254245511887474E-2</v>
      </c>
      <c r="E436" s="28">
        <v>-2.0862553295212534E-2</v>
      </c>
      <c r="F436" s="28">
        <v>-8.8085543771862541E-3</v>
      </c>
      <c r="G436" s="28">
        <v>-4.1616696370125978E-3</v>
      </c>
      <c r="H436" s="28">
        <v>-6.9895479375457004E-3</v>
      </c>
      <c r="I436" s="28">
        <v>-1.5493378759449261E-2</v>
      </c>
      <c r="J436" s="28">
        <v>-1.3337205766900824E-2</v>
      </c>
      <c r="K436" s="28">
        <v>-3.0084354456623729E-2</v>
      </c>
      <c r="L436" s="28">
        <v>-6.526949926290479E-3</v>
      </c>
      <c r="M436" s="28">
        <v>-1.8326562814745213E-2</v>
      </c>
      <c r="N436" s="28">
        <v>-1.394199050927211E-2</v>
      </c>
    </row>
    <row r="437" spans="1:14">
      <c r="A437" s="4">
        <v>40676</v>
      </c>
      <c r="B437" s="28">
        <v>-1.1844593053624305E-2</v>
      </c>
      <c r="C437" s="28">
        <v>-2.587917301664828E-3</v>
      </c>
      <c r="D437" s="28">
        <v>-9.9260172626386266E-3</v>
      </c>
      <c r="E437" s="28">
        <v>-1.6262916469416702E-2</v>
      </c>
      <c r="F437" s="28">
        <v>1.5755943648385511E-3</v>
      </c>
      <c r="G437" s="28">
        <v>-3.8527972363495565E-3</v>
      </c>
      <c r="H437" s="28">
        <v>2.8317414939466887E-3</v>
      </c>
      <c r="I437" s="28">
        <v>-1.172059334589284E-2</v>
      </c>
      <c r="J437" s="28">
        <v>-6.4666869038091579E-3</v>
      </c>
      <c r="K437" s="28">
        <v>1.2618498349772786E-2</v>
      </c>
      <c r="L437" s="28">
        <v>4.4455855644956509E-3</v>
      </c>
      <c r="M437" s="28">
        <v>-2.0011029364614526E-2</v>
      </c>
      <c r="N437" s="28">
        <v>-7.4927651890724714E-3</v>
      </c>
    </row>
    <row r="438" spans="1:14">
      <c r="A438" s="4">
        <v>40683</v>
      </c>
      <c r="B438" s="28">
        <v>-4.8541882263600147E-3</v>
      </c>
      <c r="C438" s="28">
        <v>-1.4414622192755606E-4</v>
      </c>
      <c r="D438" s="28">
        <v>5.0439006164767564E-3</v>
      </c>
      <c r="E438" s="28">
        <v>1.4934598902306602E-3</v>
      </c>
      <c r="F438" s="28">
        <v>1.0458009446720715E-2</v>
      </c>
      <c r="G438" s="28">
        <v>4.9755077859712487E-3</v>
      </c>
      <c r="H438" s="28">
        <v>6.5437464568203927E-3</v>
      </c>
      <c r="I438" s="28">
        <v>-2.5577340918934667E-3</v>
      </c>
      <c r="J438" s="28">
        <v>7.3374194504112495E-3</v>
      </c>
      <c r="K438" s="28">
        <v>4.2367527148665764E-3</v>
      </c>
      <c r="L438" s="28">
        <v>6.8053907837025808E-3</v>
      </c>
      <c r="M438" s="28">
        <v>-6.325248647706651E-4</v>
      </c>
      <c r="N438" s="28">
        <v>1.1744305514381931E-2</v>
      </c>
    </row>
    <row r="439" spans="1:14">
      <c r="A439" s="4">
        <v>40690</v>
      </c>
      <c r="B439" s="28">
        <v>1.3616129876930657E-3</v>
      </c>
      <c r="C439" s="28">
        <v>-5.4783461161408726E-4</v>
      </c>
      <c r="D439" s="28">
        <v>3.7174721189590725E-3</v>
      </c>
      <c r="E439" s="28">
        <v>4.2790096557323099E-3</v>
      </c>
      <c r="F439" s="28">
        <v>1.9460429797492748E-3</v>
      </c>
      <c r="G439" s="28">
        <v>-5.1138269829858959E-3</v>
      </c>
      <c r="H439" s="28">
        <v>-8.0138606532315897E-3</v>
      </c>
      <c r="I439" s="28">
        <v>1.5408023156566588E-2</v>
      </c>
      <c r="J439" s="28">
        <v>1.4595521160288675E-2</v>
      </c>
      <c r="K439" s="28">
        <v>-2.258210159355177E-2</v>
      </c>
      <c r="L439" s="28">
        <v>1.3447841729304792E-2</v>
      </c>
      <c r="M439" s="28">
        <v>-1.2571204085639819E-3</v>
      </c>
      <c r="N439" s="28">
        <v>1.5332806184500073E-3</v>
      </c>
    </row>
    <row r="440" spans="1:14">
      <c r="A440" s="4">
        <v>40697</v>
      </c>
      <c r="B440" s="28">
        <v>-1.3717154661666026E-2</v>
      </c>
      <c r="C440" s="28">
        <v>9.6933329486773041E-3</v>
      </c>
      <c r="D440" s="28">
        <v>-7.716049382716049E-3</v>
      </c>
      <c r="E440" s="28">
        <v>-2.1159525498672307E-3</v>
      </c>
      <c r="F440" s="28">
        <v>-2.0342234712604382E-2</v>
      </c>
      <c r="G440" s="28">
        <v>-1.3252530313175821E-2</v>
      </c>
      <c r="H440" s="28">
        <v>-2.4500765141970308E-2</v>
      </c>
      <c r="I440" s="28">
        <v>6.4980155104487946E-3</v>
      </c>
      <c r="J440" s="28">
        <v>-2.2760523061731975E-2</v>
      </c>
      <c r="K440" s="28">
        <v>-2.6954473859574748E-2</v>
      </c>
      <c r="L440" s="28">
        <v>-3.5463161563326337E-2</v>
      </c>
      <c r="M440" s="28">
        <v>1.5178731419930341E-2</v>
      </c>
      <c r="N440" s="28">
        <v>-8.143603143623248E-3</v>
      </c>
    </row>
    <row r="441" spans="1:14">
      <c r="A441" s="4">
        <v>40704</v>
      </c>
      <c r="B441" s="28">
        <v>-2.395254940876131E-2</v>
      </c>
      <c r="C441" s="28">
        <v>9.1431183748105142E-4</v>
      </c>
      <c r="D441" s="28">
        <v>-2.6065318818040421E-2</v>
      </c>
      <c r="E441" s="28">
        <v>-2.1448264174495982E-2</v>
      </c>
      <c r="F441" s="28">
        <v>-1.8834639552338522E-2</v>
      </c>
      <c r="G441" s="28">
        <v>-8.65587408217478E-3</v>
      </c>
      <c r="H441" s="28">
        <v>-1.3769248677952527E-2</v>
      </c>
      <c r="I441" s="28">
        <v>-1.286129266521426E-2</v>
      </c>
      <c r="J441" s="28">
        <v>-1.9939560235826312E-2</v>
      </c>
      <c r="K441" s="28">
        <v>-4.1787130388765407E-2</v>
      </c>
      <c r="L441" s="28">
        <v>-1.570601037543937E-2</v>
      </c>
      <c r="M441" s="28">
        <v>-2.9946616152919062E-2</v>
      </c>
      <c r="N441" s="28">
        <v>-2.011402526980987E-2</v>
      </c>
    </row>
    <row r="442" spans="1:14">
      <c r="A442" s="4">
        <v>40711</v>
      </c>
      <c r="B442" s="28">
        <v>-6.1389688705384459E-3</v>
      </c>
      <c r="C442" s="28">
        <v>-3.425537381176802E-4</v>
      </c>
      <c r="D442" s="28">
        <v>-2.1716913643331846E-3</v>
      </c>
      <c r="E442" s="28">
        <v>-1.0728979226330811E-2</v>
      </c>
      <c r="F442" s="28">
        <v>3.2619094747954004E-3</v>
      </c>
      <c r="G442" s="28">
        <v>-2.050635529575142E-2</v>
      </c>
      <c r="H442" s="28">
        <v>3.237446464101435E-3</v>
      </c>
      <c r="I442" s="28">
        <v>2.4424515739834298E-3</v>
      </c>
      <c r="J442" s="28">
        <v>-2.7807992433199853E-3</v>
      </c>
      <c r="K442" s="28">
        <v>-3.7018688021311273E-2</v>
      </c>
      <c r="L442" s="28">
        <v>-1.4652776538173679E-3</v>
      </c>
      <c r="M442" s="28">
        <v>-2.8048499050256442E-2</v>
      </c>
      <c r="N442" s="28">
        <v>-2.3297912259650452E-3</v>
      </c>
    </row>
    <row r="443" spans="1:14">
      <c r="A443" s="4">
        <v>40718</v>
      </c>
      <c r="B443" s="28">
        <v>-4.0059972824812839E-3</v>
      </c>
      <c r="C443" s="28">
        <v>8.5667780347814439E-4</v>
      </c>
      <c r="D443" s="28">
        <v>-1.7283318397132905E-3</v>
      </c>
      <c r="E443" s="28">
        <v>-2.3945141373685933E-2</v>
      </c>
      <c r="F443" s="28">
        <v>1.1455605930444245E-2</v>
      </c>
      <c r="G443" s="28">
        <v>-6.7472787148998578E-3</v>
      </c>
      <c r="H443" s="28">
        <v>-1.5664392080406084E-2</v>
      </c>
      <c r="I443" s="28">
        <v>-7.3278487608339146E-3</v>
      </c>
      <c r="J443" s="28">
        <v>-2.0107937893029608E-2</v>
      </c>
      <c r="K443" s="28">
        <v>1.5391881520465259E-3</v>
      </c>
      <c r="L443" s="28">
        <v>2.0612386863101011E-2</v>
      </c>
      <c r="M443" s="28">
        <v>-2.2442512465525786E-2</v>
      </c>
      <c r="N443" s="28">
        <v>8.1505790548303345E-3</v>
      </c>
    </row>
    <row r="444" spans="1:14">
      <c r="A444" s="4">
        <v>40725</v>
      </c>
      <c r="B444" s="28">
        <v>5.3596769767532949E-2</v>
      </c>
      <c r="C444" s="28">
        <v>-6.7904933093668731E-3</v>
      </c>
      <c r="D444" s="28">
        <v>3.5716575825585267E-2</v>
      </c>
      <c r="E444" s="28">
        <v>5.7083737980874294E-2</v>
      </c>
      <c r="F444" s="28">
        <v>3.8191763453270168E-2</v>
      </c>
      <c r="G444" s="28">
        <v>3.7508921656466944E-2</v>
      </c>
      <c r="H444" s="28">
        <v>4.259581782376573E-2</v>
      </c>
      <c r="I444" s="28">
        <v>3.7889289344792534E-2</v>
      </c>
      <c r="J444" s="28">
        <v>6.4025128011538188E-2</v>
      </c>
      <c r="K444" s="28">
        <v>3.1494339018875432E-2</v>
      </c>
      <c r="L444" s="28">
        <v>4.472003807710611E-2</v>
      </c>
      <c r="M444" s="28">
        <v>4.1267883917436167E-2</v>
      </c>
      <c r="N444" s="28">
        <v>3.9964250280832093E-2</v>
      </c>
    </row>
    <row r="445" spans="1:14">
      <c r="A445" s="4">
        <v>40732</v>
      </c>
      <c r="B445" s="28">
        <v>-5.0602391707148806E-4</v>
      </c>
      <c r="C445" s="28">
        <v>5.3431386630663109E-3</v>
      </c>
      <c r="D445" s="28">
        <v>1.6716196136701267E-2</v>
      </c>
      <c r="E445" s="28">
        <v>-2.3029841543102694E-2</v>
      </c>
      <c r="F445" s="28">
        <v>-6.0006576063129924E-3</v>
      </c>
      <c r="G445" s="28">
        <v>1.7915428638339503E-2</v>
      </c>
      <c r="H445" s="28">
        <v>-7.9811335174852834E-3</v>
      </c>
      <c r="I445" s="28">
        <v>1.7166770545811285E-3</v>
      </c>
      <c r="J445" s="28">
        <v>3.1885231361239033E-3</v>
      </c>
      <c r="K445" s="28">
        <v>0</v>
      </c>
      <c r="L445" s="28">
        <v>-9.4565870271341706E-3</v>
      </c>
      <c r="M445" s="28">
        <v>-4.248084548994268E-2</v>
      </c>
      <c r="N445" s="28">
        <v>-6.4730787728745961E-3</v>
      </c>
    </row>
    <row r="446" spans="1:14">
      <c r="A446" s="4">
        <v>40739</v>
      </c>
      <c r="B446" s="28">
        <v>-2.2306105886995328E-2</v>
      </c>
      <c r="C446" s="28">
        <v>4.2575077863815534E-3</v>
      </c>
      <c r="D446" s="28">
        <v>-2.5392765801972889E-2</v>
      </c>
      <c r="E446" s="28">
        <v>-2.5203534425062901E-2</v>
      </c>
      <c r="F446" s="28">
        <v>-7.6041884074521619E-3</v>
      </c>
      <c r="G446" s="28">
        <v>-2.4185778992019465E-2</v>
      </c>
      <c r="H446" s="28">
        <v>-1.5727492846137E-2</v>
      </c>
      <c r="I446" s="28">
        <v>-4.9883202906950584E-3</v>
      </c>
      <c r="J446" s="28">
        <v>-1.862145888497958E-2</v>
      </c>
      <c r="K446" s="28">
        <v>-5.0448398460301386E-2</v>
      </c>
      <c r="L446" s="28">
        <v>-1.3560482016373871E-2</v>
      </c>
      <c r="M446" s="28">
        <v>-3.5642339801549718E-2</v>
      </c>
      <c r="N446" s="28">
        <v>-9.1102434688758154E-3</v>
      </c>
    </row>
    <row r="447" spans="1:14">
      <c r="A447" s="4">
        <v>40746</v>
      </c>
      <c r="B447" s="28">
        <v>2.7049049247241393E-2</v>
      </c>
      <c r="C447" s="28">
        <v>3.0728959198772009E-3</v>
      </c>
      <c r="D447" s="28">
        <v>2.3930021868166097E-2</v>
      </c>
      <c r="E447" s="28">
        <v>3.8847945491204731E-2</v>
      </c>
      <c r="F447" s="28">
        <v>1.021792958953684E-2</v>
      </c>
      <c r="G447" s="28">
        <v>2.1120983943140235E-2</v>
      </c>
      <c r="H447" s="28">
        <v>2.1905155930270301E-2</v>
      </c>
      <c r="I447" s="28">
        <v>1.7870032231092004E-2</v>
      </c>
      <c r="J447" s="28">
        <v>1.6794104737924354E-2</v>
      </c>
      <c r="K447" s="28">
        <v>1.229021940986319E-2</v>
      </c>
      <c r="L447" s="28">
        <v>1.0362207262049675E-2</v>
      </c>
      <c r="M447" s="28">
        <v>5.0775822702408588E-2</v>
      </c>
      <c r="N447" s="28">
        <v>1.6866350589441269E-2</v>
      </c>
    </row>
    <row r="448" spans="1:14">
      <c r="A448" s="4">
        <v>40753</v>
      </c>
      <c r="B448" s="28">
        <v>-3.1615864283119251E-2</v>
      </c>
      <c r="C448" s="28">
        <v>7.8005332728201052E-3</v>
      </c>
      <c r="D448" s="28">
        <v>-2.0929948742982714E-2</v>
      </c>
      <c r="E448" s="28">
        <v>-1.7359077751936687E-2</v>
      </c>
      <c r="F448" s="28">
        <v>-2.2091027287760686E-2</v>
      </c>
      <c r="G448" s="28">
        <v>-4.449489871999E-3</v>
      </c>
      <c r="H448" s="28">
        <v>-2.1851406061932407E-2</v>
      </c>
      <c r="I448" s="28">
        <v>-5.3536009548717763E-3</v>
      </c>
      <c r="J448" s="28">
        <v>-1.2840785169029542E-2</v>
      </c>
      <c r="K448" s="28">
        <v>-2.8413940709095711E-2</v>
      </c>
      <c r="L448" s="28">
        <v>-8.5517795410008229E-3</v>
      </c>
      <c r="M448" s="28">
        <v>-3.5141332790871956E-2</v>
      </c>
      <c r="N448" s="28">
        <v>-1.8614633377963291E-2</v>
      </c>
    </row>
    <row r="449" spans="1:14">
      <c r="A449" s="4">
        <v>40760</v>
      </c>
      <c r="B449" s="28">
        <v>-8.5754756709161217E-2</v>
      </c>
      <c r="C449" s="28">
        <v>3.4338146303019234E-3</v>
      </c>
      <c r="D449" s="28">
        <v>-9.2739171081333727E-2</v>
      </c>
      <c r="E449" s="28">
        <v>-6.648702951668245E-2</v>
      </c>
      <c r="F449" s="28">
        <v>-5.4515000461923549E-2</v>
      </c>
      <c r="G449" s="28">
        <v>-6.9007170329139347E-2</v>
      </c>
      <c r="H449" s="28">
        <v>-2.9767431454364324E-2</v>
      </c>
      <c r="I449" s="28">
        <v>-8.2289203402392999E-2</v>
      </c>
      <c r="J449" s="28">
        <v>-2.2232041757574168E-2</v>
      </c>
      <c r="K449" s="28">
        <v>-6.6654428476520158E-2</v>
      </c>
      <c r="L449" s="28">
        <v>-5.6547131422238966E-2</v>
      </c>
      <c r="M449" s="28">
        <v>-0.12494190141688659</v>
      </c>
      <c r="N449" s="28">
        <v>-7.1541211734540311E-2</v>
      </c>
    </row>
    <row r="450" spans="1:14">
      <c r="A450" s="4">
        <v>40767</v>
      </c>
      <c r="B450" s="28">
        <v>-1.1079938026045826E-2</v>
      </c>
      <c r="C450" s="28">
        <v>1.0350340803904512E-2</v>
      </c>
      <c r="D450" s="28">
        <v>-1.2433880607267998E-2</v>
      </c>
      <c r="E450" s="28">
        <v>2.8727901176020787E-3</v>
      </c>
      <c r="F450" s="28">
        <v>1.9690976986834408E-2</v>
      </c>
      <c r="G450" s="28">
        <v>-2.3920241641668616E-2</v>
      </c>
      <c r="H450" s="28">
        <v>4.3697827791356865E-3</v>
      </c>
      <c r="I450" s="28">
        <v>-1.1003211353191211E-2</v>
      </c>
      <c r="J450" s="28">
        <v>5.9268255940948984E-3</v>
      </c>
      <c r="K450" s="28">
        <v>-4.7302170064905259E-2</v>
      </c>
      <c r="L450" s="28">
        <v>3.2916886046791636E-3</v>
      </c>
      <c r="M450" s="28">
        <v>1.253956259377273E-3</v>
      </c>
      <c r="N450" s="28">
        <v>1.9495730041835076E-2</v>
      </c>
    </row>
    <row r="451" spans="1:14">
      <c r="A451" s="4">
        <v>40774</v>
      </c>
      <c r="B451" s="28">
        <v>-4.1606680103656681E-2</v>
      </c>
      <c r="C451" s="28">
        <v>6.9128262076624354E-3</v>
      </c>
      <c r="D451" s="28">
        <v>-2.17028380634391E-2</v>
      </c>
      <c r="E451" s="28">
        <v>-2.9755057313951346E-2</v>
      </c>
      <c r="F451" s="28">
        <v>-1.4769479464382358E-2</v>
      </c>
      <c r="G451" s="28">
        <v>9.5175809393159235E-4</v>
      </c>
      <c r="H451" s="28">
        <v>-6.6811309708303774E-3</v>
      </c>
      <c r="I451" s="28">
        <v>-3.1646406433499037E-2</v>
      </c>
      <c r="J451" s="28">
        <v>-2.5210241338805565E-2</v>
      </c>
      <c r="K451" s="28">
        <v>-4.6200126818094683E-2</v>
      </c>
      <c r="L451" s="28">
        <v>-2.2050406098519527E-2</v>
      </c>
      <c r="M451" s="28">
        <v>-2.2980459499811312E-2</v>
      </c>
      <c r="N451" s="28">
        <v>-1.8936391190995834E-2</v>
      </c>
    </row>
    <row r="452" spans="1:14">
      <c r="A452" s="4">
        <v>40781</v>
      </c>
      <c r="B452" s="28">
        <v>2.7684259823803271E-2</v>
      </c>
      <c r="C452" s="28">
        <v>-7.6925197827346229E-3</v>
      </c>
      <c r="D452" s="28">
        <v>2.2753128555176461E-2</v>
      </c>
      <c r="E452" s="28">
        <v>9.0212526653701067E-3</v>
      </c>
      <c r="F452" s="28">
        <v>3.8312394017177107E-2</v>
      </c>
      <c r="G452" s="28">
        <v>2.9784544121709163E-2</v>
      </c>
      <c r="H452" s="28">
        <v>1.8392677599417626E-2</v>
      </c>
      <c r="I452" s="28">
        <v>3.0006104025444253E-2</v>
      </c>
      <c r="J452" s="28">
        <v>1.5646003763874556E-2</v>
      </c>
      <c r="K452" s="28">
        <v>1.5589408478576802E-2</v>
      </c>
      <c r="L452" s="28">
        <v>4.8360742125118011E-2</v>
      </c>
      <c r="M452" s="28">
        <v>1.1206331969392486E-2</v>
      </c>
      <c r="N452" s="28">
        <v>3.3414280035259314E-2</v>
      </c>
    </row>
    <row r="453" spans="1:14">
      <c r="A453" s="4">
        <v>40788</v>
      </c>
      <c r="B453" s="28">
        <v>1.052432460318826E-2</v>
      </c>
      <c r="C453" s="28">
        <v>6.0850236176715694E-3</v>
      </c>
      <c r="D453" s="28">
        <v>2.0091768631813032E-2</v>
      </c>
      <c r="E453" s="28">
        <v>2.5238028888579327E-2</v>
      </c>
      <c r="F453" s="28">
        <v>1.562697271694282E-2</v>
      </c>
      <c r="G453" s="28">
        <v>1.5681500471992578E-2</v>
      </c>
      <c r="H453" s="28">
        <v>1.6522829534557731E-2</v>
      </c>
      <c r="I453" s="28">
        <v>4.0243598141043557E-2</v>
      </c>
      <c r="J453" s="28">
        <v>1.0715889485003719E-2</v>
      </c>
      <c r="K453" s="28">
        <v>1.2325757229774626E-2</v>
      </c>
      <c r="L453" s="28">
        <v>2.8586842577827044E-2</v>
      </c>
      <c r="M453" s="28">
        <v>2.7439648825636136E-2</v>
      </c>
      <c r="N453" s="28">
        <v>1.7197620013296337E-2</v>
      </c>
    </row>
    <row r="454" spans="1:14">
      <c r="A454" s="4">
        <v>40795</v>
      </c>
      <c r="B454" s="28">
        <v>-3.4528529857223024E-2</v>
      </c>
      <c r="C454" s="28">
        <v>-2.5960396586483963E-3</v>
      </c>
      <c r="D454" s="28">
        <v>-2.2558440673345618E-2</v>
      </c>
      <c r="E454" s="28">
        <v>-4.0010147501177908E-2</v>
      </c>
      <c r="F454" s="28">
        <v>-1.9348448515081766E-2</v>
      </c>
      <c r="G454" s="28">
        <v>1.1803005601856794E-2</v>
      </c>
      <c r="H454" s="28">
        <v>-2.2556139165964332E-2</v>
      </c>
      <c r="I454" s="28">
        <v>-3.1899104231475628E-2</v>
      </c>
      <c r="J454" s="28">
        <v>-1.6569857170917791E-2</v>
      </c>
      <c r="K454" s="28">
        <v>-2.8296306692866046E-2</v>
      </c>
      <c r="L454" s="28">
        <v>-2.4221592693755928E-2</v>
      </c>
      <c r="M454" s="28">
        <v>-3.6302314555407035E-2</v>
      </c>
      <c r="N454" s="28">
        <v>-1.9044369723028327E-2</v>
      </c>
    </row>
    <row r="455" spans="1:14">
      <c r="A455" s="4">
        <v>40802</v>
      </c>
      <c r="B455" s="28">
        <v>3.6441992456022761E-2</v>
      </c>
      <c r="C455" s="28">
        <v>-3.0181365083759518E-3</v>
      </c>
      <c r="D455" s="28">
        <v>7.3211546506764154E-3</v>
      </c>
      <c r="E455" s="28">
        <v>1.2023858960323161E-2</v>
      </c>
      <c r="F455" s="28">
        <v>2.8607763679262661E-2</v>
      </c>
      <c r="G455" s="28">
        <v>-1.5680920375659442E-2</v>
      </c>
      <c r="H455" s="28">
        <v>2.1232125725250163E-2</v>
      </c>
      <c r="I455" s="28">
        <v>-7.5610048819390501E-3</v>
      </c>
      <c r="J455" s="28">
        <v>1.9583505723348427E-2</v>
      </c>
      <c r="K455" s="28">
        <v>-1.8313034237636121E-2</v>
      </c>
      <c r="L455" s="28">
        <v>3.1770025721250171E-2</v>
      </c>
      <c r="M455" s="28">
        <v>5.9819980991781992E-3</v>
      </c>
      <c r="N455" s="28">
        <v>1.9309339132839675E-2</v>
      </c>
    </row>
    <row r="456" spans="1:14">
      <c r="A456" s="4">
        <v>40809</v>
      </c>
      <c r="B456" s="28">
        <v>-6.8969329013715552E-2</v>
      </c>
      <c r="C456" s="28">
        <v>4.193745486863275E-3</v>
      </c>
      <c r="D456" s="28">
        <v>-7.5378971412749962E-2</v>
      </c>
      <c r="E456" s="28">
        <v>-4.374242282943204E-2</v>
      </c>
      <c r="F456" s="28">
        <v>-4.0167763223280119E-2</v>
      </c>
      <c r="G456" s="28">
        <v>-6.5834094003538984E-2</v>
      </c>
      <c r="H456" s="28">
        <v>-2.5292176927808545E-2</v>
      </c>
      <c r="I456" s="28">
        <v>-7.9665764240518772E-2</v>
      </c>
      <c r="J456" s="28">
        <v>-3.8032248585567884E-2</v>
      </c>
      <c r="K456" s="28">
        <v>-6.1034886837168532E-2</v>
      </c>
      <c r="L456" s="28">
        <v>-4.9908145653796275E-2</v>
      </c>
      <c r="M456" s="28">
        <v>-7.5691897299099725E-2</v>
      </c>
      <c r="N456" s="28">
        <v>-4.5735028715431517E-2</v>
      </c>
    </row>
    <row r="457" spans="1:14">
      <c r="A457" s="4">
        <v>40816</v>
      </c>
      <c r="B457" s="28">
        <v>8.347641836846411E-3</v>
      </c>
      <c r="C457" s="28">
        <v>-5.5867466880548215E-3</v>
      </c>
      <c r="D457" s="28">
        <v>-6.5129510405749699E-3</v>
      </c>
      <c r="E457" s="28">
        <v>4.5523920050322131E-2</v>
      </c>
      <c r="F457" s="28">
        <v>1.2885135498941824E-2</v>
      </c>
      <c r="G457" s="28">
        <v>1.0808509244550684E-2</v>
      </c>
      <c r="H457" s="28">
        <v>2.1290022775906952E-2</v>
      </c>
      <c r="I457" s="28">
        <v>1.9345212865160107E-2</v>
      </c>
      <c r="J457" s="28">
        <v>3.0163447971567541E-2</v>
      </c>
      <c r="K457" s="28">
        <v>5.300918930414248E-2</v>
      </c>
      <c r="L457" s="28">
        <v>1.6485813589252444E-2</v>
      </c>
      <c r="M457" s="28">
        <v>6.7099567099567048E-2</v>
      </c>
      <c r="N457" s="28">
        <v>1.4746428632972042E-2</v>
      </c>
    </row>
    <row r="458" spans="1:14">
      <c r="A458" s="4">
        <v>40823</v>
      </c>
      <c r="B458" s="28">
        <v>2.0007970581309119E-2</v>
      </c>
      <c r="C458" s="28">
        <v>-3.865943540536744E-3</v>
      </c>
      <c r="D458" s="28">
        <v>3.3908522341947753E-3</v>
      </c>
      <c r="E458" s="28">
        <v>1.2569083319730345E-2</v>
      </c>
      <c r="F458" s="28">
        <v>-2.592495665543584E-3</v>
      </c>
      <c r="G458" s="28">
        <v>4.1583634409646421E-4</v>
      </c>
      <c r="H458" s="28">
        <v>-4.1849700592075214E-3</v>
      </c>
      <c r="I458" s="28">
        <v>2.2866005788230507E-2</v>
      </c>
      <c r="J458" s="28">
        <v>7.7660215377663988E-3</v>
      </c>
      <c r="K458" s="28">
        <v>4.799158154317102E-3</v>
      </c>
      <c r="L458" s="28">
        <v>4.3147371716563713E-3</v>
      </c>
      <c r="M458" s="28">
        <v>8.5756141537074761E-3</v>
      </c>
      <c r="N458" s="28">
        <v>2.3731994039406768E-3</v>
      </c>
    </row>
    <row r="459" spans="1:14">
      <c r="A459" s="4">
        <v>40830</v>
      </c>
      <c r="B459" s="28">
        <v>5.3500865781645424E-2</v>
      </c>
      <c r="C459" s="28">
        <v>-4.7464820192097358E-4</v>
      </c>
      <c r="D459" s="28">
        <v>5.4070291378792559E-2</v>
      </c>
      <c r="E459" s="28">
        <v>2.7041591819814859E-2</v>
      </c>
      <c r="F459" s="28">
        <v>3.5593929107323022E-2</v>
      </c>
      <c r="G459" s="28">
        <v>3.0035736264210765E-2</v>
      </c>
      <c r="H459" s="28">
        <v>1.6900486819763888E-2</v>
      </c>
      <c r="I459" s="28">
        <v>4.6921178761479297E-2</v>
      </c>
      <c r="J459" s="28">
        <v>4.5069448985120501E-3</v>
      </c>
      <c r="K459" s="28">
        <v>3.9590396750255281E-2</v>
      </c>
      <c r="L459" s="28">
        <v>4.081275581033763E-2</v>
      </c>
      <c r="M459" s="28">
        <v>6.0837309080345521E-2</v>
      </c>
      <c r="N459" s="28">
        <v>3.6538673307751596E-2</v>
      </c>
    </row>
    <row r="460" spans="1:14">
      <c r="A460" s="4">
        <v>40837</v>
      </c>
      <c r="B460" s="28">
        <v>6.6840863115305424E-3</v>
      </c>
      <c r="C460" s="28">
        <v>5.5588144920249421E-3</v>
      </c>
      <c r="D460" s="28">
        <v>7.8369905956112446E-3</v>
      </c>
      <c r="E460" s="28">
        <v>1.1148931971782407E-2</v>
      </c>
      <c r="F460" s="28">
        <v>3.1009501187648426E-2</v>
      </c>
      <c r="G460" s="28">
        <v>6.7449295110319791E-3</v>
      </c>
      <c r="H460" s="28">
        <v>1.6935801496652209E-2</v>
      </c>
      <c r="I460" s="28">
        <v>-6.2866706273856749E-3</v>
      </c>
      <c r="J460" s="28">
        <v>1.9774129505902575E-2</v>
      </c>
      <c r="K460" s="28">
        <v>-1.5395886967936255E-2</v>
      </c>
      <c r="L460" s="28">
        <v>1.1743823444776544E-2</v>
      </c>
      <c r="M460" s="28">
        <v>-1.5377161755103282E-3</v>
      </c>
      <c r="N460" s="28">
        <v>3.5356899151320093E-2</v>
      </c>
    </row>
    <row r="461" spans="1:14">
      <c r="A461" s="4">
        <v>40844</v>
      </c>
      <c r="B461" s="28">
        <v>5.0128523942294105E-2</v>
      </c>
      <c r="C461" s="28">
        <v>4.3613534085226767E-3</v>
      </c>
      <c r="D461" s="28">
        <v>6.9065460200763332E-2</v>
      </c>
      <c r="E461" s="28">
        <v>1.1469527691413878E-2</v>
      </c>
      <c r="F461" s="28">
        <v>8.7968882591683301E-3</v>
      </c>
      <c r="G461" s="28">
        <v>5.3806150017959624E-2</v>
      </c>
      <c r="H461" s="28">
        <v>4.9639432255816642E-4</v>
      </c>
      <c r="I461" s="28">
        <v>3.9338048532687304E-2</v>
      </c>
      <c r="J461" s="28">
        <v>9.3875950613680117E-3</v>
      </c>
      <c r="K461" s="28">
        <v>8.8492145514675366E-2</v>
      </c>
      <c r="L461" s="28">
        <v>9.8893811409581588E-4</v>
      </c>
      <c r="M461" s="28">
        <v>4.9831223628691995E-2</v>
      </c>
      <c r="N461" s="28">
        <v>1.6749149518915825E-2</v>
      </c>
    </row>
    <row r="462" spans="1:14">
      <c r="A462" s="4">
        <v>40851</v>
      </c>
      <c r="B462" s="28">
        <v>-4.076702280338073E-2</v>
      </c>
      <c r="C462" s="28">
        <v>4.9785645138986816E-4</v>
      </c>
      <c r="D462" s="28">
        <v>-3.3260596442504807E-2</v>
      </c>
      <c r="E462" s="28">
        <v>-3.5842545373224746E-2</v>
      </c>
      <c r="F462" s="28">
        <v>-7.9360850169759561E-3</v>
      </c>
      <c r="G462" s="28">
        <v>-2.2318495502215468E-2</v>
      </c>
      <c r="H462" s="28">
        <v>-1.1438665743431499E-2</v>
      </c>
      <c r="I462" s="28">
        <v>-3.8657477902224693E-2</v>
      </c>
      <c r="J462" s="28">
        <v>3.717404953227556E-3</v>
      </c>
      <c r="K462" s="28">
        <v>-4.3860523629803638E-2</v>
      </c>
      <c r="L462" s="28">
        <v>6.3220811113873093E-3</v>
      </c>
      <c r="M462" s="28">
        <v>-7.3519954985732036E-2</v>
      </c>
      <c r="N462" s="28">
        <v>-1.7140860924581884E-2</v>
      </c>
    </row>
    <row r="463" spans="1:14">
      <c r="A463" s="4">
        <v>40858</v>
      </c>
      <c r="B463" s="28">
        <v>1.9865843217768708E-3</v>
      </c>
      <c r="C463" s="28">
        <v>-1.3822464268929864E-3</v>
      </c>
      <c r="D463" s="28">
        <v>-1.1901504787961564E-2</v>
      </c>
      <c r="E463" s="28">
        <v>3.4109669409084086E-3</v>
      </c>
      <c r="F463" s="28">
        <v>1.3351800766577596E-3</v>
      </c>
      <c r="G463" s="28">
        <v>2.0008589546016264E-3</v>
      </c>
      <c r="H463" s="28">
        <v>1.0611366958056426E-2</v>
      </c>
      <c r="I463" s="28">
        <v>-4.1964058741860493E-3</v>
      </c>
      <c r="J463" s="28">
        <v>2.3121855508653869E-2</v>
      </c>
      <c r="K463" s="28">
        <v>-1.9011350208037479E-2</v>
      </c>
      <c r="L463" s="28">
        <v>-4.3483866599534973E-3</v>
      </c>
      <c r="M463" s="28">
        <v>-7.9549275000813779E-3</v>
      </c>
      <c r="N463" s="28">
        <v>-1.3032454761583985E-3</v>
      </c>
    </row>
    <row r="464" spans="1:14">
      <c r="A464" s="4">
        <v>40865</v>
      </c>
      <c r="B464" s="28">
        <v>-3.9785641995586776E-2</v>
      </c>
      <c r="C464" s="28">
        <v>-2.6852697727210565E-3</v>
      </c>
      <c r="D464" s="28">
        <v>-4.2780008306797776E-2</v>
      </c>
      <c r="E464" s="28">
        <v>-2.7204039360192896E-2</v>
      </c>
      <c r="F464" s="28">
        <v>-1.0644208332215684E-2</v>
      </c>
      <c r="G464" s="28">
        <v>-1.7800323733933043E-2</v>
      </c>
      <c r="H464" s="28">
        <v>-1.5487969264185084E-2</v>
      </c>
      <c r="I464" s="28">
        <v>-3.5558592737469648E-2</v>
      </c>
      <c r="J464" s="28">
        <v>-2.9716035046975592E-2</v>
      </c>
      <c r="K464" s="28">
        <v>-3.0104718666646432E-2</v>
      </c>
      <c r="L464" s="28">
        <v>-3.6687564295294704E-2</v>
      </c>
      <c r="M464" s="28">
        <v>-2.5242283284229894E-2</v>
      </c>
      <c r="N464" s="28">
        <v>-2.281678556175947E-3</v>
      </c>
    </row>
    <row r="465" spans="1:14">
      <c r="A465" s="4">
        <v>40872</v>
      </c>
      <c r="B465" s="28">
        <v>-5.1568034557235472E-2</v>
      </c>
      <c r="C465" s="28">
        <v>-7.2725253983234456E-3</v>
      </c>
      <c r="D465" s="28">
        <v>-4.6499855365924263E-2</v>
      </c>
      <c r="E465" s="28">
        <v>-5.5617419989097312E-2</v>
      </c>
      <c r="F465" s="28">
        <v>-3.2295543532564829E-2</v>
      </c>
      <c r="G465" s="28">
        <v>-3.4428409341773554E-2</v>
      </c>
      <c r="H465" s="28">
        <v>-4.0265852184854907E-2</v>
      </c>
      <c r="I465" s="28">
        <v>-5.8220126400833905E-2</v>
      </c>
      <c r="J465" s="28">
        <v>-4.8096973653194035E-2</v>
      </c>
      <c r="K465" s="28">
        <v>-6.0684969393985232E-2</v>
      </c>
      <c r="L465" s="28">
        <v>-2.0631865429140216E-2</v>
      </c>
      <c r="M465" s="28">
        <v>-7.4676580926265543E-2</v>
      </c>
      <c r="N465" s="28">
        <v>-3.5658939308065275E-2</v>
      </c>
    </row>
    <row r="466" spans="1:14">
      <c r="A466" s="4">
        <v>40879</v>
      </c>
      <c r="B466" s="28">
        <v>8.1826545577103657E-2</v>
      </c>
      <c r="C466" s="28">
        <v>4.8372665249972547E-3</v>
      </c>
      <c r="D466" s="28">
        <v>6.7425104285172663E-2</v>
      </c>
      <c r="E466" s="28">
        <v>3.8477477921949665E-2</v>
      </c>
      <c r="F466" s="28">
        <v>5.5044623204066105E-2</v>
      </c>
      <c r="G466" s="28">
        <v>6.5654659045593519E-2</v>
      </c>
      <c r="H466" s="28">
        <v>1.8424715687576945E-2</v>
      </c>
      <c r="I466" s="28">
        <v>8.441179395600823E-2</v>
      </c>
      <c r="J466" s="28">
        <v>3.3716533483184465E-2</v>
      </c>
      <c r="K466" s="28">
        <v>7.5627777777777835E-2</v>
      </c>
      <c r="L466" s="28">
        <v>6.8848592294503255E-2</v>
      </c>
      <c r="M466" s="28">
        <v>0.1138583860567717</v>
      </c>
      <c r="N466" s="28">
        <v>5.4921704821010282E-2</v>
      </c>
    </row>
    <row r="467" spans="1:14">
      <c r="A467" s="4">
        <v>40886</v>
      </c>
      <c r="B467" s="28">
        <v>-2.9470209827905458E-4</v>
      </c>
      <c r="C467" s="28">
        <v>2.0869855580599381E-3</v>
      </c>
      <c r="D467" s="28">
        <v>-1.0231632798067342E-2</v>
      </c>
      <c r="E467" s="28">
        <v>-6.3376233437375312E-3</v>
      </c>
      <c r="F467" s="28">
        <v>-8.7624798956086915E-4</v>
      </c>
      <c r="G467" s="28">
        <v>-1.243370271874988E-2</v>
      </c>
      <c r="H467" s="28">
        <v>-3.1305472219228941E-3</v>
      </c>
      <c r="I467" s="28">
        <v>-1.1710853173732877E-2</v>
      </c>
      <c r="J467" s="28">
        <v>-1.2931550772575949E-2</v>
      </c>
      <c r="K467" s="28">
        <v>-1.5236580188314035E-3</v>
      </c>
      <c r="L467" s="28">
        <v>-3.4113067421196368E-3</v>
      </c>
      <c r="M467" s="28">
        <v>-1.0549510337323232E-2</v>
      </c>
      <c r="N467" s="28">
        <v>-1.7337234535770487E-3</v>
      </c>
    </row>
    <row r="468" spans="1:14">
      <c r="A468" s="4">
        <v>40893</v>
      </c>
      <c r="B468" s="28">
        <v>-3.4372394276040351E-2</v>
      </c>
      <c r="C468" s="28">
        <v>4.359657891813821E-3</v>
      </c>
      <c r="D468" s="28">
        <v>-1.7875089734386281E-2</v>
      </c>
      <c r="E468" s="28">
        <v>-2.4565513614305229E-2</v>
      </c>
      <c r="F468" s="28">
        <v>-1.1883383385282275E-3</v>
      </c>
      <c r="G468" s="28">
        <v>1.6369340830895661E-3</v>
      </c>
      <c r="H468" s="28">
        <v>-2.6056037548001293E-3</v>
      </c>
      <c r="I468" s="28">
        <v>-2.4820863727325539E-2</v>
      </c>
      <c r="J468" s="28">
        <v>-7.92965523035216E-3</v>
      </c>
      <c r="K468" s="28">
        <v>-2.7912558582232402E-2</v>
      </c>
      <c r="L468" s="28">
        <v>-6.2765497189265218E-3</v>
      </c>
      <c r="M468" s="28">
        <v>-2.8076388010623468E-2</v>
      </c>
      <c r="N468" s="28">
        <v>-4.7028427806485558E-3</v>
      </c>
    </row>
    <row r="469" spans="1:14">
      <c r="A469" s="4">
        <v>40900</v>
      </c>
      <c r="B469" s="28">
        <v>3.1191124136487326E-2</v>
      </c>
      <c r="C469" s="28">
        <v>-5.197821338715462E-3</v>
      </c>
      <c r="D469" s="28">
        <v>2.909144068416044E-2</v>
      </c>
      <c r="E469" s="28">
        <v>2.144919295941013E-2</v>
      </c>
      <c r="F469" s="28">
        <v>3.7501900562566463E-2</v>
      </c>
      <c r="G469" s="28">
        <v>8.8522357569796248E-3</v>
      </c>
      <c r="H469" s="28">
        <v>2.8069154731144175E-2</v>
      </c>
      <c r="I469" s="28">
        <v>3.0781451692980071E-3</v>
      </c>
      <c r="J469" s="28">
        <v>2.2266654121189278E-2</v>
      </c>
      <c r="K469" s="28">
        <v>1.8369323442704942E-2</v>
      </c>
      <c r="L469" s="28">
        <v>2.8936120890743301E-2</v>
      </c>
      <c r="M469" s="28">
        <v>2.1289355322338895E-2</v>
      </c>
      <c r="N469" s="28">
        <v>3.455766734765104E-2</v>
      </c>
    </row>
    <row r="470" spans="1:14">
      <c r="A470" s="4">
        <v>40907</v>
      </c>
      <c r="B470" s="28">
        <v>2.9604817972654374E-4</v>
      </c>
      <c r="C470" s="28">
        <v>7.9764320057808414E-3</v>
      </c>
      <c r="D470" s="28">
        <v>-5.1139995738333612E-3</v>
      </c>
      <c r="E470" s="28">
        <v>3.6325596349206374E-3</v>
      </c>
      <c r="F470" s="28">
        <v>4.1253581294467632E-3</v>
      </c>
      <c r="G470" s="28">
        <v>7.0696465176741663E-3</v>
      </c>
      <c r="H470" s="28">
        <v>3.5952462854668774E-3</v>
      </c>
      <c r="I470" s="28">
        <v>3.192437141160076E-3</v>
      </c>
      <c r="J470" s="28">
        <v>2.3240509358332675E-3</v>
      </c>
      <c r="K470" s="28">
        <v>-9.7087378640776326E-3</v>
      </c>
      <c r="L470" s="28">
        <v>2.1015739627307062E-3</v>
      </c>
      <c r="M470" s="28">
        <v>8.3315791223035722E-3</v>
      </c>
      <c r="N470" s="28">
        <v>6.0416319228611915E-3</v>
      </c>
    </row>
    <row r="471" spans="1:14">
      <c r="A471" s="4">
        <v>40914</v>
      </c>
      <c r="B471" s="28">
        <v>7.6780625576067405E-3</v>
      </c>
      <c r="C471" s="28">
        <v>-4.5494650931951972E-3</v>
      </c>
      <c r="D471" s="28">
        <v>8.5671449989294319E-4</v>
      </c>
      <c r="E471" s="28">
        <v>-2.1907721730815174E-2</v>
      </c>
      <c r="F471" s="28">
        <v>-1.0956974809539007E-2</v>
      </c>
      <c r="G471" s="28">
        <v>-1.117046628008579E-3</v>
      </c>
      <c r="H471" s="28">
        <v>-2.6878807646805111E-2</v>
      </c>
      <c r="I471" s="28">
        <v>4.1936995830968492E-4</v>
      </c>
      <c r="J471" s="28">
        <v>3.5170203583135998E-3</v>
      </c>
      <c r="K471" s="28">
        <v>2.5343506616855555E-2</v>
      </c>
      <c r="L471" s="28">
        <v>-3.9540548382723181E-3</v>
      </c>
      <c r="M471" s="28">
        <v>-1.098218896616893E-2</v>
      </c>
      <c r="N471" s="28">
        <v>-1.0511245902874614E-2</v>
      </c>
    </row>
    <row r="472" spans="1:14">
      <c r="A472" s="4">
        <v>40921</v>
      </c>
      <c r="B472" s="28">
        <v>7.8796982386062191E-3</v>
      </c>
      <c r="C472" s="28">
        <v>5.8997867213252432E-3</v>
      </c>
      <c r="D472" s="28">
        <v>2.1542192738426495E-2</v>
      </c>
      <c r="E472" s="28">
        <v>2.4832818427125234E-3</v>
      </c>
      <c r="F472" s="28">
        <v>-5.4155952912357504E-3</v>
      </c>
      <c r="G472" s="28">
        <v>9.1153534560310528E-3</v>
      </c>
      <c r="H472" s="28">
        <v>7.0331318456573434E-3</v>
      </c>
      <c r="I472" s="28">
        <v>1.8222616757903105E-2</v>
      </c>
      <c r="J472" s="28">
        <v>-6.1721051957320432E-3</v>
      </c>
      <c r="K472" s="28">
        <v>3.9743926224404209E-2</v>
      </c>
      <c r="L472" s="28">
        <v>1.4468996368114814E-2</v>
      </c>
      <c r="M472" s="28">
        <v>5.5326263866283957E-3</v>
      </c>
      <c r="N472" s="28">
        <v>-1.1795613767895225E-2</v>
      </c>
    </row>
    <row r="473" spans="1:14">
      <c r="A473" s="4">
        <v>40928</v>
      </c>
      <c r="B473" s="28">
        <v>2.8791234409604981E-2</v>
      </c>
      <c r="C473" s="28">
        <v>-2.0927414913538048E-3</v>
      </c>
      <c r="D473" s="28">
        <v>3.9522379722086422E-2</v>
      </c>
      <c r="E473" s="28">
        <v>1.7110729680703585E-2</v>
      </c>
      <c r="F473" s="28">
        <v>4.6476088738542304E-3</v>
      </c>
      <c r="G473" s="28">
        <v>5.1814237094462388E-3</v>
      </c>
      <c r="H473" s="28">
        <v>3.9489569112479671E-5</v>
      </c>
      <c r="I473" s="28">
        <v>3.7173370789237853E-2</v>
      </c>
      <c r="J473" s="28">
        <v>1.6108463964274927E-2</v>
      </c>
      <c r="K473" s="28">
        <v>2.1936033102028147E-2</v>
      </c>
      <c r="L473" s="28">
        <v>3.4542362369406015E-3</v>
      </c>
      <c r="M473" s="28">
        <v>2.6964020351454787E-2</v>
      </c>
      <c r="N473" s="28">
        <v>7.8985289471453553E-3</v>
      </c>
    </row>
    <row r="474" spans="1:14">
      <c r="A474" s="4">
        <v>40935</v>
      </c>
      <c r="B474" s="28">
        <v>8.416690945582745E-3</v>
      </c>
      <c r="C474" s="28">
        <v>8.8024282560706345E-3</v>
      </c>
      <c r="D474" s="28">
        <v>2.2973063746893178E-2</v>
      </c>
      <c r="E474" s="28">
        <v>1.8750149819018687E-2</v>
      </c>
      <c r="F474" s="28">
        <v>9.5881914241621891E-3</v>
      </c>
      <c r="G474" s="28">
        <v>2.296592106230242E-2</v>
      </c>
      <c r="H474" s="28">
        <v>7.147329764369317E-3</v>
      </c>
      <c r="I474" s="28">
        <v>2.6863267021574749E-2</v>
      </c>
      <c r="J474" s="28">
        <v>1.5875748706470801E-2</v>
      </c>
      <c r="K474" s="28">
        <v>3.7249242035316946E-2</v>
      </c>
      <c r="L474" s="28">
        <v>2.8512987093975754E-2</v>
      </c>
      <c r="M474" s="28">
        <v>2.6912318450779973E-2</v>
      </c>
      <c r="N474" s="28">
        <v>1.2794733783907688E-2</v>
      </c>
    </row>
    <row r="475" spans="1:14">
      <c r="A475" s="4">
        <v>40942</v>
      </c>
      <c r="B475" s="28">
        <v>2.2230425989534883E-2</v>
      </c>
      <c r="C475" s="28">
        <v>5.7441396099465632E-4</v>
      </c>
      <c r="D475" s="28">
        <v>1.2738853503184698E-2</v>
      </c>
      <c r="E475" s="28">
        <v>2.9939387094345255E-2</v>
      </c>
      <c r="F475" s="28">
        <v>8.8498487846085105E-3</v>
      </c>
      <c r="G475" s="28">
        <v>7.5345352825091578E-3</v>
      </c>
      <c r="H475" s="28">
        <v>2.5120984003226317E-2</v>
      </c>
      <c r="I475" s="28">
        <v>8.1744488784292937E-3</v>
      </c>
      <c r="J475" s="28">
        <v>2.040424943581693E-2</v>
      </c>
      <c r="K475" s="28">
        <v>2.9855485256694628E-2</v>
      </c>
      <c r="L475" s="28">
        <v>6.0565148967360594E-3</v>
      </c>
      <c r="M475" s="28">
        <v>2.9617135403843819E-2</v>
      </c>
      <c r="N475" s="28">
        <v>6.1787807759523311E-3</v>
      </c>
    </row>
    <row r="476" spans="1:14">
      <c r="A476" s="4">
        <v>40949</v>
      </c>
      <c r="B476" s="28">
        <v>-3.2031654811813456E-3</v>
      </c>
      <c r="C476" s="28">
        <v>5.4674685620507951E-5</v>
      </c>
      <c r="D476" s="28">
        <v>-9.790572521558653E-3</v>
      </c>
      <c r="E476" s="28">
        <v>-9.1931754836468808E-3</v>
      </c>
      <c r="F476" s="28">
        <v>3.1898967270938558E-4</v>
      </c>
      <c r="G476" s="28">
        <v>1.1585728208419667E-2</v>
      </c>
      <c r="H476" s="28">
        <v>-5.7698296916746956E-3</v>
      </c>
      <c r="I476" s="28">
        <v>-7.4954516065978216E-3</v>
      </c>
      <c r="J476" s="28">
        <v>-9.939115270134918E-3</v>
      </c>
      <c r="K476" s="28">
        <v>2.7702338149881312E-3</v>
      </c>
      <c r="L476" s="28">
        <v>-1.0640563246730767E-3</v>
      </c>
      <c r="M476" s="28">
        <v>-8.8727442930039771E-3</v>
      </c>
      <c r="N476" s="28">
        <v>5.2855470860091267E-3</v>
      </c>
    </row>
    <row r="477" spans="1:14">
      <c r="A477" s="4">
        <v>40956</v>
      </c>
      <c r="B477" s="28">
        <v>1.448419261849619E-2</v>
      </c>
      <c r="C477" s="28">
        <v>-3.7996829041604787E-3</v>
      </c>
      <c r="D477" s="28">
        <v>2.5144054478784726E-2</v>
      </c>
      <c r="E477" s="28">
        <v>1.4208239949088267E-2</v>
      </c>
      <c r="F477" s="28">
        <v>3.6817063404345767E-3</v>
      </c>
      <c r="G477" s="28">
        <v>4.2531793102798766E-3</v>
      </c>
      <c r="H477" s="28">
        <v>1.2650784491523084E-2</v>
      </c>
      <c r="I477" s="28">
        <v>7.5899315997182042E-3</v>
      </c>
      <c r="J477" s="28">
        <v>2.463810982743167E-2</v>
      </c>
      <c r="K477" s="28">
        <v>-1.0670524935568445E-3</v>
      </c>
      <c r="L477" s="28">
        <v>4.5852094817305303E-3</v>
      </c>
      <c r="M477" s="28">
        <v>1.2925215463033697E-2</v>
      </c>
      <c r="N477" s="28">
        <v>1.7836819224957368E-3</v>
      </c>
    </row>
    <row r="478" spans="1:14">
      <c r="A478" s="4">
        <v>40963</v>
      </c>
      <c r="B478" s="28">
        <v>9.7201195605760501E-3</v>
      </c>
      <c r="C478" s="28">
        <v>2.6616908596986265E-3</v>
      </c>
      <c r="D478" s="28">
        <v>-8.3035258048029797E-4</v>
      </c>
      <c r="E478" s="28">
        <v>1.4595752226875241E-2</v>
      </c>
      <c r="F478" s="28">
        <v>6.9103709721093504E-3</v>
      </c>
      <c r="G478" s="28">
        <v>-2.5036618980096635E-3</v>
      </c>
      <c r="H478" s="28">
        <v>2.4041201083209885E-3</v>
      </c>
      <c r="I478" s="28">
        <v>1.9034874717145621E-2</v>
      </c>
      <c r="J478" s="28">
        <v>-1.2063765618276609E-4</v>
      </c>
      <c r="K478" s="28">
        <v>1.1885902577240154E-2</v>
      </c>
      <c r="L478" s="28">
        <v>2.2318935161181143E-2</v>
      </c>
      <c r="M478" s="28">
        <v>8.2957061992287671E-3</v>
      </c>
      <c r="N478" s="28">
        <v>6.2839199442753339E-3</v>
      </c>
    </row>
    <row r="479" spans="1:14">
      <c r="A479" s="4">
        <v>40970</v>
      </c>
      <c r="B479" s="28">
        <v>-1.591609832611806E-3</v>
      </c>
      <c r="C479" s="28">
        <v>1.7241379310344704E-3</v>
      </c>
      <c r="D479" s="28">
        <v>6.3926356836920223E-4</v>
      </c>
      <c r="E479" s="28">
        <v>7.0674070190062527E-3</v>
      </c>
      <c r="F479" s="28">
        <v>2.958166152125039E-3</v>
      </c>
      <c r="G479" s="28">
        <v>6.7182104789071479E-3</v>
      </c>
      <c r="H479" s="28">
        <v>5.727897785718237E-3</v>
      </c>
      <c r="I479" s="28">
        <v>-1.483205583138451E-2</v>
      </c>
      <c r="J479" s="28">
        <v>1.5805439691130466E-2</v>
      </c>
      <c r="K479" s="28">
        <v>-4.6072642690988787E-4</v>
      </c>
      <c r="L479" s="28">
        <v>-8.4345056264849057E-3</v>
      </c>
      <c r="M479" s="28">
        <v>9.1471995496760091E-4</v>
      </c>
      <c r="N479" s="28">
        <v>9.4799185637609203E-3</v>
      </c>
    </row>
    <row r="480" spans="1:14">
      <c r="A480" s="4">
        <v>40977</v>
      </c>
      <c r="B480" s="28">
        <v>-5.1135926068541391E-3</v>
      </c>
      <c r="C480" s="28">
        <v>-5.9557959730075407E-3</v>
      </c>
      <c r="D480" s="28">
        <v>-7.2829489554718891E-3</v>
      </c>
      <c r="E480" s="28">
        <v>-1.8103010938348228E-2</v>
      </c>
      <c r="F480" s="28">
        <v>7.3181892933497274E-3</v>
      </c>
      <c r="G480" s="28">
        <v>2.3300898482645489E-4</v>
      </c>
      <c r="H480" s="28">
        <v>-2.1155419663236208E-3</v>
      </c>
      <c r="I480" s="28">
        <v>3.9313916003017133E-4</v>
      </c>
      <c r="J480" s="28">
        <v>-7.1477050988376636E-3</v>
      </c>
      <c r="K480" s="28">
        <v>-2.0366334462558887E-2</v>
      </c>
      <c r="L480" s="28">
        <v>6.9797079621200485E-3</v>
      </c>
      <c r="M480" s="28">
        <v>-2.3489831785086606E-2</v>
      </c>
      <c r="N480" s="28">
        <v>3.2928631408340762E-3</v>
      </c>
    </row>
    <row r="481" spans="1:14">
      <c r="A481" s="4">
        <v>40984</v>
      </c>
      <c r="B481" s="28">
        <v>2.2525660675305481E-2</v>
      </c>
      <c r="C481" s="28">
        <v>-7.8878658787962189E-3</v>
      </c>
      <c r="D481" s="28">
        <v>2.3617993435871138E-2</v>
      </c>
      <c r="E481" s="28">
        <v>6.6758518169375463E-3</v>
      </c>
      <c r="F481" s="28">
        <v>-4.8800224303576431E-3</v>
      </c>
      <c r="G481" s="28">
        <v>1.4783305534071962E-2</v>
      </c>
      <c r="H481" s="28">
        <v>-4.8550236008047552E-5</v>
      </c>
      <c r="I481" s="28">
        <v>2.3433114010464495E-2</v>
      </c>
      <c r="J481" s="28">
        <v>2.0251650253144695E-3</v>
      </c>
      <c r="K481" s="28">
        <v>1.4645555626615965E-2</v>
      </c>
      <c r="L481" s="28">
        <v>2.4677702666041717E-3</v>
      </c>
      <c r="M481" s="28">
        <v>1.7133571928092443E-2</v>
      </c>
      <c r="N481" s="28">
        <v>-4.3602366881207453E-3</v>
      </c>
    </row>
    <row r="482" spans="1:14">
      <c r="A482" s="4">
        <v>40991</v>
      </c>
      <c r="B482" s="28">
        <v>-9.6217902131783221E-3</v>
      </c>
      <c r="C482" s="28">
        <v>4.3215690619979007E-3</v>
      </c>
      <c r="D482" s="28">
        <v>-2.1061234754180775E-2</v>
      </c>
      <c r="E482" s="28">
        <v>-3.4846186053422877E-3</v>
      </c>
      <c r="F482" s="28">
        <v>-6.8405697859380606E-3</v>
      </c>
      <c r="G482" s="28">
        <v>-6.4506650383138195E-3</v>
      </c>
      <c r="H482" s="28">
        <v>-2.7567083499671608E-3</v>
      </c>
      <c r="I482" s="28">
        <v>-6.3156662899940333E-3</v>
      </c>
      <c r="J482" s="28">
        <v>-8.2932174699076947E-3</v>
      </c>
      <c r="K482" s="28">
        <v>-2.3136975940066216E-2</v>
      </c>
      <c r="L482" s="28">
        <v>-6.9938232639667796E-3</v>
      </c>
      <c r="M482" s="28">
        <v>-1.2097834219732697E-2</v>
      </c>
      <c r="N482" s="28">
        <v>-5.1612240103371121E-3</v>
      </c>
    </row>
    <row r="483" spans="1:14">
      <c r="A483" s="4">
        <v>40998</v>
      </c>
      <c r="B483" s="28">
        <v>2.8740684120007573E-3</v>
      </c>
      <c r="C483" s="28">
        <v>2.1514867324984076E-3</v>
      </c>
      <c r="D483" s="28">
        <v>5.7799755956586324E-3</v>
      </c>
      <c r="E483" s="28">
        <v>9.713343423163347E-4</v>
      </c>
      <c r="F483" s="28">
        <v>6.7799531723573662E-3</v>
      </c>
      <c r="G483" s="28">
        <v>1.3400985203464344E-3</v>
      </c>
      <c r="H483" s="28">
        <v>6.2048632712125868E-3</v>
      </c>
      <c r="I483" s="28">
        <v>1.210805240688948E-2</v>
      </c>
      <c r="J483" s="28">
        <v>4.7079764730161219E-3</v>
      </c>
      <c r="K483" s="28">
        <v>6.2127545823674E-3</v>
      </c>
      <c r="L483" s="28">
        <v>1.1446895166771715E-2</v>
      </c>
      <c r="M483" s="28">
        <v>-1.0644231900967332E-3</v>
      </c>
      <c r="N483" s="28">
        <v>1.8818493782516916E-3</v>
      </c>
    </row>
    <row r="484" spans="1:14">
      <c r="A484" s="4">
        <v>41005</v>
      </c>
      <c r="B484" s="28">
        <v>-1.7515110403121942E-2</v>
      </c>
      <c r="C484" s="28">
        <v>1.623912804139689E-3</v>
      </c>
      <c r="D484" s="28">
        <v>-1.4686163080263145E-2</v>
      </c>
      <c r="E484" s="28">
        <v>-2.9766203285791579E-2</v>
      </c>
      <c r="F484" s="28">
        <v>5.7284309948779219E-3</v>
      </c>
      <c r="G484" s="28">
        <v>2.0582208849427002E-3</v>
      </c>
      <c r="H484" s="28">
        <v>-1.2865453059644554E-2</v>
      </c>
      <c r="I484" s="28">
        <v>-9.2723900949056408E-3</v>
      </c>
      <c r="J484" s="28">
        <v>-1.1348901698483811E-2</v>
      </c>
      <c r="K484" s="28">
        <v>-1.2275502585642325E-2</v>
      </c>
      <c r="L484" s="28">
        <v>-5.572645665958097E-3</v>
      </c>
      <c r="M484" s="28">
        <v>-3.4405208936338111E-2</v>
      </c>
      <c r="N484" s="28">
        <v>1.0540659988214624E-2</v>
      </c>
    </row>
    <row r="485" spans="1:14">
      <c r="A485" s="4">
        <v>41012</v>
      </c>
      <c r="B485" s="28">
        <v>-1.6043071146521076E-2</v>
      </c>
      <c r="C485" s="28">
        <v>4.7539226731883192E-3</v>
      </c>
      <c r="D485" s="28">
        <v>-2.3977707212753841E-3</v>
      </c>
      <c r="E485" s="28">
        <v>-3.7215360640070354E-5</v>
      </c>
      <c r="F485" s="28">
        <v>-1.5253828530085532E-2</v>
      </c>
      <c r="G485" s="28">
        <v>2.7632197035982141E-4</v>
      </c>
      <c r="H485" s="28">
        <v>-6.110811561524777E-3</v>
      </c>
      <c r="I485" s="28">
        <v>9.1022535418043681E-3</v>
      </c>
      <c r="J485" s="28">
        <v>-4.4843243430422106E-3</v>
      </c>
      <c r="K485" s="28">
        <v>-1.8178361257831642E-3</v>
      </c>
      <c r="L485" s="28">
        <v>7.577602523865236E-3</v>
      </c>
      <c r="M485" s="28">
        <v>-2.3296036331418007E-2</v>
      </c>
      <c r="N485" s="28">
        <v>-1.5591401768337645E-2</v>
      </c>
    </row>
    <row r="486" spans="1:14">
      <c r="A486" s="4">
        <v>41019</v>
      </c>
      <c r="B486" s="28">
        <v>1.0533370126542459E-2</v>
      </c>
      <c r="C486" s="28">
        <v>3.5554096925936841E-4</v>
      </c>
      <c r="D486" s="28">
        <v>1.896842925815263E-2</v>
      </c>
      <c r="E486" s="28">
        <v>2.6195936861790937E-2</v>
      </c>
      <c r="F486" s="28">
        <v>1.7067575208617656E-2</v>
      </c>
      <c r="G486" s="28">
        <v>-5.8471993296438352E-4</v>
      </c>
      <c r="H486" s="28">
        <v>2.154674031574861E-2</v>
      </c>
      <c r="I486" s="28">
        <v>1.4905070197133927E-2</v>
      </c>
      <c r="J486" s="28">
        <v>5.3562965507345968E-2</v>
      </c>
      <c r="K486" s="28">
        <v>-1.821146671993653E-3</v>
      </c>
      <c r="L486" s="28">
        <v>4.4296845890910647E-3</v>
      </c>
      <c r="M486" s="28">
        <v>9.1256735616199996E-3</v>
      </c>
      <c r="N486" s="28">
        <v>1.4120486923555324E-2</v>
      </c>
    </row>
    <row r="487" spans="1:14">
      <c r="A487" s="4">
        <v>41026</v>
      </c>
      <c r="B487" s="28">
        <v>1.3263530751886151E-2</v>
      </c>
      <c r="C487" s="28">
        <v>4.210296087705445E-3</v>
      </c>
      <c r="D487" s="28">
        <v>1.530026775468556E-2</v>
      </c>
      <c r="E487" s="28">
        <v>1.6528550963787709E-2</v>
      </c>
      <c r="F487" s="28">
        <v>1.8753541076487266E-2</v>
      </c>
      <c r="G487" s="28">
        <v>1.1609104855093411E-3</v>
      </c>
      <c r="H487" s="28">
        <v>1.7326560060937971E-2</v>
      </c>
      <c r="I487" s="28">
        <v>2.0076118664841342E-2</v>
      </c>
      <c r="J487" s="28">
        <v>9.830382567785137E-3</v>
      </c>
      <c r="K487" s="28">
        <v>-3.6303215627147357E-4</v>
      </c>
      <c r="L487" s="28">
        <v>2.0584996332402395E-2</v>
      </c>
      <c r="M487" s="28">
        <v>2.2306433554388109E-2</v>
      </c>
      <c r="N487" s="28">
        <v>1.2682627647690271E-2</v>
      </c>
    </row>
    <row r="488" spans="1:14">
      <c r="A488" s="4">
        <v>41033</v>
      </c>
      <c r="B488" s="28">
        <v>-2.5964226039685553E-2</v>
      </c>
      <c r="C488" s="28">
        <v>3.3486700607117097E-3</v>
      </c>
      <c r="D488" s="28">
        <v>-7.4720582694964071E-3</v>
      </c>
      <c r="E488" s="28">
        <v>-1.5827216211636162E-2</v>
      </c>
      <c r="F488" s="28">
        <v>-8.9608475613147907E-3</v>
      </c>
      <c r="G488" s="28">
        <v>2.576809633586622E-4</v>
      </c>
      <c r="H488" s="28">
        <v>-6.7545834673528177E-3</v>
      </c>
      <c r="I488" s="28">
        <v>-2.0253653738055117E-2</v>
      </c>
      <c r="J488" s="28">
        <v>-1.0478479067562434E-2</v>
      </c>
      <c r="K488" s="28">
        <v>7.2493120835836668E-3</v>
      </c>
      <c r="L488" s="28">
        <v>8.9148396713209198E-3</v>
      </c>
      <c r="M488" s="28">
        <v>-3.0181128896377387E-2</v>
      </c>
      <c r="N488" s="28">
        <v>-1.2592288169810338E-2</v>
      </c>
    </row>
    <row r="489" spans="1:14">
      <c r="A489" s="4">
        <v>41040</v>
      </c>
      <c r="B489" s="28">
        <v>-1.7857848678645614E-2</v>
      </c>
      <c r="C489" s="28">
        <v>-2.7134096705926829E-4</v>
      </c>
      <c r="D489" s="28">
        <v>-1.7081040045549369E-2</v>
      </c>
      <c r="E489" s="28">
        <v>-1.7717561229806532E-3</v>
      </c>
      <c r="F489" s="28">
        <v>3.9562567077491423E-3</v>
      </c>
      <c r="G489" s="28">
        <v>-1.5263663923377989E-2</v>
      </c>
      <c r="H489" s="28">
        <v>7.3950989552364708E-3</v>
      </c>
      <c r="I489" s="28">
        <v>-2.5491707754370291E-2</v>
      </c>
      <c r="J489" s="28">
        <v>1.2311669860569592E-2</v>
      </c>
      <c r="K489" s="28">
        <v>-3.7737593373271358E-2</v>
      </c>
      <c r="L489" s="28">
        <v>-5.3894811762877004E-3</v>
      </c>
      <c r="M489" s="28">
        <v>-1.297587247812023E-2</v>
      </c>
      <c r="N489" s="28">
        <v>-3.5779612192799663E-4</v>
      </c>
    </row>
    <row r="490" spans="1:14">
      <c r="A490" s="4">
        <v>41047</v>
      </c>
      <c r="B490" s="28">
        <v>-5.1489053444945289E-2</v>
      </c>
      <c r="C490" s="28">
        <v>2.7141461296282361E-4</v>
      </c>
      <c r="D490" s="28">
        <v>-5.7218253202033949E-2</v>
      </c>
      <c r="E490" s="28">
        <v>-5.0019519369569783E-2</v>
      </c>
      <c r="F490" s="28">
        <v>-3.9148145301593718E-2</v>
      </c>
      <c r="G490" s="28">
        <v>-3.9413998813422502E-2</v>
      </c>
      <c r="H490" s="28">
        <v>-3.52548732352801E-2</v>
      </c>
      <c r="I490" s="28">
        <v>-6.0154691904064535E-2</v>
      </c>
      <c r="J490" s="28">
        <v>-4.978601356947325E-2</v>
      </c>
      <c r="K490" s="28">
        <v>-4.6874699767499813E-2</v>
      </c>
      <c r="L490" s="28">
        <v>-4.3100027087126097E-2</v>
      </c>
      <c r="M490" s="28">
        <v>-6.4005104566606963E-2</v>
      </c>
      <c r="N490" s="28">
        <v>-4.2921683996771536E-2</v>
      </c>
    </row>
    <row r="491" spans="1:14">
      <c r="A491" s="4">
        <v>41054</v>
      </c>
      <c r="B491" s="28">
        <v>8.5961830571182687E-3</v>
      </c>
      <c r="C491" s="28">
        <v>-3.4460302816520286E-3</v>
      </c>
      <c r="D491" s="28">
        <v>1.7203713817586088E-2</v>
      </c>
      <c r="E491" s="28">
        <v>-1.5912077410105971E-3</v>
      </c>
      <c r="F491" s="28">
        <v>1.4968731820826088E-2</v>
      </c>
      <c r="G491" s="28">
        <v>-2.7331439909737635E-3</v>
      </c>
      <c r="H491" s="28">
        <v>1.1733152711243188E-2</v>
      </c>
      <c r="I491" s="28">
        <v>-7.7598289862107249E-3</v>
      </c>
      <c r="J491" s="28">
        <v>2.2000291963281425E-2</v>
      </c>
      <c r="K491" s="28">
        <v>5.3272450532724181E-3</v>
      </c>
      <c r="L491" s="28">
        <v>1.0047068891741602E-2</v>
      </c>
      <c r="M491" s="28">
        <v>-2.3565778493435615E-3</v>
      </c>
      <c r="N491" s="28">
        <v>6.6552438666051218E-3</v>
      </c>
    </row>
    <row r="492" spans="1:14">
      <c r="A492" s="4">
        <v>41061</v>
      </c>
      <c r="B492" s="28">
        <v>-2.9943797536514705E-2</v>
      </c>
      <c r="C492" s="28">
        <v>9.2030386364255062E-3</v>
      </c>
      <c r="D492" s="28">
        <v>-1.7449664429530162E-2</v>
      </c>
      <c r="E492" s="28">
        <v>-4.2203099424720766E-2</v>
      </c>
      <c r="F492" s="28">
        <v>-2.1385815150614267E-2</v>
      </c>
      <c r="G492" s="28">
        <v>7.2660951322039632E-3</v>
      </c>
      <c r="H492" s="28">
        <v>-2.4214578417980949E-2</v>
      </c>
      <c r="I492" s="28">
        <v>-4.4942312852161203E-3</v>
      </c>
      <c r="J492" s="28">
        <v>2.8651850607065111E-3</v>
      </c>
      <c r="K492" s="28">
        <v>-2.2339086884810296E-2</v>
      </c>
      <c r="L492" s="28">
        <v>-3.1745824838755085E-2</v>
      </c>
      <c r="M492" s="28">
        <v>-3.2192317434510793E-2</v>
      </c>
      <c r="N492" s="28">
        <v>-2.2934649516856021E-2</v>
      </c>
    </row>
    <row r="493" spans="1:14">
      <c r="A493" s="4">
        <v>41068</v>
      </c>
      <c r="B493" s="28">
        <v>3.1128303425067325E-2</v>
      </c>
      <c r="C493" s="28">
        <v>-6.7718872251449911E-3</v>
      </c>
      <c r="D493" s="28">
        <v>2.9234972677595634E-2</v>
      </c>
      <c r="E493" s="28">
        <v>3.3404289340608892E-2</v>
      </c>
      <c r="F493" s="28">
        <v>2.2515712680325279E-2</v>
      </c>
      <c r="G493" s="28">
        <v>-3.4035012974941905E-3</v>
      </c>
      <c r="H493" s="28">
        <v>3.0143747164340977E-2</v>
      </c>
      <c r="I493" s="28">
        <v>1.5683896360242162E-2</v>
      </c>
      <c r="J493" s="28">
        <v>2.1197091055330235E-2</v>
      </c>
      <c r="K493" s="28">
        <v>-2.6115939799502635E-2</v>
      </c>
      <c r="L493" s="28">
        <v>4.4092503789704321E-2</v>
      </c>
      <c r="M493" s="28">
        <v>2.8874713930953921E-2</v>
      </c>
      <c r="N493" s="28">
        <v>1.0719980756024455E-2</v>
      </c>
    </row>
    <row r="494" spans="1:14">
      <c r="A494" s="4">
        <v>41075</v>
      </c>
      <c r="B494" s="28">
        <v>1.6545261847484206E-2</v>
      </c>
      <c r="C494" s="28">
        <v>9.2356168848816171E-4</v>
      </c>
      <c r="D494" s="28">
        <v>1.3936819750464522E-2</v>
      </c>
      <c r="E494" s="28">
        <v>8.4909264103592893E-3</v>
      </c>
      <c r="F494" s="28">
        <v>1.170982823675978E-2</v>
      </c>
      <c r="G494" s="28">
        <v>2.1986990463883829E-2</v>
      </c>
      <c r="H494" s="28">
        <v>7.7128830928876735E-3</v>
      </c>
      <c r="I494" s="28">
        <v>7.7384157905827531E-3</v>
      </c>
      <c r="J494" s="28">
        <v>-4.2703838012568525E-3</v>
      </c>
      <c r="K494" s="28">
        <v>3.4772169627531282E-2</v>
      </c>
      <c r="L494" s="28">
        <v>2.3783643692122009E-2</v>
      </c>
      <c r="M494" s="28">
        <v>9.8379081874111936E-3</v>
      </c>
      <c r="N494" s="28">
        <v>1.3562067668307037E-2</v>
      </c>
    </row>
    <row r="495" spans="1:14">
      <c r="A495" s="4">
        <v>41082</v>
      </c>
      <c r="B495" s="28">
        <v>-2.3665113815957402E-3</v>
      </c>
      <c r="C495" s="28">
        <v>-4.0707772470699655E-4</v>
      </c>
      <c r="D495" s="28">
        <v>3.2726796701146332E-4</v>
      </c>
      <c r="E495" s="28">
        <v>5.6097619447178224E-4</v>
      </c>
      <c r="F495" s="28">
        <v>-1.0686142338000654E-2</v>
      </c>
      <c r="G495" s="28">
        <v>-8.8080808080809037E-3</v>
      </c>
      <c r="H495" s="28">
        <v>-1.3607436386700622E-2</v>
      </c>
      <c r="I495" s="28">
        <v>8.6819472035378643E-3</v>
      </c>
      <c r="J495" s="28">
        <v>-1.4476931253115537E-2</v>
      </c>
      <c r="K495" s="28">
        <v>5.6277540885175219E-3</v>
      </c>
      <c r="L495" s="28">
        <v>1.1221669535056199E-3</v>
      </c>
      <c r="M495" s="28">
        <v>-3.7433437022195699E-3</v>
      </c>
      <c r="N495" s="28">
        <v>-8.2336321528258261E-3</v>
      </c>
    </row>
    <row r="496" spans="1:14">
      <c r="A496" s="4">
        <v>41089</v>
      </c>
      <c r="B496" s="28">
        <v>2.49239012333391E-2</v>
      </c>
      <c r="C496" s="28">
        <v>3.230798468764417E-3</v>
      </c>
      <c r="D496" s="28">
        <v>3.8146960675259987E-2</v>
      </c>
      <c r="E496" s="28">
        <v>3.9677595576043799E-2</v>
      </c>
      <c r="F496" s="28">
        <v>2.2329204653974331E-2</v>
      </c>
      <c r="G496" s="28">
        <v>2.5421778037809067E-2</v>
      </c>
      <c r="H496" s="28">
        <v>2.8481884743198231E-2</v>
      </c>
      <c r="I496" s="28">
        <v>3.2432556943170092E-2</v>
      </c>
      <c r="J496" s="28">
        <v>3.5348658331138649E-2</v>
      </c>
      <c r="K496" s="28">
        <v>7.7568409974094052E-3</v>
      </c>
      <c r="L496" s="28">
        <v>3.5419343922213312E-2</v>
      </c>
      <c r="M496" s="28">
        <v>3.7144839589801394E-2</v>
      </c>
      <c r="N496" s="28">
        <v>2.3000400969965445E-2</v>
      </c>
    </row>
    <row r="497" spans="1:14">
      <c r="A497" s="4">
        <v>41096</v>
      </c>
      <c r="B497" s="28">
        <v>-5.1467970090312747E-3</v>
      </c>
      <c r="C497" s="28">
        <v>2.7332756007793649E-3</v>
      </c>
      <c r="D497" s="28">
        <v>1.2794655237615034E-2</v>
      </c>
      <c r="E497" s="28">
        <v>-1.9104728016887666E-2</v>
      </c>
      <c r="F497" s="28">
        <v>6.8781661955273918E-3</v>
      </c>
      <c r="G497" s="28">
        <v>2.14850600730511E-2</v>
      </c>
      <c r="H497" s="28">
        <v>-3.1733355749831685E-3</v>
      </c>
      <c r="I497" s="28">
        <v>-6.1317755375993417E-3</v>
      </c>
      <c r="J497" s="28">
        <v>6.4439805711563377E-3</v>
      </c>
      <c r="K497" s="28">
        <v>3.6176034945898987E-2</v>
      </c>
      <c r="L497" s="28">
        <v>9.0310979351068185E-3</v>
      </c>
      <c r="M497" s="28">
        <v>-2.8415759067019628E-2</v>
      </c>
      <c r="N497" s="28">
        <v>7.824165322821491E-3</v>
      </c>
    </row>
    <row r="498" spans="1:14">
      <c r="A498" s="4">
        <v>41103</v>
      </c>
      <c r="B498" s="28">
        <v>-3.0991735537189641E-3</v>
      </c>
      <c r="C498" s="28">
        <v>4.4530807222088204E-3</v>
      </c>
      <c r="D498" s="28">
        <v>1.4313274005849136E-3</v>
      </c>
      <c r="E498" s="28">
        <v>1.4890727714421336E-2</v>
      </c>
      <c r="F498" s="28">
        <v>1.7147443693145855E-2</v>
      </c>
      <c r="G498" s="28">
        <v>4.3174295041136157E-3</v>
      </c>
      <c r="H498" s="28">
        <v>1.6143823920055717E-2</v>
      </c>
      <c r="I498" s="28">
        <v>2.2482209534641716E-2</v>
      </c>
      <c r="J498" s="28">
        <v>1.6608563439497126E-2</v>
      </c>
      <c r="K498" s="28">
        <v>-8.0534961476958333E-3</v>
      </c>
      <c r="L498" s="28">
        <v>1.2391056716734078E-2</v>
      </c>
      <c r="M498" s="28">
        <v>1.8340540004318073E-2</v>
      </c>
      <c r="N498" s="28">
        <v>1.4704575085930951E-2</v>
      </c>
    </row>
    <row r="499" spans="1:14">
      <c r="A499" s="4">
        <v>41110</v>
      </c>
      <c r="B499" s="28">
        <v>4.7325690506302923E-3</v>
      </c>
      <c r="C499" s="28">
        <v>4.9707130958137622E-3</v>
      </c>
      <c r="D499" s="28">
        <v>6.0899826000498274E-3</v>
      </c>
      <c r="E499" s="28">
        <v>-2.5154408156084156E-2</v>
      </c>
      <c r="F499" s="28">
        <v>1.0248246695794461E-2</v>
      </c>
      <c r="G499" s="28">
        <v>2.1827133479212304E-2</v>
      </c>
      <c r="H499" s="28">
        <v>-1.5773230633574564E-2</v>
      </c>
      <c r="I499" s="28">
        <v>2.4816401804696221E-2</v>
      </c>
      <c r="J499" s="28">
        <v>1.8657585168640318E-2</v>
      </c>
      <c r="K499" s="28">
        <v>1.606190280790204E-2</v>
      </c>
      <c r="L499" s="28">
        <v>-1.175829018332618E-2</v>
      </c>
      <c r="M499" s="28">
        <v>-2.7218758595397453E-3</v>
      </c>
      <c r="N499" s="28">
        <v>1.4798104791315317E-2</v>
      </c>
    </row>
    <row r="500" spans="1:14">
      <c r="A500" s="4">
        <v>41117</v>
      </c>
      <c r="B500" s="28">
        <v>1.5162220327283123E-2</v>
      </c>
      <c r="C500" s="28">
        <v>-1.4704702831322477E-3</v>
      </c>
      <c r="D500" s="28">
        <v>9.5738109944409067E-3</v>
      </c>
      <c r="E500" s="28">
        <v>9.5272924156862854E-3</v>
      </c>
      <c r="F500" s="28">
        <v>1.3302539790960138E-2</v>
      </c>
      <c r="G500" s="28">
        <v>-1.2670200046398564E-3</v>
      </c>
      <c r="H500" s="28">
        <v>8.7903285306238938E-3</v>
      </c>
      <c r="I500" s="28">
        <v>2.3162149327487117E-2</v>
      </c>
      <c r="J500" s="28">
        <v>5.4273505929023037E-3</v>
      </c>
      <c r="K500" s="28">
        <v>-2.4827400526933257E-2</v>
      </c>
      <c r="L500" s="28">
        <v>2.6857588166798414E-2</v>
      </c>
      <c r="M500" s="28">
        <v>1.3864867815464591E-2</v>
      </c>
      <c r="N500" s="28">
        <v>8.7947109435700683E-3</v>
      </c>
    </row>
    <row r="501" spans="1:14">
      <c r="A501" s="4">
        <v>41124</v>
      </c>
      <c r="B501" s="28">
        <v>7.7038767379722798E-3</v>
      </c>
      <c r="C501" s="28">
        <v>8.5680625468564095E-4</v>
      </c>
      <c r="D501" s="28">
        <v>1.3643315998776497E-2</v>
      </c>
      <c r="E501" s="28">
        <v>6.7934079479109585E-3</v>
      </c>
      <c r="F501" s="28">
        <v>-3.3937670814604454E-3</v>
      </c>
      <c r="G501" s="28">
        <v>9.4298323982418466E-3</v>
      </c>
      <c r="H501" s="28">
        <v>6.2845440962898584E-3</v>
      </c>
      <c r="I501" s="28">
        <v>5.2450480883318449E-3</v>
      </c>
      <c r="J501" s="28">
        <v>1.4294631229338425E-3</v>
      </c>
      <c r="K501" s="28">
        <v>-2.3033840814072743E-2</v>
      </c>
      <c r="L501" s="28">
        <v>1.0800541023302872E-2</v>
      </c>
      <c r="M501" s="28">
        <v>-6.4267497874751587E-3</v>
      </c>
      <c r="N501" s="28">
        <v>-4.0577209015414733E-3</v>
      </c>
    </row>
    <row r="502" spans="1:14">
      <c r="A502" s="4">
        <v>41131</v>
      </c>
      <c r="B502" s="28">
        <v>1.4853332274838095E-2</v>
      </c>
      <c r="C502" s="28">
        <v>1.0700909577304339E-4</v>
      </c>
      <c r="D502" s="28">
        <v>-7.6653790439401874E-3</v>
      </c>
      <c r="E502" s="28">
        <v>5.4765587398306562E-3</v>
      </c>
      <c r="F502" s="28">
        <v>-7.1253976226352588E-3</v>
      </c>
      <c r="G502" s="28">
        <v>-5.5271600840800005E-3</v>
      </c>
      <c r="H502" s="28">
        <v>-1.6301103179753927E-3</v>
      </c>
      <c r="I502" s="28">
        <v>-1.039023255652498E-2</v>
      </c>
      <c r="J502" s="28">
        <v>1.9583777399011541E-3</v>
      </c>
      <c r="K502" s="28">
        <v>2.4581146548243862E-2</v>
      </c>
      <c r="L502" s="28">
        <v>-1.0575559505712453E-2</v>
      </c>
      <c r="M502" s="28">
        <v>-9.5370645006730859E-3</v>
      </c>
      <c r="N502" s="28">
        <v>-4.657823604174576E-3</v>
      </c>
    </row>
    <row r="503" spans="1:14">
      <c r="A503" s="4">
        <v>41138</v>
      </c>
      <c r="B503" s="28">
        <v>9.28533433461632E-3</v>
      </c>
      <c r="C503" s="28">
        <v>-7.9178258078321743E-3</v>
      </c>
      <c r="D503" s="28">
        <v>5.0483547229488021E-3</v>
      </c>
      <c r="E503" s="28">
        <v>2.9087951667247657E-2</v>
      </c>
      <c r="F503" s="28">
        <v>-6.2052731331897499E-4</v>
      </c>
      <c r="G503" s="28">
        <v>9.0332226800635997E-3</v>
      </c>
      <c r="H503" s="28">
        <v>-3.4319409706145491E-4</v>
      </c>
      <c r="I503" s="28">
        <v>6.5879480541349029E-3</v>
      </c>
      <c r="J503" s="28">
        <v>1.8639264566965404E-2</v>
      </c>
      <c r="K503" s="28">
        <v>6.4029630943055718E-4</v>
      </c>
      <c r="L503" s="28">
        <v>9.380136354181114E-3</v>
      </c>
      <c r="M503" s="28">
        <v>2.557531501232398E-2</v>
      </c>
      <c r="N503" s="28">
        <v>7.4528620860820878E-3</v>
      </c>
    </row>
    <row r="504" spans="1:14">
      <c r="A504" s="4">
        <v>41145</v>
      </c>
      <c r="B504" s="28">
        <v>-3.4024941289538301E-3</v>
      </c>
      <c r="C504" s="28">
        <v>8.5202761000863492E-3</v>
      </c>
      <c r="D504" s="28">
        <v>-2.4812394093439638E-3</v>
      </c>
      <c r="E504" s="28">
        <v>3.576686507040505E-3</v>
      </c>
      <c r="F504" s="28">
        <v>-8.7265217420648463E-3</v>
      </c>
      <c r="G504" s="28">
        <v>1.1298488242868939E-2</v>
      </c>
      <c r="H504" s="28">
        <v>-6.3408671226820226E-3</v>
      </c>
      <c r="I504" s="28">
        <v>3.0929379948700791E-2</v>
      </c>
      <c r="J504" s="28">
        <v>-6.5140685786663297E-3</v>
      </c>
      <c r="K504" s="28">
        <v>-5.2815254896361958E-3</v>
      </c>
      <c r="L504" s="28">
        <v>-1.1550029519451149E-2</v>
      </c>
      <c r="M504" s="28">
        <v>5.1773029732992831E-3</v>
      </c>
      <c r="N504" s="28">
        <v>-3.1775954528252361E-3</v>
      </c>
    </row>
    <row r="505" spans="1:14">
      <c r="A505" s="4">
        <v>41152</v>
      </c>
      <c r="B505" s="28">
        <v>-5.1561625085546278E-3</v>
      </c>
      <c r="C505" s="28">
        <v>5.1331408405517033E-3</v>
      </c>
      <c r="D505" s="28">
        <v>-1.9413941636839264E-3</v>
      </c>
      <c r="E505" s="28">
        <v>-2.9879492048636644E-3</v>
      </c>
      <c r="F505" s="28">
        <v>-4.9395408371686877E-3</v>
      </c>
      <c r="G505" s="28">
        <v>3.6848393933316503E-3</v>
      </c>
      <c r="H505" s="28">
        <v>-7.1560939348570734E-3</v>
      </c>
      <c r="I505" s="28">
        <v>-6.402563729848338E-3</v>
      </c>
      <c r="J505" s="28">
        <v>-9.7630756154570078E-3</v>
      </c>
      <c r="K505" s="28">
        <v>-3.0833102410831009E-2</v>
      </c>
      <c r="L505" s="28">
        <v>6.2612431924177099E-3</v>
      </c>
      <c r="M505" s="28">
        <v>4.335026004569649E-3</v>
      </c>
      <c r="N505" s="28">
        <v>-2.4248198398257787E-3</v>
      </c>
    </row>
    <row r="506" spans="1:14">
      <c r="A506" s="4">
        <v>41159</v>
      </c>
      <c r="B506" s="28">
        <v>2.569554647008692E-2</v>
      </c>
      <c r="C506" s="28">
        <v>7.7135865517613707E-4</v>
      </c>
      <c r="D506" s="28">
        <v>2.0059570846757108E-2</v>
      </c>
      <c r="E506" s="28">
        <v>3.0880746698441104E-2</v>
      </c>
      <c r="F506" s="28">
        <v>1.8388578896411576E-2</v>
      </c>
      <c r="G506" s="28">
        <v>6.6170496561132842E-3</v>
      </c>
      <c r="H506" s="28">
        <v>1.60604031445911E-2</v>
      </c>
      <c r="I506" s="28">
        <v>8.9716764480734512E-3</v>
      </c>
      <c r="J506" s="28">
        <v>7.1233968525238993E-3</v>
      </c>
      <c r="K506" s="28">
        <v>2.7637511041218907E-2</v>
      </c>
      <c r="L506" s="28">
        <v>2.0635500578396204E-2</v>
      </c>
      <c r="M506" s="28">
        <v>3.7489640288570159E-2</v>
      </c>
      <c r="N506" s="28">
        <v>2.0716719505671003E-2</v>
      </c>
    </row>
    <row r="507" spans="1:14">
      <c r="A507" s="4">
        <v>41166</v>
      </c>
      <c r="B507" s="28">
        <v>2.7079141515761216E-2</v>
      </c>
      <c r="C507" s="28">
        <v>-1.3554817275747266E-3</v>
      </c>
      <c r="D507" s="28">
        <v>2.4670758596031146E-2</v>
      </c>
      <c r="E507" s="28">
        <v>2.2390150785450286E-2</v>
      </c>
      <c r="F507" s="28">
        <v>2.7210792942662185E-3</v>
      </c>
      <c r="G507" s="28">
        <v>1.1187555570902027E-2</v>
      </c>
      <c r="H507" s="28">
        <v>-1.6086764744035985E-4</v>
      </c>
      <c r="I507" s="28">
        <v>2.0491499248049307E-2</v>
      </c>
      <c r="J507" s="28">
        <v>-2.5883651029182435E-2</v>
      </c>
      <c r="K507" s="28">
        <v>4.5570626521587929E-2</v>
      </c>
      <c r="L507" s="28">
        <v>-4.5570630760661084E-3</v>
      </c>
      <c r="M507" s="28">
        <v>4.3308331948338795E-2</v>
      </c>
      <c r="N507" s="28">
        <v>1.1854134349201085E-2</v>
      </c>
    </row>
    <row r="508" spans="1:14">
      <c r="A508" s="4">
        <v>41173</v>
      </c>
      <c r="B508" s="28">
        <v>-7.0940405606963039E-3</v>
      </c>
      <c r="C508" s="28">
        <v>3.4066109543832773E-3</v>
      </c>
      <c r="D508" s="28">
        <v>-2.0587380052340752E-2</v>
      </c>
      <c r="E508" s="28">
        <v>9.8536301270138581E-3</v>
      </c>
      <c r="F508" s="28">
        <v>-5.9064746755292065E-3</v>
      </c>
      <c r="G508" s="28">
        <v>3.6153629448773678E-3</v>
      </c>
      <c r="H508" s="28">
        <v>-1.3182889232589575E-3</v>
      </c>
      <c r="I508" s="28">
        <v>-8.564659544870316E-3</v>
      </c>
      <c r="J508" s="28">
        <v>2.0759529268397508E-2</v>
      </c>
      <c r="K508" s="28">
        <v>8.4393799716785452E-3</v>
      </c>
      <c r="L508" s="28">
        <v>6.891302287239034E-3</v>
      </c>
      <c r="M508" s="28">
        <v>-6.7163066993488913E-3</v>
      </c>
      <c r="N508" s="28">
        <v>-5.6177626981948449E-3</v>
      </c>
    </row>
    <row r="509" spans="1:14">
      <c r="A509" s="4">
        <v>41180</v>
      </c>
      <c r="B509" s="28">
        <v>-1.9842307836030009E-2</v>
      </c>
      <c r="C509" s="28">
        <v>3.1563312291125081E-3</v>
      </c>
      <c r="D509" s="28">
        <v>-6.5910575381508537E-3</v>
      </c>
      <c r="E509" s="28">
        <v>-2.4684185752632329E-2</v>
      </c>
      <c r="F509" s="28">
        <v>3.6161672671144529E-3</v>
      </c>
      <c r="G509" s="28">
        <v>-1.3312068048910619E-3</v>
      </c>
      <c r="H509" s="28">
        <v>-2.4997401517513488E-3</v>
      </c>
      <c r="I509" s="28">
        <v>-6.1856975740467151E-3</v>
      </c>
      <c r="J509" s="28">
        <v>-2.9004140168820652E-3</v>
      </c>
      <c r="K509" s="28">
        <v>-1.2162022071643285E-2</v>
      </c>
      <c r="L509" s="28">
        <v>-4.4159405183090948E-4</v>
      </c>
      <c r="M509" s="28">
        <v>-4.0001241631918302E-2</v>
      </c>
      <c r="N509" s="28">
        <v>9.2293815964744022E-4</v>
      </c>
    </row>
    <row r="510" spans="1:14">
      <c r="A510" s="4">
        <v>41187</v>
      </c>
      <c r="B510" s="28">
        <v>1.7636294319481594E-2</v>
      </c>
      <c r="C510" s="28">
        <v>-1.5335395679648453E-3</v>
      </c>
      <c r="D510" s="28">
        <v>7.8900179318588948E-3</v>
      </c>
      <c r="E510" s="28">
        <v>2.911329663736208E-2</v>
      </c>
      <c r="F510" s="28">
        <v>2.0020416661069958E-2</v>
      </c>
      <c r="G510" s="28">
        <v>3.5304839616373796E-3</v>
      </c>
      <c r="H510" s="28">
        <v>1.8750748935859835E-2</v>
      </c>
      <c r="I510" s="28">
        <v>6.8513134199222284E-3</v>
      </c>
      <c r="J510" s="28">
        <v>2.1229238940226457E-2</v>
      </c>
      <c r="K510" s="28">
        <v>2.8558889890620404E-2</v>
      </c>
      <c r="L510" s="28">
        <v>2.4419980513331691E-2</v>
      </c>
      <c r="M510" s="28">
        <v>3.2377318632047597E-2</v>
      </c>
      <c r="N510" s="28">
        <v>2.0719018396336695E-2</v>
      </c>
    </row>
    <row r="511" spans="1:14">
      <c r="A511" s="4">
        <v>41194</v>
      </c>
      <c r="B511" s="28">
        <v>-2.143665285509851E-2</v>
      </c>
      <c r="C511" s="28">
        <v>3.7073325742127939E-3</v>
      </c>
      <c r="D511" s="28">
        <v>-8.9550468509073111E-3</v>
      </c>
      <c r="E511" s="28">
        <v>-2.1994642872231636E-2</v>
      </c>
      <c r="F511" s="28">
        <v>-1.8475233574095133E-2</v>
      </c>
      <c r="G511" s="28">
        <v>-5.758760147851906E-3</v>
      </c>
      <c r="H511" s="28">
        <v>-1.3117654880381352E-2</v>
      </c>
      <c r="I511" s="28">
        <v>-1.1407768607153087E-2</v>
      </c>
      <c r="J511" s="28">
        <v>-1.8052277953974946E-2</v>
      </c>
      <c r="K511" s="28">
        <v>-3.390160650020381E-3</v>
      </c>
      <c r="L511" s="28">
        <v>-1.3908900961136705E-2</v>
      </c>
      <c r="M511" s="28">
        <v>-1.6537036070365958E-2</v>
      </c>
      <c r="N511" s="28">
        <v>-2.1359229945352973E-2</v>
      </c>
    </row>
    <row r="512" spans="1:14">
      <c r="A512" s="4">
        <v>41201</v>
      </c>
      <c r="B512" s="28">
        <v>1.2450039049937973E-2</v>
      </c>
      <c r="C512" s="28">
        <v>-2.6646967258528113E-3</v>
      </c>
      <c r="D512" s="28">
        <v>1.6097181497217387E-2</v>
      </c>
      <c r="E512" s="28">
        <v>1.3806331213713037E-2</v>
      </c>
      <c r="F512" s="28">
        <v>8.0430393163081239E-3</v>
      </c>
      <c r="G512" s="28">
        <v>1.1823257243345604E-2</v>
      </c>
      <c r="H512" s="28">
        <v>1.4504619817280143E-2</v>
      </c>
      <c r="I512" s="28">
        <v>2.6791640415216512E-2</v>
      </c>
      <c r="J512" s="28">
        <v>5.3805412686749729E-3</v>
      </c>
      <c r="K512" s="28">
        <v>4.0168828207526618E-2</v>
      </c>
      <c r="L512" s="28">
        <v>1.714048074711828E-2</v>
      </c>
      <c r="M512" s="28">
        <v>1.8327830914746112E-2</v>
      </c>
      <c r="N512" s="28">
        <v>2.4895366035309272E-3</v>
      </c>
    </row>
    <row r="513" spans="1:14">
      <c r="A513" s="4">
        <v>41208</v>
      </c>
      <c r="B513" s="28">
        <v>-1.66757419003539E-2</v>
      </c>
      <c r="C513" s="28">
        <v>-1.3226813396116609E-3</v>
      </c>
      <c r="D513" s="28">
        <v>-1.1484098939929428E-2</v>
      </c>
      <c r="E513" s="28">
        <v>-8.0661655673161733E-3</v>
      </c>
      <c r="F513" s="28">
        <v>-5.8261020017036499E-3</v>
      </c>
      <c r="G513" s="28">
        <v>-9.3944839572418018E-3</v>
      </c>
      <c r="H513" s="28">
        <v>-1.0261937355699444E-2</v>
      </c>
      <c r="I513" s="28">
        <v>-4.6561075728193749E-3</v>
      </c>
      <c r="J513" s="28">
        <v>-8.4958015819242352E-3</v>
      </c>
      <c r="K513" s="28">
        <v>-2.633709875852808E-2</v>
      </c>
      <c r="L513" s="28">
        <v>-5.0218818502306359E-4</v>
      </c>
      <c r="M513" s="28">
        <v>-5.1080242891768173E-4</v>
      </c>
      <c r="N513" s="28">
        <v>-7.3489147532864903E-3</v>
      </c>
    </row>
    <row r="514" spans="1:14">
      <c r="A514" s="4">
        <v>41215</v>
      </c>
      <c r="B514" s="28">
        <v>4.2607846304115148E-3</v>
      </c>
      <c r="C514" s="28">
        <v>-1.2449671540579849E-3</v>
      </c>
      <c r="D514" s="28">
        <v>1.2630324694667886E-2</v>
      </c>
      <c r="E514" s="28">
        <v>-2.4141826788835869E-3</v>
      </c>
      <c r="F514" s="28">
        <v>-2.5904221317098399E-3</v>
      </c>
      <c r="G514" s="28">
        <v>8.2614009462285386E-3</v>
      </c>
      <c r="H514" s="28">
        <v>3.6642702683164949E-4</v>
      </c>
      <c r="I514" s="28">
        <v>-4.9449136618104627E-5</v>
      </c>
      <c r="J514" s="28">
        <v>-3.5410732246646745E-2</v>
      </c>
      <c r="K514" s="28">
        <v>1.8875380218527981E-2</v>
      </c>
      <c r="L514" s="28">
        <v>1.5266076706658017E-2</v>
      </c>
      <c r="M514" s="28">
        <v>8.6515746491654267E-3</v>
      </c>
      <c r="N514" s="28">
        <v>-5.2248403033007115E-3</v>
      </c>
    </row>
    <row r="515" spans="1:14">
      <c r="A515" s="4">
        <v>41222</v>
      </c>
      <c r="B515" s="28">
        <v>-2.2783491732847286E-2</v>
      </c>
      <c r="C515" s="28">
        <v>3.4212969102240115E-3</v>
      </c>
      <c r="D515" s="28">
        <v>-1.9650526563511229E-2</v>
      </c>
      <c r="E515" s="28">
        <v>-3.3906187427065429E-2</v>
      </c>
      <c r="F515" s="28">
        <v>-2.4619235686315265E-2</v>
      </c>
      <c r="G515" s="28">
        <v>-6.3818015179480788E-3</v>
      </c>
      <c r="H515" s="28">
        <v>-3.3482258014589733E-2</v>
      </c>
      <c r="I515" s="28">
        <v>2.9637981452360772E-3</v>
      </c>
      <c r="J515" s="28">
        <v>-2.247852838869388E-2</v>
      </c>
      <c r="K515" s="28">
        <v>-2.4185329160390765E-2</v>
      </c>
      <c r="L515" s="28">
        <v>-5.0944744167712372E-3</v>
      </c>
      <c r="M515" s="28">
        <v>-3.5152210778839399E-2</v>
      </c>
      <c r="N515" s="28">
        <v>-2.3933737173939994E-2</v>
      </c>
    </row>
    <row r="516" spans="1:14">
      <c r="A516" s="4">
        <v>41229</v>
      </c>
      <c r="B516" s="28">
        <v>-1.7797526684534753E-2</v>
      </c>
      <c r="C516" s="28">
        <v>-2.9867315113389953E-3</v>
      </c>
      <c r="D516" s="28">
        <v>-1.3022865030306592E-2</v>
      </c>
      <c r="E516" s="28">
        <v>-1.4904949744824075E-2</v>
      </c>
      <c r="F516" s="28">
        <v>-9.6703614258881274E-3</v>
      </c>
      <c r="G516" s="28">
        <v>-1.3185636073043825E-2</v>
      </c>
      <c r="H516" s="28">
        <v>-7.2326842599709376E-3</v>
      </c>
      <c r="I516" s="28">
        <v>-1.9975281534122803E-2</v>
      </c>
      <c r="J516" s="28">
        <v>-1.3362430480347093E-2</v>
      </c>
      <c r="K516" s="28">
        <v>-3.6116515622761539E-2</v>
      </c>
      <c r="L516" s="28">
        <v>-2.1052845884100155E-2</v>
      </c>
      <c r="M516" s="28">
        <v>-1.2185385039948133E-2</v>
      </c>
      <c r="N516" s="28">
        <v>-8.0842733019949025E-3</v>
      </c>
    </row>
    <row r="517" spans="1:14">
      <c r="A517" s="4">
        <v>41236</v>
      </c>
      <c r="B517" s="28">
        <v>4.1123106015271534E-2</v>
      </c>
      <c r="C517" s="28">
        <v>-2.0413032528299405E-3</v>
      </c>
      <c r="D517" s="28">
        <v>2.4565243828286464E-2</v>
      </c>
      <c r="E517" s="28">
        <v>4.3522720588568015E-2</v>
      </c>
      <c r="F517" s="28">
        <v>1.731678425405821E-2</v>
      </c>
      <c r="G517" s="28">
        <v>2.2777983579865137E-2</v>
      </c>
      <c r="H517" s="28">
        <v>1.5414890127910707E-2</v>
      </c>
      <c r="I517" s="28">
        <v>3.0974445663074626E-2</v>
      </c>
      <c r="J517" s="28">
        <v>2.6888731162207156E-2</v>
      </c>
      <c r="K517" s="28">
        <v>2.1743508112462298E-2</v>
      </c>
      <c r="L517" s="28">
        <v>2.5761079366292718E-2</v>
      </c>
      <c r="M517" s="28">
        <v>3.6231373038303573E-2</v>
      </c>
      <c r="N517" s="28">
        <v>2.6880210138450534E-2</v>
      </c>
    </row>
    <row r="518" spans="1:14">
      <c r="A518" s="4">
        <v>41243</v>
      </c>
      <c r="B518" s="28">
        <v>8.1541939686554776E-3</v>
      </c>
      <c r="C518" s="28">
        <v>3.453405589204153E-3</v>
      </c>
      <c r="D518" s="28">
        <v>4.510385756676504E-3</v>
      </c>
      <c r="E518" s="28">
        <v>8.9103759268090565E-3</v>
      </c>
      <c r="F518" s="28">
        <v>1.2818586609118462E-2</v>
      </c>
      <c r="G518" s="28">
        <v>1.1211158935655819E-2</v>
      </c>
      <c r="H518" s="28">
        <v>1.1484940907358016E-2</v>
      </c>
      <c r="I518" s="28">
        <v>1.574577726882324E-2</v>
      </c>
      <c r="J518" s="28">
        <v>1.540297691763644E-2</v>
      </c>
      <c r="K518" s="28">
        <v>1.7446962267072652E-2</v>
      </c>
      <c r="L518" s="28">
        <v>5.8527630893997814E-3</v>
      </c>
      <c r="M518" s="28">
        <v>2.1395441362774912E-2</v>
      </c>
      <c r="N518" s="28">
        <v>1.014662152320114E-2</v>
      </c>
    </row>
    <row r="519" spans="1:14">
      <c r="A519" s="4">
        <v>41250</v>
      </c>
      <c r="B519" s="28">
        <v>3.9909083307360753E-3</v>
      </c>
      <c r="C519" s="28">
        <v>-2.1178588447075787E-4</v>
      </c>
      <c r="D519" s="28">
        <v>1.1697979439915032E-2</v>
      </c>
      <c r="E519" s="28">
        <v>-3.1029073640328341E-3</v>
      </c>
      <c r="F519" s="28">
        <v>9.9120056640034202E-4</v>
      </c>
      <c r="G519" s="28">
        <v>8.20477792956378E-3</v>
      </c>
      <c r="H519" s="28">
        <v>1.4605418138986853E-3</v>
      </c>
      <c r="I519" s="28">
        <v>1.861163779850368E-2</v>
      </c>
      <c r="J519" s="28">
        <v>-9.604996022653061E-3</v>
      </c>
      <c r="K519" s="28">
        <v>-3.4729108342827493E-3</v>
      </c>
      <c r="L519" s="28">
        <v>7.4317768658296928E-3</v>
      </c>
      <c r="M519" s="28">
        <v>7.3497378388491285E-3</v>
      </c>
      <c r="N519" s="28">
        <v>-4.2556334387277992E-4</v>
      </c>
    </row>
    <row r="520" spans="1:14">
      <c r="A520" s="4">
        <v>41257</v>
      </c>
      <c r="B520" s="28">
        <v>3.5964686463649167E-3</v>
      </c>
      <c r="C520" s="28">
        <v>-1.6152094476513626E-3</v>
      </c>
      <c r="D520" s="28">
        <v>1.9855174024760768E-3</v>
      </c>
      <c r="E520" s="28">
        <v>1.78131857235851E-2</v>
      </c>
      <c r="F520" s="28">
        <v>4.1124403847708473E-3</v>
      </c>
      <c r="G520" s="28">
        <v>-5.5354974098816511E-4</v>
      </c>
      <c r="H520" s="28">
        <v>6.0688746706812858E-3</v>
      </c>
      <c r="I520" s="28">
        <v>1.0549153395066638E-2</v>
      </c>
      <c r="J520" s="28">
        <v>7.9719005490421005E-3</v>
      </c>
      <c r="K520" s="28">
        <v>5.0909898735642178E-5</v>
      </c>
      <c r="L520" s="28">
        <v>2.1141280924990475E-2</v>
      </c>
      <c r="M520" s="28">
        <v>1.7416036185465784E-2</v>
      </c>
      <c r="N520" s="28">
        <v>2.9098406800652978E-3</v>
      </c>
    </row>
    <row r="521" spans="1:14">
      <c r="A521" s="4">
        <v>41264</v>
      </c>
      <c r="B521" s="28">
        <v>1.1746599370798675E-2</v>
      </c>
      <c r="C521" s="28">
        <v>-3.7130354064444064E-4</v>
      </c>
      <c r="D521" s="28">
        <v>1.7950810117729244E-2</v>
      </c>
      <c r="E521" s="28">
        <v>7.9544251254792357E-3</v>
      </c>
      <c r="F521" s="28">
        <v>1.4252410901467432E-2</v>
      </c>
      <c r="G521" s="28">
        <v>-9.2378275605521643E-3</v>
      </c>
      <c r="H521" s="28">
        <v>7.4559010729223019E-3</v>
      </c>
      <c r="I521" s="28">
        <v>-9.7296119978841841E-3</v>
      </c>
      <c r="J521" s="28">
        <v>6.2438305008146715E-3</v>
      </c>
      <c r="K521" s="28">
        <v>8.0850059468991695E-3</v>
      </c>
      <c r="L521" s="28">
        <v>4.7829634991889674E-3</v>
      </c>
      <c r="M521" s="28">
        <v>9.2665753178040131E-3</v>
      </c>
      <c r="N521" s="28">
        <v>1.428596488150587E-2</v>
      </c>
    </row>
    <row r="522" spans="1:14">
      <c r="A522" s="4">
        <v>41271</v>
      </c>
      <c r="B522" s="28">
        <v>-1.0603552413762268E-2</v>
      </c>
      <c r="C522" s="28">
        <v>-8.4900904725279246E-4</v>
      </c>
      <c r="D522" s="28">
        <v>-2.2901637467079221E-3</v>
      </c>
      <c r="E522" s="28">
        <v>-1.0211242451874105E-3</v>
      </c>
      <c r="F522" s="28">
        <v>-1.6611878005383919E-2</v>
      </c>
      <c r="G522" s="28">
        <v>-4.7808764940239189E-3</v>
      </c>
      <c r="H522" s="28">
        <v>-1.3393501805054166E-2</v>
      </c>
      <c r="I522" s="28">
        <v>-1.4987604591171395E-3</v>
      </c>
      <c r="J522" s="28">
        <v>-7.9937279374684683E-3</v>
      </c>
      <c r="K522" s="28">
        <v>-8.0339353428883591E-3</v>
      </c>
      <c r="L522" s="28">
        <v>-8.9554079501380189E-3</v>
      </c>
      <c r="M522" s="28">
        <v>7.5612306076236584E-3</v>
      </c>
      <c r="N522" s="28">
        <v>-1.4396054056110831E-2</v>
      </c>
    </row>
    <row r="523" spans="1:14">
      <c r="A523" s="4">
        <v>41278</v>
      </c>
      <c r="B523" s="28">
        <v>3.2611317114346859E-2</v>
      </c>
      <c r="C523" s="28">
        <v>-9.2673730051248109E-3</v>
      </c>
      <c r="D523" s="28">
        <v>1.882244921381844E-2</v>
      </c>
      <c r="E523" s="28">
        <v>6.6377823581372751E-3</v>
      </c>
      <c r="F523" s="28">
        <v>3.9357526963083943E-2</v>
      </c>
      <c r="G523" s="28">
        <v>5.6338264328740706E-3</v>
      </c>
      <c r="H523" s="28">
        <v>2.1431969179782857E-2</v>
      </c>
      <c r="I523" s="28">
        <v>1.7839048919713281E-2</v>
      </c>
      <c r="J523" s="28">
        <v>1.9293472864830671E-2</v>
      </c>
      <c r="K523" s="28">
        <v>3.6769470001295754E-2</v>
      </c>
      <c r="L523" s="28">
        <v>1.9839832717243946E-2</v>
      </c>
      <c r="M523" s="28">
        <v>1.5628611473112185E-2</v>
      </c>
      <c r="N523" s="28">
        <v>3.3827580761199648E-2</v>
      </c>
    </row>
    <row r="524" spans="1:14">
      <c r="A524" s="4">
        <v>41285</v>
      </c>
      <c r="B524" s="28">
        <v>8.6343432279161209E-3</v>
      </c>
      <c r="C524" s="28">
        <v>3.0018761726078921E-3</v>
      </c>
      <c r="D524" s="28">
        <v>7.4349442379183376E-3</v>
      </c>
      <c r="E524" s="28">
        <v>1.4124057699701261E-3</v>
      </c>
      <c r="F524" s="28">
        <v>2.4332317329657542E-3</v>
      </c>
      <c r="G524" s="28">
        <v>6.8027494445670571E-3</v>
      </c>
      <c r="H524" s="28">
        <v>-1.3643598102383322E-2</v>
      </c>
      <c r="I524" s="28">
        <v>-3.5491799477516245E-3</v>
      </c>
      <c r="J524" s="28">
        <v>1.0212232079889805E-2</v>
      </c>
      <c r="K524" s="28">
        <v>2.0560572446333133E-2</v>
      </c>
      <c r="L524" s="28">
        <v>6.6302831076135074E-3</v>
      </c>
      <c r="M524" s="28">
        <v>7.3502709141353923E-3</v>
      </c>
      <c r="N524" s="28">
        <v>6.4667463270237776E-3</v>
      </c>
    </row>
    <row r="525" spans="1:14">
      <c r="A525" s="4">
        <v>41292</v>
      </c>
      <c r="B525" s="28">
        <v>4.4647379770466483E-3</v>
      </c>
      <c r="C525" s="28">
        <v>-2.4050024050032554E-4</v>
      </c>
      <c r="D525" s="28">
        <v>4.9759588504975196E-3</v>
      </c>
      <c r="E525" s="28">
        <v>-3.9141066406283053E-3</v>
      </c>
      <c r="F525" s="28">
        <v>7.333621685829279E-3</v>
      </c>
      <c r="G525" s="28">
        <v>1.368331711760208E-2</v>
      </c>
      <c r="H525" s="28">
        <v>-4.3945895183591117E-3</v>
      </c>
      <c r="I525" s="28">
        <v>1.877092337429757E-3</v>
      </c>
      <c r="J525" s="28">
        <v>1.9053202403634976E-3</v>
      </c>
      <c r="K525" s="28">
        <v>-1.1634671320534559E-3</v>
      </c>
      <c r="L525" s="28">
        <v>1.0441191630262758E-2</v>
      </c>
      <c r="M525" s="28">
        <v>-6.9120990573971744E-3</v>
      </c>
      <c r="N525" s="28">
        <v>1.3174181841484826E-2</v>
      </c>
    </row>
    <row r="526" spans="1:14">
      <c r="A526" s="4">
        <v>41299</v>
      </c>
      <c r="B526" s="28">
        <v>1.2506213484522213E-2</v>
      </c>
      <c r="C526" s="28">
        <v>-3.8489295164782235E-3</v>
      </c>
      <c r="D526" s="28">
        <v>6.8984700973574913E-3</v>
      </c>
      <c r="E526" s="28">
        <v>2.5985723142919467E-2</v>
      </c>
      <c r="F526" s="28">
        <v>1.5348726920833776E-3</v>
      </c>
      <c r="G526" s="28">
        <v>7.8622774056526703E-3</v>
      </c>
      <c r="H526" s="28">
        <v>1.5253530668612215E-2</v>
      </c>
      <c r="I526" s="28">
        <v>2.1467148944604154E-2</v>
      </c>
      <c r="J526" s="28">
        <v>2.0964860952850252E-2</v>
      </c>
      <c r="K526" s="28">
        <v>6.6824019863285598E-3</v>
      </c>
      <c r="L526" s="28">
        <v>2.6089582264210427E-3</v>
      </c>
      <c r="M526" s="28">
        <v>2.0822543719113459E-2</v>
      </c>
      <c r="N526" s="28">
        <v>1.5346460493683742E-3</v>
      </c>
    </row>
    <row r="527" spans="1:14">
      <c r="A527" s="4">
        <v>41306</v>
      </c>
      <c r="B527" s="28">
        <v>8.0542451991148407E-3</v>
      </c>
      <c r="C527" s="28">
        <v>-1.9050685556359964E-3</v>
      </c>
      <c r="D527" s="28">
        <v>-5.5251671363058729E-3</v>
      </c>
      <c r="E527" s="28">
        <v>5.5530376340792815E-3</v>
      </c>
      <c r="F527" s="28">
        <v>6.1908707851687558E-3</v>
      </c>
      <c r="G527" s="28">
        <v>5.3532713310234575E-3</v>
      </c>
      <c r="H527" s="28">
        <v>5.1227562276392807E-3</v>
      </c>
      <c r="I527" s="28">
        <v>1.591055165472163E-2</v>
      </c>
      <c r="J527" s="28">
        <v>7.1640260318086191E-4</v>
      </c>
      <c r="K527" s="28">
        <v>1.4228729767233484E-2</v>
      </c>
      <c r="L527" s="28">
        <v>-1.0574348716249486E-2</v>
      </c>
      <c r="M527" s="28">
        <v>1.1242028401412975E-2</v>
      </c>
      <c r="N527" s="28">
        <v>1.0672880048927105E-2</v>
      </c>
    </row>
    <row r="528" spans="1:14">
      <c r="A528" s="4">
        <v>41313</v>
      </c>
      <c r="B528" s="28">
        <v>-4.4819627467725699E-3</v>
      </c>
      <c r="C528" s="28">
        <v>-2.9571482337760703E-3</v>
      </c>
      <c r="D528" s="28">
        <v>-3.7224290238347456E-3</v>
      </c>
      <c r="E528" s="28">
        <v>-1.8873517385319432E-2</v>
      </c>
      <c r="F528" s="28">
        <v>6.607481271383611E-3</v>
      </c>
      <c r="G528" s="28">
        <v>-6.2881420152688617E-3</v>
      </c>
      <c r="H528" s="28">
        <v>-4.3970073794143078E-3</v>
      </c>
      <c r="I528" s="28">
        <v>-1.421102264452744E-2</v>
      </c>
      <c r="J528" s="28">
        <v>7.9878223387740265E-3</v>
      </c>
      <c r="K528" s="28">
        <v>1.1035435198449128E-2</v>
      </c>
      <c r="L528" s="28">
        <v>-7.9328329360887576E-3</v>
      </c>
      <c r="M528" s="28">
        <v>-1.8717530336277908E-2</v>
      </c>
      <c r="N528" s="28">
        <v>2.5356253720397268E-3</v>
      </c>
    </row>
    <row r="529" spans="1:14">
      <c r="A529" s="4">
        <v>41320</v>
      </c>
      <c r="B529" s="28">
        <v>-2.4956751084767746E-3</v>
      </c>
      <c r="C529" s="28">
        <v>-5.9318377911985127E-4</v>
      </c>
      <c r="D529" s="28">
        <v>-2.8440776265892869E-3</v>
      </c>
      <c r="E529" s="28">
        <v>-5.396837221622099E-3</v>
      </c>
      <c r="F529" s="28">
        <v>-1.3377767950216354E-2</v>
      </c>
      <c r="G529" s="28">
        <v>-1.9673381306638503E-3</v>
      </c>
      <c r="H529" s="28">
        <v>-1.0253700873026463E-2</v>
      </c>
      <c r="I529" s="28">
        <v>9.0818272635683527E-6</v>
      </c>
      <c r="J529" s="28">
        <v>-1.5759333742019356E-2</v>
      </c>
      <c r="K529" s="28">
        <v>-1.1572512736975512E-2</v>
      </c>
      <c r="L529" s="28">
        <v>-1.9284284706659389E-2</v>
      </c>
      <c r="M529" s="28">
        <v>4.395940444563716E-4</v>
      </c>
      <c r="N529" s="28">
        <v>-7.9681666983774865E-3</v>
      </c>
    </row>
    <row r="530" spans="1:14">
      <c r="A530" s="4">
        <v>41327</v>
      </c>
      <c r="B530" s="28">
        <v>-3.4614619168112743E-3</v>
      </c>
      <c r="C530" s="28">
        <v>5.3957804996443662E-5</v>
      </c>
      <c r="D530" s="28">
        <v>3.3555170292490504E-4</v>
      </c>
      <c r="E530" s="28">
        <v>1.1979910036243477E-2</v>
      </c>
      <c r="F530" s="28">
        <v>1.1430035058511419E-3</v>
      </c>
      <c r="G530" s="28">
        <v>5.3080584130287007E-3</v>
      </c>
      <c r="H530" s="28">
        <v>1.3697494234407019E-2</v>
      </c>
      <c r="I530" s="28">
        <v>2.6881964563032182E-3</v>
      </c>
      <c r="J530" s="28">
        <v>7.9032919622647035E-3</v>
      </c>
      <c r="K530" s="28">
        <v>-1.9064132221473573E-2</v>
      </c>
      <c r="L530" s="28">
        <v>1.1457925547652251E-2</v>
      </c>
      <c r="M530" s="28">
        <v>-1.0512188598502319E-2</v>
      </c>
      <c r="N530" s="28">
        <v>-1.7195255432212063E-4</v>
      </c>
    </row>
    <row r="531" spans="1:14">
      <c r="A531" s="4">
        <v>41334</v>
      </c>
      <c r="B531" s="28">
        <v>-2.1397239756068223E-4</v>
      </c>
      <c r="C531" s="28">
        <v>3.965684687601086E-3</v>
      </c>
      <c r="D531" s="28">
        <v>1.4032537597137535E-2</v>
      </c>
      <c r="E531" s="28">
        <v>-1.8758377947187019E-2</v>
      </c>
      <c r="F531" s="28">
        <v>8.1965640310593512E-3</v>
      </c>
      <c r="G531" s="28">
        <v>8.7731001386716946E-3</v>
      </c>
      <c r="H531" s="28">
        <v>2.5204756694854058E-3</v>
      </c>
      <c r="I531" s="28">
        <v>1.4854130625775758E-3</v>
      </c>
      <c r="J531" s="28">
        <v>-2.0648934206014638E-3</v>
      </c>
      <c r="K531" s="28">
        <v>-7.3415849598138785E-3</v>
      </c>
      <c r="L531" s="28">
        <v>1.6081310872083743E-2</v>
      </c>
      <c r="M531" s="28">
        <v>-1.6459514902859858E-2</v>
      </c>
      <c r="N531" s="28">
        <v>8.8306207562570665E-4</v>
      </c>
    </row>
    <row r="532" spans="1:14">
      <c r="A532" s="4">
        <v>41341</v>
      </c>
      <c r="B532" s="28">
        <v>1.9240235420010722E-2</v>
      </c>
      <c r="C532" s="28">
        <v>-7.8731694209322866E-3</v>
      </c>
      <c r="D532" s="28">
        <v>6.836475906935765E-3</v>
      </c>
      <c r="E532" s="28">
        <v>7.3082016124977178E-3</v>
      </c>
      <c r="F532" s="28">
        <v>1.1552552695436905E-2</v>
      </c>
      <c r="G532" s="28">
        <v>1.356620991756069E-2</v>
      </c>
      <c r="H532" s="28">
        <v>4.5438087418595728E-3</v>
      </c>
      <c r="I532" s="28">
        <v>7.2653167045005499E-3</v>
      </c>
      <c r="J532" s="28">
        <v>-3.7456436125826715E-3</v>
      </c>
      <c r="K532" s="28">
        <v>1.4183521903360011E-2</v>
      </c>
      <c r="L532" s="28">
        <v>9.36727964358431E-3</v>
      </c>
      <c r="M532" s="28">
        <v>7.3368831742447512E-3</v>
      </c>
      <c r="N532" s="28">
        <v>1.6271016178492203E-2</v>
      </c>
    </row>
    <row r="533" spans="1:14">
      <c r="A533" s="4">
        <v>41348</v>
      </c>
      <c r="B533" s="28">
        <v>1.1030852791309697E-2</v>
      </c>
      <c r="C533" s="28">
        <v>8.1252369860713698E-5</v>
      </c>
      <c r="D533" s="28">
        <v>5.5306100098564829E-3</v>
      </c>
      <c r="E533" s="28">
        <v>4.7383309759546849E-3</v>
      </c>
      <c r="F533" s="28">
        <v>3.1797100631239328E-3</v>
      </c>
      <c r="G533" s="28">
        <v>1.3471621418573268E-2</v>
      </c>
      <c r="H533" s="28">
        <v>1.155435522027393E-2</v>
      </c>
      <c r="I533" s="28">
        <v>-1.4318080467372837E-2</v>
      </c>
      <c r="J533" s="28">
        <v>-7.8529765130812713E-3</v>
      </c>
      <c r="K533" s="28">
        <v>1.6462336104580012E-2</v>
      </c>
      <c r="L533" s="28">
        <v>-1.6067537010789723E-2</v>
      </c>
      <c r="M533" s="28">
        <v>4.4528890188053555E-3</v>
      </c>
      <c r="N533" s="28">
        <v>6.7371597279123254E-3</v>
      </c>
    </row>
    <row r="534" spans="1:14">
      <c r="A534" s="4">
        <v>41355</v>
      </c>
      <c r="B534" s="28">
        <v>-8.4113314133806572E-3</v>
      </c>
      <c r="C534" s="28">
        <v>4.2789438050101127E-3</v>
      </c>
      <c r="D534" s="28">
        <v>-1.0782551870609322E-2</v>
      </c>
      <c r="E534" s="28">
        <v>1.2375837925794605E-2</v>
      </c>
      <c r="F534" s="28">
        <v>1.2803560990400467E-2</v>
      </c>
      <c r="G534" s="28">
        <v>1.012449816432502E-2</v>
      </c>
      <c r="H534" s="28">
        <v>1.048891387045945E-2</v>
      </c>
      <c r="I534" s="28">
        <v>4.7944519173252981E-3</v>
      </c>
      <c r="J534" s="28">
        <v>1.4936377145432909E-2</v>
      </c>
      <c r="K534" s="28">
        <v>-2.2147257887287714E-3</v>
      </c>
      <c r="L534" s="28">
        <v>9.2497521551442672E-3</v>
      </c>
      <c r="M534" s="28">
        <v>6.198647744138544E-3</v>
      </c>
      <c r="N534" s="28">
        <v>1.6074542988179053E-2</v>
      </c>
    </row>
    <row r="535" spans="1:14">
      <c r="A535" s="4">
        <v>41362</v>
      </c>
      <c r="B535" s="28">
        <v>1.5219956294988332E-3</v>
      </c>
      <c r="C535" s="28">
        <v>2.426988107758364E-3</v>
      </c>
      <c r="D535" s="28">
        <v>1.2496559317368466E-2</v>
      </c>
      <c r="E535" s="28">
        <v>-1.1774665859603762E-2</v>
      </c>
      <c r="F535" s="28">
        <v>1.5255843237954684E-2</v>
      </c>
      <c r="G535" s="28">
        <v>1.2653338689243974E-2</v>
      </c>
      <c r="H535" s="28">
        <v>1.3156326360331372E-2</v>
      </c>
      <c r="I535" s="28">
        <v>1.544189194906302E-2</v>
      </c>
      <c r="J535" s="28">
        <v>1.4810660664616601E-2</v>
      </c>
      <c r="K535" s="28">
        <v>-9.3756293626886412E-3</v>
      </c>
      <c r="L535" s="28">
        <v>-5.2569457944176201E-3</v>
      </c>
      <c r="M535" s="28">
        <v>-2.351869348090159E-2</v>
      </c>
      <c r="N535" s="28">
        <v>1.459963063856308E-2</v>
      </c>
    </row>
    <row r="536" spans="1:14">
      <c r="A536" s="4">
        <v>41369</v>
      </c>
      <c r="B536" s="28">
        <v>-1.0735373054213697E-2</v>
      </c>
      <c r="C536" s="28">
        <v>5.7030640518656132E-3</v>
      </c>
      <c r="D536" s="28">
        <v>2.8545019573727709E-2</v>
      </c>
      <c r="E536" s="28">
        <v>9.9946612368548848E-3</v>
      </c>
      <c r="F536" s="28">
        <v>-6.9189846481228813E-3</v>
      </c>
      <c r="G536" s="28">
        <v>-1.7343046761766821E-2</v>
      </c>
      <c r="H536" s="28">
        <v>1.7764967131869591E-2</v>
      </c>
      <c r="I536" s="28">
        <v>1.106455414429745E-2</v>
      </c>
      <c r="J536" s="28">
        <v>-1.9879683408622712E-3</v>
      </c>
      <c r="K536" s="28">
        <v>-2.5979418901908854E-2</v>
      </c>
      <c r="L536" s="28">
        <v>1.1300867120339489E-2</v>
      </c>
      <c r="M536" s="28">
        <v>-5.9830283404008026E-3</v>
      </c>
      <c r="N536" s="28">
        <v>-1.763526426266486E-2</v>
      </c>
    </row>
    <row r="537" spans="1:14">
      <c r="A537" s="4">
        <v>41376</v>
      </c>
      <c r="B537" s="28">
        <v>2.6375686169500649E-2</v>
      </c>
      <c r="C537" s="28">
        <v>-2.006152200080246E-3</v>
      </c>
      <c r="D537" s="28">
        <v>3.0924565205899576E-2</v>
      </c>
      <c r="E537" s="28">
        <v>2.5720771664126132E-2</v>
      </c>
      <c r="F537" s="28">
        <v>2.3953543900034898E-2</v>
      </c>
      <c r="G537" s="28">
        <v>3.0411476790628496E-2</v>
      </c>
      <c r="H537" s="28">
        <v>1.7681255749659251E-2</v>
      </c>
      <c r="I537" s="28">
        <v>1.3571903716305749E-2</v>
      </c>
      <c r="J537" s="28">
        <v>2.3308533331351241E-2</v>
      </c>
      <c r="K537" s="28">
        <v>3.9333502089467468E-2</v>
      </c>
      <c r="L537" s="28">
        <v>2.9753273413653254E-2</v>
      </c>
      <c r="M537" s="28">
        <v>3.6739984406116505E-2</v>
      </c>
      <c r="N537" s="28">
        <v>2.6042779554855306E-2</v>
      </c>
    </row>
    <row r="538" spans="1:14">
      <c r="A538" s="4">
        <v>41383</v>
      </c>
      <c r="B538" s="28">
        <v>-2.3542092905103854E-2</v>
      </c>
      <c r="C538" s="28">
        <v>2.6802465826846925E-4</v>
      </c>
      <c r="D538" s="28">
        <v>-5.435339965131793E-3</v>
      </c>
      <c r="E538" s="28">
        <v>-8.8366537366021593E-3</v>
      </c>
      <c r="F538" s="28">
        <v>7.1450138864401018E-4</v>
      </c>
      <c r="G538" s="28">
        <v>-1.0200852833486495E-2</v>
      </c>
      <c r="H538" s="28">
        <v>1.0885409764686698E-4</v>
      </c>
      <c r="I538" s="28">
        <v>-2.1457382890430664E-2</v>
      </c>
      <c r="J538" s="28">
        <v>8.2656033236732616E-3</v>
      </c>
      <c r="K538" s="28">
        <v>-1.641214524385359E-2</v>
      </c>
      <c r="L538" s="28">
        <v>-2.1269372899443886E-3</v>
      </c>
      <c r="M538" s="28">
        <v>-1.0936055451501456E-2</v>
      </c>
      <c r="N538" s="28">
        <v>-3.3320175179577093E-3</v>
      </c>
    </row>
    <row r="539" spans="1:14">
      <c r="A539" s="4">
        <v>41390</v>
      </c>
      <c r="B539" s="28">
        <v>2.4995605554578981E-2</v>
      </c>
      <c r="C539" s="28">
        <v>3.8853161843515238E-3</v>
      </c>
      <c r="D539" s="28">
        <v>5.5166013611053473E-3</v>
      </c>
      <c r="E539" s="28">
        <v>2.1204390006005294E-2</v>
      </c>
      <c r="F539" s="28">
        <v>1.0423077152877734E-2</v>
      </c>
      <c r="G539" s="28">
        <v>1.9603440401887738E-2</v>
      </c>
      <c r="H539" s="28">
        <v>1.7585121737690109E-2</v>
      </c>
      <c r="I539" s="28">
        <v>-1.4363381686093904E-3</v>
      </c>
      <c r="J539" s="28">
        <v>-9.8583026574556223E-3</v>
      </c>
      <c r="K539" s="28">
        <v>1.7745978374668372E-2</v>
      </c>
      <c r="L539" s="28">
        <v>2.3679627917927788E-2</v>
      </c>
      <c r="M539" s="28">
        <v>2.9930839419593427E-2</v>
      </c>
      <c r="N539" s="28">
        <v>9.1437838174984656E-3</v>
      </c>
    </row>
    <row r="540" spans="1:14">
      <c r="A540" s="4">
        <v>41397</v>
      </c>
      <c r="B540" s="28">
        <v>1.6915900672245906E-2</v>
      </c>
      <c r="C540" s="28">
        <v>-2.0552515681302066E-3</v>
      </c>
      <c r="D540" s="28">
        <v>9.9471876121622199E-3</v>
      </c>
      <c r="E540" s="28">
        <v>2.1202194419228899E-2</v>
      </c>
      <c r="F540" s="28">
        <v>5.6263988386498417E-3</v>
      </c>
      <c r="G540" s="28">
        <v>1.0342987036739826E-2</v>
      </c>
      <c r="H540" s="28">
        <v>1.3872418395487128E-2</v>
      </c>
      <c r="I540" s="28">
        <v>2.3882264832800273E-2</v>
      </c>
      <c r="J540" s="28">
        <v>8.9160667449991165E-3</v>
      </c>
      <c r="K540" s="28">
        <v>-1.7022511716849258E-2</v>
      </c>
      <c r="L540" s="28">
        <v>7.5660635711116801E-3</v>
      </c>
      <c r="M540" s="28">
        <v>2.116093597171018E-2</v>
      </c>
      <c r="N540" s="28">
        <v>7.8309697237528529E-3</v>
      </c>
    </row>
    <row r="541" spans="1:14">
      <c r="A541" s="4">
        <v>41404</v>
      </c>
      <c r="B541" s="28">
        <v>9.0255386317336598E-3</v>
      </c>
      <c r="C541" s="28">
        <v>-9.682250989622351E-3</v>
      </c>
      <c r="D541" s="28">
        <v>-2.8938417017819627E-3</v>
      </c>
      <c r="E541" s="28">
        <v>-1.0666996467523598E-2</v>
      </c>
      <c r="F541" s="28">
        <v>-5.2920941992767468E-3</v>
      </c>
      <c r="G541" s="28">
        <v>2.6747253234421873E-3</v>
      </c>
      <c r="H541" s="28">
        <v>-2.1764657315585155E-2</v>
      </c>
      <c r="I541" s="28">
        <v>-6.3276442586786621E-3</v>
      </c>
      <c r="J541" s="28">
        <v>-1.3668748287350136E-2</v>
      </c>
      <c r="K541" s="28">
        <v>2.0973555082721668E-2</v>
      </c>
      <c r="L541" s="28">
        <v>-7.3646441945391392E-3</v>
      </c>
      <c r="M541" s="28">
        <v>1.7204221849730209E-2</v>
      </c>
      <c r="N541" s="28">
        <v>-6.4699911995858201E-4</v>
      </c>
    </row>
    <row r="542" spans="1:14">
      <c r="A542" s="4">
        <v>41411</v>
      </c>
      <c r="B542" s="28">
        <v>1.1458444753449634E-2</v>
      </c>
      <c r="C542" s="28">
        <v>-4.8884567601145202E-3</v>
      </c>
      <c r="D542" s="28">
        <v>2.3930753564154728E-3</v>
      </c>
      <c r="E542" s="28">
        <v>-1.421974982616093E-3</v>
      </c>
      <c r="F542" s="28">
        <v>1.0808973487423434E-2</v>
      </c>
      <c r="G542" s="28">
        <v>-2.4023050337870135E-3</v>
      </c>
      <c r="H542" s="28">
        <v>8.5338234811442994E-4</v>
      </c>
      <c r="I542" s="28">
        <v>-1.4815680317812776E-2</v>
      </c>
      <c r="J542" s="28">
        <v>2.7460456138939923E-2</v>
      </c>
      <c r="K542" s="28">
        <v>-7.3579448792106933E-4</v>
      </c>
      <c r="L542" s="28">
        <v>5.4567892933899906E-4</v>
      </c>
      <c r="M542" s="28">
        <v>-1.5695452981547574E-2</v>
      </c>
      <c r="N542" s="28">
        <v>1.0966217667454278E-2</v>
      </c>
    </row>
    <row r="543" spans="1:14">
      <c r="A543" s="4">
        <v>41418</v>
      </c>
      <c r="B543" s="28">
        <v>-1.3377572737247028E-2</v>
      </c>
      <c r="C543" s="28">
        <v>-2.4426652191606731E-4</v>
      </c>
      <c r="D543" s="28">
        <v>-4.3937623812668289E-2</v>
      </c>
      <c r="E543" s="28">
        <v>-2.4998239560593827E-3</v>
      </c>
      <c r="F543" s="28">
        <v>-2.1606084441806232E-2</v>
      </c>
      <c r="G543" s="28">
        <v>-2.5399440082140977E-2</v>
      </c>
      <c r="H543" s="28">
        <v>-1.6237918772926952E-2</v>
      </c>
      <c r="I543" s="28">
        <v>-1.1948954540601971E-3</v>
      </c>
      <c r="J543" s="28">
        <v>5.5039865655763529E-3</v>
      </c>
      <c r="K543" s="28">
        <v>-1.1760099086176737E-2</v>
      </c>
      <c r="L543" s="28">
        <v>-2.9015260451234905E-2</v>
      </c>
      <c r="M543" s="28">
        <v>-3.4802805565137436E-2</v>
      </c>
      <c r="N543" s="28">
        <v>-1.5636571123332235E-2</v>
      </c>
    </row>
    <row r="544" spans="1:14">
      <c r="A544" s="4">
        <v>41425</v>
      </c>
      <c r="B544" s="28">
        <v>-1.3940806838431304E-2</v>
      </c>
      <c r="C544" s="28">
        <v>-5.3480291019655426E-3</v>
      </c>
      <c r="D544" s="28">
        <v>-4.3512910423971936E-2</v>
      </c>
      <c r="E544" s="28">
        <v>-2.3092097780601582E-2</v>
      </c>
      <c r="F544" s="28">
        <v>-3.6963759496470343E-2</v>
      </c>
      <c r="G544" s="28">
        <v>-2.3143358458675885E-2</v>
      </c>
      <c r="H544" s="28">
        <v>-3.3959568540610018E-2</v>
      </c>
      <c r="I544" s="28">
        <v>-1.0149466403455406E-2</v>
      </c>
      <c r="J544" s="28">
        <v>-3.2054094601862489E-2</v>
      </c>
      <c r="K544" s="28">
        <v>-3.1440581607691234E-4</v>
      </c>
      <c r="L544" s="28">
        <v>-3.4688667081573317E-2</v>
      </c>
      <c r="M544" s="28">
        <v>9.1156877507648556E-3</v>
      </c>
      <c r="N544" s="28">
        <v>-3.7507862313925264E-2</v>
      </c>
    </row>
    <row r="545" spans="1:14">
      <c r="A545" s="4">
        <v>41432</v>
      </c>
      <c r="B545" s="28">
        <v>-1.1617400283981142E-3</v>
      </c>
      <c r="C545" s="28">
        <v>4.1212915199650398E-3</v>
      </c>
      <c r="D545" s="28">
        <v>-1.0831528078653495E-2</v>
      </c>
      <c r="E545" s="28">
        <v>-1.5295614855614797E-3</v>
      </c>
      <c r="F545" s="28">
        <v>3.6930143065499793E-4</v>
      </c>
      <c r="G545" s="28">
        <v>-3.1834581215812528E-2</v>
      </c>
      <c r="H545" s="28">
        <v>-2.42046003529625E-3</v>
      </c>
      <c r="I545" s="28">
        <v>-1.2997606808898636E-2</v>
      </c>
      <c r="J545" s="28">
        <v>5.7867281773085416E-3</v>
      </c>
      <c r="K545" s="28">
        <v>-7.0268104484492097E-3</v>
      </c>
      <c r="L545" s="28">
        <v>2.3097867733277693E-3</v>
      </c>
      <c r="M545" s="28">
        <v>-1.0671905029489358E-2</v>
      </c>
      <c r="N545" s="28">
        <v>-8.6396063645421371E-3</v>
      </c>
    </row>
    <row r="546" spans="1:14">
      <c r="A546" s="4">
        <v>41439</v>
      </c>
      <c r="B546" s="28">
        <v>-4.3462883105930402E-3</v>
      </c>
      <c r="C546" s="28">
        <v>6.1701549334059226E-3</v>
      </c>
      <c r="D546" s="28">
        <v>-6.176999101527531E-3</v>
      </c>
      <c r="E546" s="28">
        <v>-3.453821720075466E-3</v>
      </c>
      <c r="F546" s="28">
        <v>4.0484071611825018E-3</v>
      </c>
      <c r="G546" s="28">
        <v>3.6864291324072092E-4</v>
      </c>
      <c r="H546" s="28">
        <v>1.4083602239539387E-3</v>
      </c>
      <c r="I546" s="28">
        <v>3.3575196285763457E-3</v>
      </c>
      <c r="J546" s="28">
        <v>-3.2379879334157209E-2</v>
      </c>
      <c r="K546" s="28">
        <v>-1.5797466157584306E-2</v>
      </c>
      <c r="L546" s="28">
        <v>-8.6290409107143678E-3</v>
      </c>
      <c r="M546" s="28">
        <v>4.2718520745926554E-3</v>
      </c>
      <c r="N546" s="28">
        <v>7.593627815297121E-3</v>
      </c>
    </row>
    <row r="547" spans="1:14">
      <c r="A547" s="4">
        <v>41446</v>
      </c>
      <c r="B547" s="28">
        <v>-2.9129065533565972E-2</v>
      </c>
      <c r="C547" s="28">
        <v>-2.2503174217251641E-2</v>
      </c>
      <c r="D547" s="28">
        <v>-5.1587750028251757E-2</v>
      </c>
      <c r="E547" s="28">
        <v>-5.2200717366482324E-2</v>
      </c>
      <c r="F547" s="28">
        <v>-4.0064389749547381E-2</v>
      </c>
      <c r="G547" s="28">
        <v>-3.2889255615727295E-2</v>
      </c>
      <c r="H547" s="28">
        <v>-3.340274762149148E-2</v>
      </c>
      <c r="I547" s="28">
        <v>-3.7124072958085182E-2</v>
      </c>
      <c r="J547" s="28">
        <v>-8.5880306951481938E-2</v>
      </c>
      <c r="K547" s="28">
        <v>-4.2073893818964141E-2</v>
      </c>
      <c r="L547" s="28">
        <v>-5.0199958068670024E-2</v>
      </c>
      <c r="M547" s="28">
        <v>-7.8842808665152073E-2</v>
      </c>
      <c r="N547" s="28">
        <v>-3.7082291065358111E-2</v>
      </c>
    </row>
    <row r="548" spans="1:14">
      <c r="A548" s="4">
        <v>41453</v>
      </c>
      <c r="B548" s="28">
        <v>8.696937073860567E-3</v>
      </c>
      <c r="C548" s="28">
        <v>-2.7636524430678171E-4</v>
      </c>
      <c r="D548" s="28">
        <v>3.9261245159368505E-2</v>
      </c>
      <c r="E548" s="28">
        <v>1.265574914968521E-2</v>
      </c>
      <c r="F548" s="28">
        <v>2.329997714741857E-2</v>
      </c>
      <c r="G548" s="28">
        <v>1.3854086852078227E-2</v>
      </c>
      <c r="H548" s="28">
        <v>2.0058301298250432E-2</v>
      </c>
      <c r="I548" s="28">
        <v>3.9835449965089684E-2</v>
      </c>
      <c r="J548" s="28">
        <v>3.5637535080762804E-2</v>
      </c>
      <c r="K548" s="28">
        <v>8.4769552911940337E-3</v>
      </c>
      <c r="L548" s="28">
        <v>2.5943006744334082E-2</v>
      </c>
      <c r="M548" s="28">
        <v>2.7035812132062648E-2</v>
      </c>
      <c r="N548" s="28">
        <v>1.5739849528903494E-2</v>
      </c>
    </row>
    <row r="549" spans="1:14">
      <c r="A549" s="4">
        <v>41460</v>
      </c>
      <c r="B549" s="28">
        <v>1.0812319068047853E-2</v>
      </c>
      <c r="C549" s="28">
        <v>-1.1582904848786414E-2</v>
      </c>
      <c r="D549" s="28">
        <v>5.6753038293969795E-3</v>
      </c>
      <c r="E549" s="28">
        <v>-7.9870189922904237E-3</v>
      </c>
      <c r="F549" s="28">
        <v>-4.5859728364463365E-3</v>
      </c>
      <c r="G549" s="28">
        <v>5.7682094856815599E-3</v>
      </c>
      <c r="H549" s="28">
        <v>-1.8262532030749526E-2</v>
      </c>
      <c r="I549" s="28">
        <v>-9.0132597754548158E-3</v>
      </c>
      <c r="J549" s="28">
        <v>-6.2886843358196751E-3</v>
      </c>
      <c r="K549" s="28">
        <v>-8.1684060656119651E-3</v>
      </c>
      <c r="L549" s="28">
        <v>-9.0563992778059932E-3</v>
      </c>
      <c r="M549" s="28">
        <v>-1.0328699819649621E-2</v>
      </c>
      <c r="N549" s="28">
        <v>2.9444264106524031E-3</v>
      </c>
    </row>
    <row r="550" spans="1:14">
      <c r="A550" s="4">
        <v>41467</v>
      </c>
      <c r="B550" s="28">
        <v>3.3994686173700002E-2</v>
      </c>
      <c r="C550" s="28">
        <v>1.1355055237029793E-2</v>
      </c>
      <c r="D550" s="28">
        <v>2.576526249786229E-2</v>
      </c>
      <c r="E550" s="28">
        <v>1.7577313908452203E-2</v>
      </c>
      <c r="F550" s="28">
        <v>4.7341279371058108E-2</v>
      </c>
      <c r="G550" s="28">
        <v>2.4240257999528777E-2</v>
      </c>
      <c r="H550" s="28">
        <v>2.8344353305226954E-2</v>
      </c>
      <c r="I550" s="28">
        <v>3.7827642197018729E-2</v>
      </c>
      <c r="J550" s="28">
        <v>3.5714998702361625E-2</v>
      </c>
      <c r="K550" s="28">
        <v>2.3980087141759653E-2</v>
      </c>
      <c r="L550" s="28">
        <v>6.701929626408995E-2</v>
      </c>
      <c r="M550" s="28">
        <v>1.5801950243907448E-2</v>
      </c>
      <c r="N550" s="28">
        <v>3.7795744096560467E-2</v>
      </c>
    </row>
    <row r="551" spans="1:14">
      <c r="A551" s="4">
        <v>41474</v>
      </c>
      <c r="B551" s="28">
        <v>1.0151437286008928E-2</v>
      </c>
      <c r="C551" s="28">
        <v>5.7243992146234707E-3</v>
      </c>
      <c r="D551" s="28">
        <v>3.9455404278966825E-3</v>
      </c>
      <c r="E551" s="28">
        <v>2.6526855838823245E-2</v>
      </c>
      <c r="F551" s="28">
        <v>3.9825011313923122E-3</v>
      </c>
      <c r="G551" s="28">
        <v>-3.8981639370265805E-3</v>
      </c>
      <c r="H551" s="28">
        <v>2.3517863959270101E-2</v>
      </c>
      <c r="I551" s="28">
        <v>2.2003423146824682E-2</v>
      </c>
      <c r="J551" s="28">
        <v>2.9059367771781076E-2</v>
      </c>
      <c r="K551" s="28">
        <v>8.8965173279895128E-4</v>
      </c>
      <c r="L551" s="28">
        <v>-2.1070573710472038E-2</v>
      </c>
      <c r="M551" s="28">
        <v>2.9293302817394142E-2</v>
      </c>
      <c r="N551" s="28">
        <v>4.3441006546077595E-3</v>
      </c>
    </row>
    <row r="552" spans="1:14">
      <c r="A552" s="4">
        <v>41481</v>
      </c>
      <c r="B552" s="28">
        <v>1.7773138115122725E-3</v>
      </c>
      <c r="C552" s="28">
        <v>2.0897492300923637E-3</v>
      </c>
      <c r="D552" s="28">
        <v>-6.7530167164839968E-3</v>
      </c>
      <c r="E552" s="28">
        <v>2.5192288968941827E-3</v>
      </c>
      <c r="F552" s="28">
        <v>-2.8067433963397215E-3</v>
      </c>
      <c r="G552" s="28">
        <v>1.0366778535513368E-2</v>
      </c>
      <c r="H552" s="28">
        <v>-3.7779166242862794E-3</v>
      </c>
      <c r="I552" s="28">
        <v>1.8375920810313112E-2</v>
      </c>
      <c r="J552" s="28">
        <v>6.7843469270016526E-3</v>
      </c>
      <c r="K552" s="28">
        <v>5.6608770992604817E-3</v>
      </c>
      <c r="L552" s="28">
        <v>-2.7493079817950017E-2</v>
      </c>
      <c r="M552" s="28">
        <v>2.7799355264690913E-2</v>
      </c>
      <c r="N552" s="28">
        <v>3.4627580993723634E-3</v>
      </c>
    </row>
    <row r="553" spans="1:14">
      <c r="A553" s="4">
        <v>41488</v>
      </c>
      <c r="B553" s="28">
        <v>1.1634272297372971E-2</v>
      </c>
      <c r="C553" s="28">
        <v>-1.2622105147623191E-3</v>
      </c>
      <c r="D553" s="28">
        <v>-1.5046812304948667E-2</v>
      </c>
      <c r="E553" s="28">
        <v>1.4150733434496632E-2</v>
      </c>
      <c r="F553" s="28">
        <v>-8.3173615882550962E-4</v>
      </c>
      <c r="G553" s="28">
        <v>-6.4895918294974216E-3</v>
      </c>
      <c r="H553" s="28">
        <v>1.0759275195324897E-2</v>
      </c>
      <c r="I553" s="28">
        <v>1.3975462410922684E-2</v>
      </c>
      <c r="J553" s="28">
        <v>-3.2632679563458777E-3</v>
      </c>
      <c r="K553" s="28">
        <v>-6.9012311510682342E-3</v>
      </c>
      <c r="L553" s="28">
        <v>-3.3134125969696795E-2</v>
      </c>
      <c r="M553" s="28">
        <v>4.3787966103296053E-3</v>
      </c>
      <c r="N553" s="28">
        <v>6.5577869813237535E-3</v>
      </c>
    </row>
    <row r="554" spans="1:14">
      <c r="A554" s="4">
        <v>41495</v>
      </c>
      <c r="B554" s="28">
        <v>-4.5310819180492349E-3</v>
      </c>
      <c r="C554" s="28">
        <v>5.4673333699654077E-3</v>
      </c>
      <c r="D554" s="28">
        <v>-2.8290143713936497E-4</v>
      </c>
      <c r="E554" s="28">
        <v>4.2853380788598914E-3</v>
      </c>
      <c r="F554" s="28">
        <v>-1.6159971045964509E-2</v>
      </c>
      <c r="G554" s="28">
        <v>-9.6492480487340281E-3</v>
      </c>
      <c r="H554" s="28">
        <v>-8.4128602762921049E-3</v>
      </c>
      <c r="I554" s="28">
        <v>1.6430171769977606E-2</v>
      </c>
      <c r="J554" s="28">
        <v>-5.9730020308206913E-3</v>
      </c>
      <c r="K554" s="28">
        <v>-1.7835952389514114E-2</v>
      </c>
      <c r="L554" s="28">
        <v>-2.0177084234915588E-4</v>
      </c>
      <c r="M554" s="28">
        <v>1.0868696179730953E-2</v>
      </c>
      <c r="N554" s="28">
        <v>-1.8601155818062712E-2</v>
      </c>
    </row>
    <row r="555" spans="1:14">
      <c r="A555" s="4">
        <v>41502</v>
      </c>
      <c r="B555" s="28">
        <v>-1.1854083437029364E-2</v>
      </c>
      <c r="C555" s="28">
        <v>-1.1858895537885706E-2</v>
      </c>
      <c r="D555" s="28">
        <v>-3.718376818156089E-2</v>
      </c>
      <c r="E555" s="28">
        <v>-1.7171508486428174E-2</v>
      </c>
      <c r="F555" s="28">
        <v>-2.8516072862827323E-2</v>
      </c>
      <c r="G555" s="28">
        <v>2.138472073717093E-3</v>
      </c>
      <c r="H555" s="28">
        <v>-4.12666689304233E-2</v>
      </c>
      <c r="I555" s="28">
        <v>-2.832092293857657E-3</v>
      </c>
      <c r="J555" s="28">
        <v>-3.8475694027160133E-2</v>
      </c>
      <c r="K555" s="28">
        <v>-5.8580163292193518E-4</v>
      </c>
      <c r="L555" s="28">
        <v>-1.4240397271022363E-2</v>
      </c>
      <c r="M555" s="28">
        <v>-6.6809342141993704E-3</v>
      </c>
      <c r="N555" s="28">
        <v>-1.7748146554315575E-2</v>
      </c>
    </row>
    <row r="556" spans="1:14">
      <c r="A556" s="4">
        <v>41509</v>
      </c>
      <c r="B556" s="28">
        <v>-2.0546129374333604E-4</v>
      </c>
      <c r="C556" s="28">
        <v>-3.0417830379120552E-4</v>
      </c>
      <c r="D556" s="28">
        <v>1.4695509052433575E-3</v>
      </c>
      <c r="E556" s="28">
        <v>4.5598971597662656E-3</v>
      </c>
      <c r="F556" s="28">
        <v>1.9059640265067729E-3</v>
      </c>
      <c r="G556" s="28">
        <v>-2.7517033307358659E-2</v>
      </c>
      <c r="H556" s="28">
        <v>-3.9010321797207227E-3</v>
      </c>
      <c r="I556" s="28">
        <v>-1.9100119599136756E-2</v>
      </c>
      <c r="J556" s="28">
        <v>4.1792467200724211E-3</v>
      </c>
      <c r="K556" s="28">
        <v>7.6015679378679628E-4</v>
      </c>
      <c r="L556" s="28">
        <v>2.3422777384048073E-2</v>
      </c>
      <c r="M556" s="28">
        <v>-1.1943570143884892E-2</v>
      </c>
      <c r="N556" s="28">
        <v>-4.7644512022266203E-3</v>
      </c>
    </row>
    <row r="557" spans="1:14">
      <c r="A557" s="4">
        <v>41516</v>
      </c>
      <c r="B557" s="28">
        <v>-2.3699195884626347E-2</v>
      </c>
      <c r="C557" s="28">
        <v>2.7660986944014164E-3</v>
      </c>
      <c r="D557" s="28">
        <v>-1.1973939073780549E-2</v>
      </c>
      <c r="E557" s="28">
        <v>-2.6788516792621453E-2</v>
      </c>
      <c r="F557" s="28">
        <v>-5.2471779883087625E-3</v>
      </c>
      <c r="G557" s="28">
        <v>-1.4735432016075068E-2</v>
      </c>
      <c r="H557" s="28">
        <v>-1.2800390107127097E-2</v>
      </c>
      <c r="I557" s="28">
        <v>-3.8341443178760419E-2</v>
      </c>
      <c r="J557" s="28">
        <v>-2.4955561519582049E-2</v>
      </c>
      <c r="K557" s="28">
        <v>2.6626460817600301E-2</v>
      </c>
      <c r="L557" s="28">
        <v>-3.5766970317895725E-3</v>
      </c>
      <c r="M557" s="28">
        <v>-3.6225907069787761E-2</v>
      </c>
      <c r="N557" s="28">
        <v>-8.2797909012930875E-3</v>
      </c>
    </row>
    <row r="558" spans="1:14">
      <c r="A558" s="4">
        <v>41523</v>
      </c>
      <c r="B558" s="28">
        <v>2.0139332129228568E-2</v>
      </c>
      <c r="C558" s="28">
        <v>-8.7167604545955214E-3</v>
      </c>
      <c r="D558" s="28">
        <v>1.4376522307372347E-2</v>
      </c>
      <c r="E558" s="28">
        <v>1.5931691786061405E-2</v>
      </c>
      <c r="F558" s="28">
        <v>-4.3756609401022556E-3</v>
      </c>
      <c r="G558" s="28">
        <v>1.2157332143318928E-2</v>
      </c>
      <c r="H558" s="28">
        <v>-1.21431033861759E-3</v>
      </c>
      <c r="I558" s="28">
        <v>1.9916115060523633E-2</v>
      </c>
      <c r="J558" s="28">
        <v>1.6886002529110673E-2</v>
      </c>
      <c r="K558" s="28">
        <v>4.755728491137084E-3</v>
      </c>
      <c r="L558" s="28">
        <v>1.7224725011615E-2</v>
      </c>
      <c r="M558" s="28">
        <v>3.5954591957188906E-2</v>
      </c>
      <c r="N558" s="28">
        <v>-4.6118144699351183E-3</v>
      </c>
    </row>
    <row r="559" spans="1:14">
      <c r="A559" s="4">
        <v>41530</v>
      </c>
      <c r="B559" s="28">
        <v>2.0846645367412098E-2</v>
      </c>
      <c r="C559" s="28">
        <v>3.8401602849510112E-3</v>
      </c>
      <c r="D559" s="28">
        <v>2.5944363103953188E-2</v>
      </c>
      <c r="E559" s="28">
        <v>1.587721511774608E-2</v>
      </c>
      <c r="F559" s="28">
        <v>5.228076424046625E-3</v>
      </c>
      <c r="G559" s="28">
        <v>1.6675731803797385E-2</v>
      </c>
      <c r="H559" s="28">
        <v>6.516822675451857E-3</v>
      </c>
      <c r="I559" s="28">
        <v>3.0218162904876014E-2</v>
      </c>
      <c r="J559" s="28">
        <v>-8.8657351106638462E-4</v>
      </c>
      <c r="K559" s="28">
        <v>2.4513370122611105E-2</v>
      </c>
      <c r="L559" s="28">
        <v>8.0211207568271197E-3</v>
      </c>
      <c r="M559" s="28">
        <v>2.6103635897484604E-2</v>
      </c>
      <c r="N559" s="28">
        <v>6.5317043420095068E-3</v>
      </c>
    </row>
    <row r="560" spans="1:14">
      <c r="A560" s="4">
        <v>41537</v>
      </c>
      <c r="B560" s="28">
        <v>1.9260360430847848E-2</v>
      </c>
      <c r="C560" s="28">
        <v>1.0312136164550564E-2</v>
      </c>
      <c r="D560" s="28">
        <v>3.1453362255965241E-2</v>
      </c>
      <c r="E560" s="28">
        <v>3.6238125954030379E-2</v>
      </c>
      <c r="F560" s="28">
        <v>1.9620373299588732E-2</v>
      </c>
      <c r="G560" s="28">
        <v>3.5268608020751005E-2</v>
      </c>
      <c r="H560" s="28">
        <v>2.7602903090419628E-2</v>
      </c>
      <c r="I560" s="28">
        <v>3.5265301140650691E-2</v>
      </c>
      <c r="J560" s="28">
        <v>3.5227415504460277E-2</v>
      </c>
      <c r="K560" s="28">
        <v>3.4426768966980534E-2</v>
      </c>
      <c r="L560" s="28">
        <v>8.505077154995681E-3</v>
      </c>
      <c r="M560" s="28">
        <v>4.6474181010549724E-2</v>
      </c>
      <c r="N560" s="28">
        <v>2.4637907781317837E-2</v>
      </c>
    </row>
    <row r="561" spans="1:14">
      <c r="A561" s="4">
        <v>41544</v>
      </c>
      <c r="B561" s="28">
        <v>-5.2902268336680923E-3</v>
      </c>
      <c r="C561" s="28">
        <v>7.3807825275750364E-3</v>
      </c>
      <c r="D561" s="28">
        <v>-6.3644916708174536E-3</v>
      </c>
      <c r="E561" s="28">
        <v>-5.965728955630069E-3</v>
      </c>
      <c r="F561" s="28">
        <v>3.5153365477098891E-3</v>
      </c>
      <c r="G561" s="28">
        <v>3.2101848988205597E-3</v>
      </c>
      <c r="H561" s="28">
        <v>-8.1037600051800211E-3</v>
      </c>
      <c r="I561" s="28">
        <v>-1.8756246499957739E-4</v>
      </c>
      <c r="J561" s="28">
        <v>-7.737237351133899E-4</v>
      </c>
      <c r="K561" s="28">
        <v>1.5771959565517604E-2</v>
      </c>
      <c r="L561" s="28">
        <v>1.269590871888294E-2</v>
      </c>
      <c r="M561" s="28">
        <v>4.2845015121770287E-3</v>
      </c>
      <c r="N561" s="28">
        <v>7.4714891154707805E-4</v>
      </c>
    </row>
    <row r="562" spans="1:14">
      <c r="A562" s="4">
        <v>41551</v>
      </c>
      <c r="B562" s="28">
        <v>-4.8167512331269069E-3</v>
      </c>
      <c r="C562" s="28">
        <v>1.71591992373688E-3</v>
      </c>
      <c r="D562" s="28">
        <v>-1.4091567338754602E-2</v>
      </c>
      <c r="E562" s="28">
        <v>1.0268338123927807E-2</v>
      </c>
      <c r="F562" s="28">
        <v>-1.2370337162026301E-2</v>
      </c>
      <c r="G562" s="28">
        <v>3.7774577865189382E-3</v>
      </c>
      <c r="H562" s="28">
        <v>-6.628369421123226E-4</v>
      </c>
      <c r="I562" s="28">
        <v>1.3297993509121359E-2</v>
      </c>
      <c r="J562" s="28">
        <v>-1.5144843920805683E-3</v>
      </c>
      <c r="K562" s="28">
        <v>2.8762985581420341E-3</v>
      </c>
      <c r="L562" s="28">
        <v>-2.2624277965292171E-2</v>
      </c>
      <c r="M562" s="28">
        <v>2.5504880400470338E-2</v>
      </c>
      <c r="N562" s="28">
        <v>-7.4817958851710262E-3</v>
      </c>
    </row>
    <row r="563" spans="1:14">
      <c r="A563" s="4">
        <v>41558</v>
      </c>
      <c r="B563" s="28">
        <v>6.365105008077486E-3</v>
      </c>
      <c r="C563" s="28">
        <v>-1.6586002501494286E-3</v>
      </c>
      <c r="D563" s="28">
        <v>1.8699508502344513E-2</v>
      </c>
      <c r="E563" s="28">
        <v>4.4852372170739669E-3</v>
      </c>
      <c r="F563" s="28">
        <v>1.5884345435989839E-2</v>
      </c>
      <c r="G563" s="28">
        <v>1.3175235688599426E-2</v>
      </c>
      <c r="H563" s="28">
        <v>1.5491528149056417E-2</v>
      </c>
      <c r="I563" s="28">
        <v>1.8640521976931973E-2</v>
      </c>
      <c r="J563" s="28">
        <v>7.2683866994605311E-3</v>
      </c>
      <c r="K563" s="28">
        <v>1.0477830144100982E-2</v>
      </c>
      <c r="L563" s="28">
        <v>1.5242814285576497E-2</v>
      </c>
      <c r="M563" s="28">
        <v>2.3694220482041332E-2</v>
      </c>
      <c r="N563" s="28">
        <v>1.0726323505404698E-2</v>
      </c>
    </row>
    <row r="564" spans="1:14">
      <c r="A564" s="4">
        <v>41565</v>
      </c>
      <c r="B564" s="28">
        <v>2.6191928596654698E-2</v>
      </c>
      <c r="C564" s="28">
        <v>7.1628945719966102E-3</v>
      </c>
      <c r="D564" s="28">
        <v>2.4733806566104747E-2</v>
      </c>
      <c r="E564" s="28">
        <v>3.0183284401278623E-2</v>
      </c>
      <c r="F564" s="28">
        <v>2.3339948475846587E-2</v>
      </c>
      <c r="G564" s="28">
        <v>1.8302930771178763E-3</v>
      </c>
      <c r="H564" s="28">
        <v>1.95650560380018E-2</v>
      </c>
      <c r="I564" s="28">
        <v>1.8161802315467591E-2</v>
      </c>
      <c r="J564" s="28">
        <v>2.8127818725964072E-2</v>
      </c>
      <c r="K564" s="28">
        <v>-1.4313539713973112E-2</v>
      </c>
      <c r="L564" s="28">
        <v>4.9813744136120774E-2</v>
      </c>
      <c r="M564" s="28">
        <v>3.0577281972782117E-2</v>
      </c>
      <c r="N564" s="28">
        <v>1.7411958449455287E-2</v>
      </c>
    </row>
    <row r="565" spans="1:14">
      <c r="A565" s="4">
        <v>41572</v>
      </c>
      <c r="B565" s="28">
        <v>6.1446431476591132E-3</v>
      </c>
      <c r="C565" s="28">
        <v>4.7322877230935641E-3</v>
      </c>
      <c r="D565" s="28">
        <v>1.5694339214200241E-3</v>
      </c>
      <c r="E565" s="28">
        <v>1.4993619340652867E-2</v>
      </c>
      <c r="F565" s="28">
        <v>1.8763437946049451E-2</v>
      </c>
      <c r="G565" s="28">
        <v>-9.161556698622347E-3</v>
      </c>
      <c r="H565" s="28">
        <v>2.0897941751719447E-2</v>
      </c>
      <c r="I565" s="28">
        <v>1.0218185156473174E-2</v>
      </c>
      <c r="J565" s="28">
        <v>1.2638480005286024E-2</v>
      </c>
      <c r="K565" s="28">
        <v>-3.065168873065825E-3</v>
      </c>
      <c r="L565" s="28">
        <v>1.4728937865231715E-2</v>
      </c>
      <c r="M565" s="28">
        <v>1.0580460331412573E-2</v>
      </c>
      <c r="N565" s="28">
        <v>1.2139775507536E-2</v>
      </c>
    </row>
    <row r="566" spans="1:14">
      <c r="A566" s="4">
        <v>41579</v>
      </c>
      <c r="B566" s="28">
        <v>-6.2812507773826066E-3</v>
      </c>
      <c r="C566" s="28">
        <v>-6.7823980621720863E-3</v>
      </c>
      <c r="D566" s="28">
        <v>-2.0586804992705477E-2</v>
      </c>
      <c r="E566" s="28">
        <v>-1.929907518391857E-2</v>
      </c>
      <c r="F566" s="28">
        <v>-7.7206610446538823E-3</v>
      </c>
      <c r="G566" s="28">
        <v>-7.0738580357866589E-3</v>
      </c>
      <c r="H566" s="28">
        <v>-9.4649521047754075E-3</v>
      </c>
      <c r="I566" s="28">
        <v>-1.825566513778841E-2</v>
      </c>
      <c r="J566" s="28">
        <v>-1.9814039475830682E-2</v>
      </c>
      <c r="K566" s="28">
        <v>-1.9283450165108768E-3</v>
      </c>
      <c r="L566" s="28">
        <v>-7.3341297924433852E-3</v>
      </c>
      <c r="M566" s="28">
        <v>-3.4151311126860359E-2</v>
      </c>
      <c r="N566" s="28">
        <v>-6.6583015026541225E-3</v>
      </c>
    </row>
    <row r="567" spans="1:14">
      <c r="A567" s="4">
        <v>41586</v>
      </c>
      <c r="B567" s="28">
        <v>-9.8882255016079462E-4</v>
      </c>
      <c r="C567" s="28">
        <v>-5.8260846001679471E-3</v>
      </c>
      <c r="D567" s="28">
        <v>-2.4550369634778708E-2</v>
      </c>
      <c r="E567" s="28">
        <v>-7.1688606819013687E-3</v>
      </c>
      <c r="F567" s="28">
        <v>-6.9555944128853837E-3</v>
      </c>
      <c r="G567" s="28">
        <v>-1.2481070117452843E-2</v>
      </c>
      <c r="H567" s="28">
        <v>-7.9620279894798002E-3</v>
      </c>
      <c r="I567" s="28">
        <v>-2.3020217577439054E-2</v>
      </c>
      <c r="J567" s="28">
        <v>-1.853557150729104E-2</v>
      </c>
      <c r="K567" s="28">
        <v>-2.4208928986035969E-2</v>
      </c>
      <c r="L567" s="28">
        <v>5.5159042738520548E-4</v>
      </c>
      <c r="M567" s="28">
        <v>-2.614079339601001E-3</v>
      </c>
      <c r="N567" s="28">
        <v>-1.0216939685999387E-2</v>
      </c>
    </row>
    <row r="568" spans="1:14">
      <c r="A568" s="4">
        <v>41593</v>
      </c>
      <c r="B568" s="28">
        <v>1.5799233217230077E-2</v>
      </c>
      <c r="C568" s="28">
        <v>3.4343654600959193E-3</v>
      </c>
      <c r="D568" s="28">
        <v>1.7419829195181178E-2</v>
      </c>
      <c r="E568" s="28">
        <v>7.3975635098708099E-3</v>
      </c>
      <c r="F568" s="28">
        <v>8.0212139210358094E-3</v>
      </c>
      <c r="G568" s="28">
        <v>7.4941950540677047E-3</v>
      </c>
      <c r="H568" s="28">
        <v>-8.3694153503786461E-4</v>
      </c>
      <c r="I568" s="28">
        <v>2.5560181700468029E-2</v>
      </c>
      <c r="J568" s="28">
        <v>2.2280669362101425E-2</v>
      </c>
      <c r="K568" s="28">
        <v>8.7103202423581896E-4</v>
      </c>
      <c r="L568" s="28">
        <v>8.5681372458533342E-3</v>
      </c>
      <c r="M568" s="28">
        <v>8.1846606584513211E-3</v>
      </c>
      <c r="N568" s="28">
        <v>1.0059650977656787E-2</v>
      </c>
    </row>
    <row r="569" spans="1:14">
      <c r="A569" s="4">
        <v>41600</v>
      </c>
      <c r="B569" s="28">
        <v>1.017576318223923E-3</v>
      </c>
      <c r="C569" s="28">
        <v>-1.0322160047807776E-3</v>
      </c>
      <c r="D569" s="28">
        <v>-2.162432597698586E-2</v>
      </c>
      <c r="E569" s="28">
        <v>-6.1511325034660988E-3</v>
      </c>
      <c r="F569" s="28">
        <v>-1.4676824187596763E-2</v>
      </c>
      <c r="G569" s="28">
        <v>3.1381571739368544E-3</v>
      </c>
      <c r="H569" s="28">
        <v>-7.7034067360023184E-3</v>
      </c>
      <c r="I569" s="28">
        <v>-1.9582835058689584E-2</v>
      </c>
      <c r="J569" s="28">
        <v>-1.8112790269074776E-2</v>
      </c>
      <c r="K569" s="28">
        <v>4.3683508944718343E-3</v>
      </c>
      <c r="L569" s="28">
        <v>-3.019721732093307E-2</v>
      </c>
      <c r="M569" s="28">
        <v>-1.2065376929009108E-2</v>
      </c>
      <c r="N569" s="28">
        <v>-3.3972419474217982E-3</v>
      </c>
    </row>
    <row r="570" spans="1:14">
      <c r="A570" s="4">
        <v>41607</v>
      </c>
      <c r="B570" s="28">
        <v>3.2467732495456252E-3</v>
      </c>
      <c r="C570" s="28">
        <v>9.2451598868836153E-4</v>
      </c>
      <c r="D570" s="28">
        <v>-4.3181818181817662E-3</v>
      </c>
      <c r="E570" s="28">
        <v>1.6364162784314164E-2</v>
      </c>
      <c r="F570" s="28">
        <v>-9.8698913949526543E-3</v>
      </c>
      <c r="G570" s="28">
        <v>5.511651311016324E-3</v>
      </c>
      <c r="H570" s="28">
        <v>-2.6007485081071761E-3</v>
      </c>
      <c r="I570" s="28">
        <v>2.7889238758582107E-2</v>
      </c>
      <c r="J570" s="28">
        <v>-3.3184927135810984E-3</v>
      </c>
      <c r="K570" s="28">
        <v>8.2422111105017305E-4</v>
      </c>
      <c r="L570" s="28">
        <v>5.6744830864699407E-3</v>
      </c>
      <c r="M570" s="28">
        <v>1.6757877419463073E-2</v>
      </c>
      <c r="N570" s="28">
        <v>-3.1664450051583082E-3</v>
      </c>
    </row>
    <row r="571" spans="1:14">
      <c r="A571" s="4">
        <v>41614</v>
      </c>
      <c r="B571" s="28">
        <v>-9.7087974846785056E-3</v>
      </c>
      <c r="C571" s="28">
        <v>-5.0258082042923735E-3</v>
      </c>
      <c r="D571" s="28">
        <v>-1.0785208856425558E-2</v>
      </c>
      <c r="E571" s="28">
        <v>-2.1535410785833313E-2</v>
      </c>
      <c r="F571" s="28">
        <v>5.3501708150317118E-3</v>
      </c>
      <c r="G571" s="28">
        <v>-1.8038707575093394E-2</v>
      </c>
      <c r="H571" s="28">
        <v>-1.027357050604673E-2</v>
      </c>
      <c r="I571" s="28">
        <v>2.625400430861046E-3</v>
      </c>
      <c r="J571" s="28">
        <v>-3.2854743090447537E-2</v>
      </c>
      <c r="K571" s="28">
        <v>-1.8481134545700356E-2</v>
      </c>
      <c r="L571" s="28">
        <v>1.0411045334480276E-2</v>
      </c>
      <c r="M571" s="28">
        <v>-1.5771724818280521E-2</v>
      </c>
      <c r="N571" s="28">
        <v>-6.109859005651733E-4</v>
      </c>
    </row>
    <row r="572" spans="1:14">
      <c r="A572" s="4">
        <v>41621</v>
      </c>
      <c r="B572" s="28">
        <v>-1.5453209393467638E-2</v>
      </c>
      <c r="C572" s="28">
        <v>1.2013651877133043E-3</v>
      </c>
      <c r="D572" s="28">
        <v>-1.6671473896740618E-2</v>
      </c>
      <c r="E572" s="28">
        <v>1.5464424262130274E-3</v>
      </c>
      <c r="F572" s="28">
        <v>-1.9657518037342902E-2</v>
      </c>
      <c r="G572" s="28">
        <v>-6.7554488027843154E-3</v>
      </c>
      <c r="H572" s="28">
        <v>-6.3171006584020273E-3</v>
      </c>
      <c r="I572" s="28">
        <v>-1.070268430637002E-2</v>
      </c>
      <c r="J572" s="28">
        <v>-1.6706973701120277E-3</v>
      </c>
      <c r="K572" s="28">
        <v>-1.8329991480425477E-3</v>
      </c>
      <c r="L572" s="28">
        <v>-9.9308145888204104E-3</v>
      </c>
      <c r="M572" s="28">
        <v>-1.5676373884452841E-2</v>
      </c>
      <c r="N572" s="28">
        <v>-1.7205401173435764E-2</v>
      </c>
    </row>
    <row r="573" spans="1:14">
      <c r="A573" s="4">
        <v>41628</v>
      </c>
      <c r="B573" s="28">
        <v>2.4545093815543352E-2</v>
      </c>
      <c r="C573" s="28">
        <v>-1.0908396738394956E-4</v>
      </c>
      <c r="D573" s="28">
        <v>1.5780828346826221E-2</v>
      </c>
      <c r="E573" s="28">
        <v>2.4837005968582817E-2</v>
      </c>
      <c r="F573" s="28">
        <v>2.7491759899726079E-2</v>
      </c>
      <c r="G573" s="28">
        <v>3.3012620366795162E-4</v>
      </c>
      <c r="H573" s="28">
        <v>2.3439287668507246E-2</v>
      </c>
      <c r="I573" s="28">
        <v>3.827797873787891E-3</v>
      </c>
      <c r="J573" s="28">
        <v>1.9652818412326939E-2</v>
      </c>
      <c r="K573" s="28">
        <v>2.9399086128113236E-3</v>
      </c>
      <c r="L573" s="28">
        <v>4.7034094014444744E-3</v>
      </c>
      <c r="M573" s="28">
        <v>1.7898683481743522E-2</v>
      </c>
      <c r="N573" s="28">
        <v>3.2274240592101731E-2</v>
      </c>
    </row>
    <row r="574" spans="1:14">
      <c r="A574" s="4">
        <v>41635</v>
      </c>
      <c r="B574" s="28">
        <v>1.6905806991012257E-2</v>
      </c>
      <c r="C574" s="28">
        <v>-3.9274512477839845E-3</v>
      </c>
      <c r="D574" s="28">
        <v>4.5047646549234831E-3</v>
      </c>
      <c r="E574" s="28">
        <v>2.449662204474962E-2</v>
      </c>
      <c r="F574" s="28">
        <v>9.9247585828829751E-3</v>
      </c>
      <c r="G574" s="28">
        <v>1.0655978878895668E-2</v>
      </c>
      <c r="H574" s="28">
        <v>8.7147981452497959E-3</v>
      </c>
      <c r="I574" s="28">
        <v>3.2684586071967982E-3</v>
      </c>
      <c r="J574" s="28">
        <v>2.3803694125208424E-2</v>
      </c>
      <c r="K574" s="28">
        <v>1.5752464949153749E-2</v>
      </c>
      <c r="L574" s="28">
        <v>1.4036603359984169E-2</v>
      </c>
      <c r="M574" s="28">
        <v>1.6642180560961933E-2</v>
      </c>
      <c r="N574" s="28">
        <v>1.5477325134511959E-2</v>
      </c>
    </row>
    <row r="575" spans="1:14">
      <c r="A575" s="4">
        <v>41642</v>
      </c>
      <c r="B575" s="28">
        <v>-4.9027905402138404E-3</v>
      </c>
      <c r="C575" s="28">
        <v>1.2047862873415234E-3</v>
      </c>
      <c r="D575" s="28">
        <v>5.1170010923934127E-3</v>
      </c>
      <c r="E575" s="28">
        <v>-4.2608120352658277E-3</v>
      </c>
      <c r="F575" s="28">
        <v>-4.6019451643785694E-3</v>
      </c>
      <c r="G575" s="28">
        <v>5.6062191657945881E-3</v>
      </c>
      <c r="H575" s="28">
        <v>-1.0152504396848585E-2</v>
      </c>
      <c r="I575" s="28">
        <v>-1.4183457051961907E-2</v>
      </c>
      <c r="J575" s="28">
        <v>-1.3878405141810797E-2</v>
      </c>
      <c r="K575" s="28">
        <v>1.0519322802726784E-2</v>
      </c>
      <c r="L575" s="28">
        <v>-2.9096906083725406E-3</v>
      </c>
      <c r="M575" s="28">
        <v>6.113954225627518E-3</v>
      </c>
      <c r="N575" s="28">
        <v>-5.8737329086484802E-4</v>
      </c>
    </row>
    <row r="576" spans="1:14">
      <c r="A576" s="4">
        <v>41649</v>
      </c>
      <c r="B576" s="28">
        <v>5.504085538106343E-3</v>
      </c>
      <c r="C576" s="28">
        <v>7.0559277998086724E-3</v>
      </c>
      <c r="D576" s="28">
        <v>4.3473286809290659E-3</v>
      </c>
      <c r="E576" s="28">
        <v>7.4422870678978259E-3</v>
      </c>
      <c r="F576" s="28">
        <v>1.2901872659176014E-2</v>
      </c>
      <c r="G576" s="28">
        <v>-1.5508182483265453E-2</v>
      </c>
      <c r="H576" s="28">
        <v>1.0772630800085505E-2</v>
      </c>
      <c r="I576" s="28">
        <v>4.840661557079534E-3</v>
      </c>
      <c r="J576" s="28">
        <v>-1.1633370721799428E-2</v>
      </c>
      <c r="K576" s="28">
        <v>-6.9426706251334422E-3</v>
      </c>
      <c r="L576" s="28">
        <v>1.5817672292247394E-2</v>
      </c>
      <c r="M576" s="28">
        <v>1.0336699785572905E-2</v>
      </c>
      <c r="N576" s="28">
        <v>5.4227634887455212E-3</v>
      </c>
    </row>
    <row r="577" spans="1:14">
      <c r="A577" s="4">
        <v>41656</v>
      </c>
      <c r="B577" s="28">
        <v>1.3352586837128871E-3</v>
      </c>
      <c r="C577" s="28">
        <v>7.8755125872406815E-4</v>
      </c>
      <c r="D577" s="28">
        <v>2.9616129399702802E-3</v>
      </c>
      <c r="E577" s="28">
        <v>1.3258444686585916E-2</v>
      </c>
      <c r="F577" s="28">
        <v>3.5999952670563674E-3</v>
      </c>
      <c r="G577" s="28">
        <v>4.9673545459241861E-4</v>
      </c>
      <c r="H577" s="28">
        <v>8.6206481378916676E-4</v>
      </c>
      <c r="I577" s="28">
        <v>-6.3793760100464142E-3</v>
      </c>
      <c r="J577" s="28">
        <v>9.1056873164485127E-3</v>
      </c>
      <c r="K577" s="28">
        <v>7.4845565136724924E-3</v>
      </c>
      <c r="L577" s="28">
        <v>1.8371887126364284E-2</v>
      </c>
      <c r="M577" s="28">
        <v>1.1057197709175523E-2</v>
      </c>
      <c r="N577" s="28">
        <v>3.8839339520308157E-3</v>
      </c>
    </row>
    <row r="578" spans="1:14">
      <c r="A578" s="4">
        <v>41663</v>
      </c>
      <c r="B578" s="28">
        <v>-2.3507831921415319E-2</v>
      </c>
      <c r="C578" s="28">
        <v>6.1326386627591203E-3</v>
      </c>
      <c r="D578" s="28">
        <v>-1.5332197614991418E-2</v>
      </c>
      <c r="E578" s="28">
        <v>-2.607086889925711E-3</v>
      </c>
      <c r="F578" s="28">
        <v>-1.324007510176173E-2</v>
      </c>
      <c r="G578" s="28">
        <v>-9.2863270947855393E-3</v>
      </c>
      <c r="H578" s="28">
        <v>1.3473197959773756E-3</v>
      </c>
      <c r="I578" s="28">
        <v>3.0508887202583012E-3</v>
      </c>
      <c r="J578" s="28">
        <v>6.6033183764498057E-3</v>
      </c>
      <c r="K578" s="28">
        <v>-4.9554262754782337E-3</v>
      </c>
      <c r="L578" s="28">
        <v>-2.6068505754002894E-2</v>
      </c>
      <c r="M578" s="28">
        <v>-8.5767622221867377E-3</v>
      </c>
      <c r="N578" s="28">
        <v>-1.3674741647632266E-2</v>
      </c>
    </row>
    <row r="579" spans="1:14">
      <c r="A579" s="4">
        <v>41670</v>
      </c>
      <c r="B579" s="28">
        <v>-1.2296398823500251E-2</v>
      </c>
      <c r="C579" s="28">
        <v>1.9418523113437277E-3</v>
      </c>
      <c r="D579" s="28">
        <v>-5.0749711649365368E-3</v>
      </c>
      <c r="E579" s="28">
        <v>-8.274399370109993E-3</v>
      </c>
      <c r="F579" s="28">
        <v>1.2506683473673803E-2</v>
      </c>
      <c r="G579" s="28">
        <v>-1.3643106282323778E-2</v>
      </c>
      <c r="H579" s="28">
        <v>8.4863046612204968E-3</v>
      </c>
      <c r="I579" s="28">
        <v>-5.7320647051988327E-3</v>
      </c>
      <c r="J579" s="28">
        <v>1.0568470478110057E-2</v>
      </c>
      <c r="K579" s="28">
        <v>-1.7371480487579256E-2</v>
      </c>
      <c r="L579" s="28">
        <v>3.8856728445759935E-3</v>
      </c>
      <c r="M579" s="28">
        <v>-5.6366597033378797E-3</v>
      </c>
      <c r="N579" s="28">
        <v>2.5957585366372434E-3</v>
      </c>
    </row>
    <row r="580" spans="1:14">
      <c r="A580" s="4">
        <v>41677</v>
      </c>
      <c r="B580" s="28">
        <v>8.3330205322622621E-3</v>
      </c>
      <c r="C580" s="28">
        <v>1.9111709286675088E-3</v>
      </c>
      <c r="D580" s="28">
        <v>5.2747507535358023E-3</v>
      </c>
      <c r="E580" s="28">
        <v>1.7681075455706137E-2</v>
      </c>
      <c r="F580" s="28">
        <v>7.3753274645394255E-4</v>
      </c>
      <c r="G580" s="28">
        <v>-4.5401520971275807E-3</v>
      </c>
      <c r="H580" s="28">
        <v>6.8138717086154549E-4</v>
      </c>
      <c r="I580" s="28">
        <v>8.6087125884568173E-3</v>
      </c>
      <c r="J580" s="28">
        <v>4.8704148443073159E-3</v>
      </c>
      <c r="K580" s="28">
        <v>-6.1596808437777697E-3</v>
      </c>
      <c r="L580" s="28">
        <v>1.1245264100127364E-2</v>
      </c>
      <c r="M580" s="28">
        <v>1.7899809827218977E-2</v>
      </c>
      <c r="N580" s="28">
        <v>1.8787978122173624E-3</v>
      </c>
    </row>
    <row r="581" spans="1:14">
      <c r="A581" s="4">
        <v>41684</v>
      </c>
      <c r="B581" s="28">
        <v>2.3787365521349017E-2</v>
      </c>
      <c r="C581" s="28">
        <v>2.955320920985832E-4</v>
      </c>
      <c r="D581" s="28">
        <v>1.5856541544138843E-2</v>
      </c>
      <c r="E581" s="28">
        <v>3.0632720116669326E-2</v>
      </c>
      <c r="F581" s="28">
        <v>2.4302955621458785E-2</v>
      </c>
      <c r="G581" s="28">
        <v>2.0423829161732875E-2</v>
      </c>
      <c r="H581" s="28">
        <v>3.8241218233504251E-2</v>
      </c>
      <c r="I581" s="28">
        <v>1.4871649630525957E-2</v>
      </c>
      <c r="J581" s="28">
        <v>3.4533513230227256E-2</v>
      </c>
      <c r="K581" s="28">
        <v>1.3679218871809102E-2</v>
      </c>
      <c r="L581" s="28">
        <v>3.1958722139078494E-2</v>
      </c>
      <c r="M581" s="28">
        <v>2.5585136748144749E-2</v>
      </c>
      <c r="N581" s="28">
        <v>1.7298574609570235E-2</v>
      </c>
    </row>
    <row r="582" spans="1:14">
      <c r="A582" s="4">
        <v>41691</v>
      </c>
      <c r="B582" s="28">
        <v>5.8965408576346079E-3</v>
      </c>
      <c r="C582" s="28">
        <v>8.0575848732352702E-5</v>
      </c>
      <c r="D582" s="28">
        <v>9.6492223861958711E-3</v>
      </c>
      <c r="E582" s="28">
        <v>1.2745412265328132E-2</v>
      </c>
      <c r="F582" s="28">
        <v>8.9506190605019467E-4</v>
      </c>
      <c r="G582" s="28">
        <v>1.0139569128333232E-2</v>
      </c>
      <c r="H582" s="28">
        <v>9.4157035406346283E-3</v>
      </c>
      <c r="I582" s="28">
        <v>-6.2663953765667256E-4</v>
      </c>
      <c r="J582" s="28">
        <v>1.7335287819669892E-2</v>
      </c>
      <c r="K582" s="28">
        <v>-1.1476378036396484E-2</v>
      </c>
      <c r="L582" s="28">
        <v>5.0599931436406511E-3</v>
      </c>
      <c r="M582" s="28">
        <v>8.5284111698441661E-3</v>
      </c>
      <c r="N582" s="28">
        <v>2.4628121324022042E-3</v>
      </c>
    </row>
    <row r="583" spans="1:14">
      <c r="A583" s="4">
        <v>41698</v>
      </c>
      <c r="B583" s="28">
        <v>9.3683164141339179E-3</v>
      </c>
      <c r="C583" s="28">
        <v>5.988988854572207E-3</v>
      </c>
      <c r="D583" s="28">
        <v>1.2930065212503833E-3</v>
      </c>
      <c r="E583" s="28">
        <v>1.694162009292309E-2</v>
      </c>
      <c r="F583" s="28">
        <v>-6.2483286511603887E-3</v>
      </c>
      <c r="G583" s="28">
        <v>2.7605903836860183E-2</v>
      </c>
      <c r="H583" s="28">
        <v>3.9528744667028364E-3</v>
      </c>
      <c r="I583" s="28">
        <v>3.1671485762301325E-2</v>
      </c>
      <c r="J583" s="28">
        <v>1.5630794006194316E-2</v>
      </c>
      <c r="K583" s="28">
        <v>1.7966748620256944E-2</v>
      </c>
      <c r="L583" s="28">
        <v>-4.9935874696427811E-3</v>
      </c>
      <c r="M583" s="28">
        <v>1.7213630416407895E-2</v>
      </c>
      <c r="N583" s="28">
        <v>1.2892799638764387E-3</v>
      </c>
    </row>
    <row r="584" spans="1:14">
      <c r="A584" s="4">
        <v>41705</v>
      </c>
      <c r="B584" s="28">
        <v>3.4439536827026271E-3</v>
      </c>
      <c r="C584" s="28">
        <v>-5.7397618666238919E-3</v>
      </c>
      <c r="D584" s="28">
        <v>5.0530570995450967E-3</v>
      </c>
      <c r="E584" s="28">
        <v>3.6417570484594481E-5</v>
      </c>
      <c r="F584" s="28">
        <v>1.2442129629630155E-3</v>
      </c>
      <c r="G584" s="28">
        <v>9.4481814852648317E-3</v>
      </c>
      <c r="H584" s="28">
        <v>-1.1721419423161385E-2</v>
      </c>
      <c r="I584" s="28">
        <v>2.075320808572944E-2</v>
      </c>
      <c r="J584" s="28">
        <v>-5.1358728723681635E-3</v>
      </c>
      <c r="K584" s="28">
        <v>2.1914268342116158E-3</v>
      </c>
      <c r="L584" s="28">
        <v>-5.65886429317155E-3</v>
      </c>
      <c r="M584" s="28">
        <v>1.1978433507742046E-2</v>
      </c>
      <c r="N584" s="28">
        <v>7.5061710813633881E-3</v>
      </c>
    </row>
    <row r="585" spans="1:14">
      <c r="A585" s="4">
        <v>41712</v>
      </c>
      <c r="B585" s="28">
        <v>-2.3816746670473517E-2</v>
      </c>
      <c r="C585" s="28">
        <v>7.3033858711703415E-3</v>
      </c>
      <c r="D585" s="28">
        <v>-1.9607843137254853E-2</v>
      </c>
      <c r="E585" s="28">
        <v>-1.0898388746718423E-2</v>
      </c>
      <c r="F585" s="28">
        <v>4.0603415888794975E-3</v>
      </c>
      <c r="G585" s="28">
        <v>-2.0197352844584588E-2</v>
      </c>
      <c r="H585" s="28">
        <v>7.5512998401816075E-3</v>
      </c>
      <c r="I585" s="28">
        <v>-6.0747922638002211E-3</v>
      </c>
      <c r="J585" s="28">
        <v>3.0652760496036398E-3</v>
      </c>
      <c r="K585" s="28">
        <v>-3.3604240133810352E-2</v>
      </c>
      <c r="L585" s="28">
        <v>-4.0424281388376677E-3</v>
      </c>
      <c r="M585" s="28">
        <v>-2.7486371169117462E-2</v>
      </c>
      <c r="N585" s="28">
        <v>-3.1862326479890702E-3</v>
      </c>
    </row>
    <row r="586" spans="1:14">
      <c r="A586" s="4">
        <v>41719</v>
      </c>
      <c r="B586" s="28">
        <v>7.4643690627799134E-3</v>
      </c>
      <c r="C586" s="28">
        <v>-5.2778888444621128E-3</v>
      </c>
      <c r="D586" s="28">
        <v>-8.6609686609687188E-3</v>
      </c>
      <c r="E586" s="28">
        <v>1.0104729039967083E-2</v>
      </c>
      <c r="F586" s="28">
        <v>-4.1907119317282212E-3</v>
      </c>
      <c r="G586" s="28">
        <v>-4.7198306940996766E-3</v>
      </c>
      <c r="H586" s="28">
        <v>-7.4219850742198185E-3</v>
      </c>
      <c r="I586" s="28">
        <v>9.2406423337835098E-3</v>
      </c>
      <c r="J586" s="28">
        <v>2.8224471662281684E-3</v>
      </c>
      <c r="K586" s="28">
        <v>-2.5573841961852799E-2</v>
      </c>
      <c r="L586" s="28">
        <v>7.6263713073117557E-3</v>
      </c>
      <c r="M586" s="28">
        <v>1.412968467478597E-2</v>
      </c>
      <c r="N586" s="28">
        <v>-2.1004183111573652E-3</v>
      </c>
    </row>
    <row r="587" spans="1:14">
      <c r="A587" s="4">
        <v>41726</v>
      </c>
      <c r="B587" s="28">
        <v>5.1167910583167862E-3</v>
      </c>
      <c r="C587" s="28">
        <v>2.0902001768630185E-3</v>
      </c>
      <c r="D587" s="28">
        <v>1.2760087366363944E-2</v>
      </c>
      <c r="E587" s="28">
        <v>1.1958646741111266E-2</v>
      </c>
      <c r="F587" s="28">
        <v>6.436806858219713E-3</v>
      </c>
      <c r="G587" s="28">
        <v>2.4627397539218349E-2</v>
      </c>
      <c r="H587" s="28">
        <v>4.5789852052988021E-3</v>
      </c>
      <c r="I587" s="28">
        <v>1.3287064517601928E-2</v>
      </c>
      <c r="J587" s="28">
        <v>-1.8520127173856139E-3</v>
      </c>
      <c r="K587" s="28">
        <v>2.4034826338089201E-2</v>
      </c>
      <c r="L587" s="28">
        <v>1.1009677712830008E-2</v>
      </c>
      <c r="M587" s="28">
        <v>1.9125786928621373E-2</v>
      </c>
      <c r="N587" s="28">
        <v>1.3363213565704538E-2</v>
      </c>
    </row>
    <row r="588" spans="1:14">
      <c r="A588" s="4">
        <v>41733</v>
      </c>
      <c r="B588" s="28">
        <v>8.6711115390170432E-3</v>
      </c>
      <c r="C588" s="28">
        <v>1.0696617194817613E-4</v>
      </c>
      <c r="D588" s="28">
        <v>2.3041997729852454E-2</v>
      </c>
      <c r="E588" s="28">
        <v>-2.8258114794087914E-3</v>
      </c>
      <c r="F588" s="28">
        <v>1.3270879881449498E-2</v>
      </c>
      <c r="G588" s="28">
        <v>6.9098622231564179E-3</v>
      </c>
      <c r="H588" s="28">
        <v>7.1607965759450283E-3</v>
      </c>
      <c r="I588" s="28">
        <v>1.0973608317838682E-2</v>
      </c>
      <c r="J588" s="28">
        <v>6.3113116249278048E-3</v>
      </c>
      <c r="K588" s="28">
        <v>-5.1992083222286217E-3</v>
      </c>
      <c r="L588" s="28">
        <v>-1.4394575307770456E-2</v>
      </c>
      <c r="M588" s="28">
        <v>1.8811618963066795E-2</v>
      </c>
      <c r="N588" s="28">
        <v>1.4367220068534921E-2</v>
      </c>
    </row>
    <row r="589" spans="1:14">
      <c r="A589" s="4">
        <v>41740</v>
      </c>
      <c r="B589" s="28">
        <v>-2.2562266964951491E-2</v>
      </c>
      <c r="C589" s="28">
        <v>9.2515842669589551E-3</v>
      </c>
      <c r="D589" s="28">
        <v>-8.931543326306364E-3</v>
      </c>
      <c r="E589" s="28">
        <v>-9.5817900018389576E-3</v>
      </c>
      <c r="F589" s="28">
        <v>-1.9187873943887462E-3</v>
      </c>
      <c r="G589" s="28">
        <v>8.9234541472615753E-3</v>
      </c>
      <c r="H589" s="28">
        <v>1.8283852280955666E-3</v>
      </c>
      <c r="I589" s="28">
        <v>-1.3237933259046458E-2</v>
      </c>
      <c r="J589" s="28">
        <v>-2.6678197699558901E-2</v>
      </c>
      <c r="K589" s="28">
        <v>3.652318273449557E-2</v>
      </c>
      <c r="L589" s="28">
        <v>-7.9959561337519906E-3</v>
      </c>
      <c r="M589" s="28">
        <v>-1.8321482707361534E-2</v>
      </c>
      <c r="N589" s="28">
        <v>1.203830369356998E-3</v>
      </c>
    </row>
    <row r="590" spans="1:14">
      <c r="A590" s="4">
        <v>41747</v>
      </c>
      <c r="B590" s="28">
        <v>1.9634650244441231E-2</v>
      </c>
      <c r="C590" s="28">
        <v>-3.8945555702741305E-3</v>
      </c>
      <c r="D590" s="28">
        <v>1.6064931430170751E-2</v>
      </c>
      <c r="E590" s="28">
        <v>6.4352923234025526E-3</v>
      </c>
      <c r="F590" s="28">
        <v>1.9764304983671706E-2</v>
      </c>
      <c r="G590" s="28">
        <v>2.1556426674291117E-3</v>
      </c>
      <c r="H590" s="28">
        <v>1.5594224896550471E-2</v>
      </c>
      <c r="I590" s="28">
        <v>-3.3045512466953627E-3</v>
      </c>
      <c r="J590" s="28">
        <v>1.9298912792371323E-2</v>
      </c>
      <c r="K590" s="28">
        <v>-1.3359773227065382E-2</v>
      </c>
      <c r="L590" s="28">
        <v>1.3001630296967128E-2</v>
      </c>
      <c r="M590" s="28">
        <v>-3.6364585742098632E-3</v>
      </c>
      <c r="N590" s="28">
        <v>1.7615772502250941E-2</v>
      </c>
    </row>
    <row r="591" spans="1:14">
      <c r="A591" s="4">
        <v>41754</v>
      </c>
      <c r="B591" s="28">
        <v>9.5773973422771377E-5</v>
      </c>
      <c r="C591" s="28">
        <v>3.2714506090748478E-3</v>
      </c>
      <c r="D591" s="28">
        <v>-1.9281621859851407E-3</v>
      </c>
      <c r="E591" s="28">
        <v>5.1555051900947215E-3</v>
      </c>
      <c r="F591" s="28">
        <v>5.513630920887801E-4</v>
      </c>
      <c r="G591" s="28">
        <v>-3.0707204180383564E-3</v>
      </c>
      <c r="H591" s="28">
        <v>7.6595971816953668E-3</v>
      </c>
      <c r="I591" s="28">
        <v>4.481898283091857E-3</v>
      </c>
      <c r="J591" s="28">
        <v>6.6772898920127383E-3</v>
      </c>
      <c r="K591" s="28">
        <v>-3.0061755434735928E-3</v>
      </c>
      <c r="L591" s="28">
        <v>3.9616779116109137E-3</v>
      </c>
      <c r="M591" s="28">
        <v>5.8320824427368053E-3</v>
      </c>
      <c r="N591" s="28">
        <v>-4.3135736233171039E-3</v>
      </c>
    </row>
    <row r="592" spans="1:14">
      <c r="A592" s="4">
        <v>41761</v>
      </c>
      <c r="B592" s="28">
        <v>1.0911202087672687E-2</v>
      </c>
      <c r="C592" s="28">
        <v>3.6849500278360683E-3</v>
      </c>
      <c r="D592" s="28">
        <v>1.4958326433736315E-2</v>
      </c>
      <c r="E592" s="28">
        <v>1.699636868945089E-2</v>
      </c>
      <c r="F592" s="28">
        <v>1.3094615204782577E-2</v>
      </c>
      <c r="G592" s="28">
        <v>3.2533917738892235E-3</v>
      </c>
      <c r="H592" s="28">
        <v>1.0929733642920729E-2</v>
      </c>
      <c r="I592" s="28">
        <v>1.3943735885885589E-2</v>
      </c>
      <c r="J592" s="28">
        <v>1.4848913088657014E-2</v>
      </c>
      <c r="K592" s="28">
        <v>-6.5818379179336754E-3</v>
      </c>
      <c r="L592" s="28">
        <v>3.385482212160721E-2</v>
      </c>
      <c r="M592" s="28">
        <v>9.5124320341196875E-3</v>
      </c>
      <c r="N592" s="28">
        <v>1.0921499768624394E-2</v>
      </c>
    </row>
    <row r="593" spans="1:14">
      <c r="A593" s="4">
        <v>41768</v>
      </c>
      <c r="B593" s="28">
        <v>-3.3333530689939606E-3</v>
      </c>
      <c r="C593" s="28">
        <v>-5.2826201796192954E-5</v>
      </c>
      <c r="D593" s="28">
        <v>9.7889928214053255E-3</v>
      </c>
      <c r="E593" s="28">
        <v>6.641745351422812E-3</v>
      </c>
      <c r="F593" s="28">
        <v>9.7249274064386811E-4</v>
      </c>
      <c r="G593" s="28">
        <v>-8.936580678819795E-3</v>
      </c>
      <c r="H593" s="28">
        <v>4.0783532884453117E-3</v>
      </c>
      <c r="I593" s="28">
        <v>4.5996070193186816E-3</v>
      </c>
      <c r="J593" s="28">
        <v>4.3550231232615637E-3</v>
      </c>
      <c r="K593" s="28">
        <v>-1.4785843747019139E-2</v>
      </c>
      <c r="L593" s="28">
        <v>1.6195983943066729E-2</v>
      </c>
      <c r="M593" s="28">
        <v>-1.7842857511511758E-3</v>
      </c>
      <c r="N593" s="28">
        <v>-4.5185459773988863E-3</v>
      </c>
    </row>
    <row r="594" spans="1:14">
      <c r="A594" s="4">
        <v>41775</v>
      </c>
      <c r="B594" s="28">
        <v>1.9603649843179987E-4</v>
      </c>
      <c r="C594" s="28">
        <v>4.094246922711214E-3</v>
      </c>
      <c r="D594" s="28">
        <v>1.3517880224041313E-2</v>
      </c>
      <c r="E594" s="28">
        <v>-3.3934007958483513E-4</v>
      </c>
      <c r="F594" s="28">
        <v>1.0077751278244132E-2</v>
      </c>
      <c r="G594" s="28">
        <v>2.0454304455183151E-2</v>
      </c>
      <c r="H594" s="28">
        <v>5.7926139822917196E-3</v>
      </c>
      <c r="I594" s="28">
        <v>-5.0727695316778393E-3</v>
      </c>
      <c r="J594" s="28">
        <v>1.5849336156128151E-2</v>
      </c>
      <c r="K594" s="28">
        <v>3.1806738962044917E-2</v>
      </c>
      <c r="L594" s="28">
        <v>-6.3527099960967862E-4</v>
      </c>
      <c r="M594" s="28">
        <v>8.0473311593105522E-3</v>
      </c>
      <c r="N594" s="28">
        <v>1.3998008344640978E-2</v>
      </c>
    </row>
    <row r="595" spans="1:14">
      <c r="A595" s="4">
        <v>41782</v>
      </c>
      <c r="B595" s="28">
        <v>8.4635532669315606E-3</v>
      </c>
      <c r="C595" s="28">
        <v>-1.3679530686869802E-3</v>
      </c>
      <c r="D595" s="28">
        <v>-2.7631648865508807E-3</v>
      </c>
      <c r="E595" s="28">
        <v>-2.7540710614381721E-3</v>
      </c>
      <c r="F595" s="28">
        <v>7.3878040099011394E-3</v>
      </c>
      <c r="G595" s="28">
        <v>2.2590210537644741E-2</v>
      </c>
      <c r="H595" s="28">
        <v>6.0532687651315979E-4</v>
      </c>
      <c r="I595" s="28">
        <v>1.6729891911775401E-3</v>
      </c>
      <c r="J595" s="28">
        <v>9.7312124709385481E-3</v>
      </c>
      <c r="K595" s="28">
        <v>8.3133213616956945E-3</v>
      </c>
      <c r="L595" s="28">
        <v>-8.5937310610651983E-3</v>
      </c>
      <c r="M595" s="28">
        <v>-3.1910372519710559E-3</v>
      </c>
      <c r="N595" s="28">
        <v>1.4984378521092511E-2</v>
      </c>
    </row>
    <row r="596" spans="1:14">
      <c r="A596" s="4">
        <v>41789</v>
      </c>
      <c r="B596" s="28">
        <v>1.0153480099414591E-2</v>
      </c>
      <c r="C596" s="28">
        <v>3.8987381786569409E-3</v>
      </c>
      <c r="D596" s="28">
        <v>8.845313582352134E-3</v>
      </c>
      <c r="E596" s="28">
        <v>2.1797980122348598E-2</v>
      </c>
      <c r="F596" s="28">
        <v>6.5838093850975176E-3</v>
      </c>
      <c r="G596" s="28">
        <v>8.7101691224425386E-5</v>
      </c>
      <c r="H596" s="28">
        <v>1.2012790597182691E-2</v>
      </c>
      <c r="I596" s="28">
        <v>1.1670311933472984E-2</v>
      </c>
      <c r="J596" s="28">
        <v>1.6120910139012158E-2</v>
      </c>
      <c r="K596" s="28">
        <v>1.6244204541609468E-3</v>
      </c>
      <c r="L596" s="28">
        <v>1.4294893477708574E-2</v>
      </c>
      <c r="M596" s="28">
        <v>3.5812864551365238E-2</v>
      </c>
      <c r="N596" s="28">
        <v>2.735543147848163E-3</v>
      </c>
    </row>
    <row r="597" spans="1:14">
      <c r="A597" s="4">
        <v>41796</v>
      </c>
      <c r="B597" s="28">
        <v>1.1246633006448282E-2</v>
      </c>
      <c r="C597" s="28">
        <v>-4.5658505864755103E-3</v>
      </c>
      <c r="D597" s="28">
        <v>1.1038926741667855E-2</v>
      </c>
      <c r="E597" s="28">
        <v>-3.8718639316388825E-3</v>
      </c>
      <c r="F597" s="28">
        <v>7.8296029732127514E-3</v>
      </c>
      <c r="G597" s="28">
        <v>7.0473646775341021E-3</v>
      </c>
      <c r="H597" s="28">
        <v>-1.1421861656703673E-2</v>
      </c>
      <c r="I597" s="28">
        <v>1.2855966925943955E-2</v>
      </c>
      <c r="J597" s="28">
        <v>3.4495125688761134E-3</v>
      </c>
      <c r="K597" s="28">
        <v>7.7752812785078949E-3</v>
      </c>
      <c r="L597" s="28">
        <v>-1.6870686345414189E-3</v>
      </c>
      <c r="M597" s="28">
        <v>2.1020136609598079E-2</v>
      </c>
      <c r="N597" s="28">
        <v>1.1341488416592573E-2</v>
      </c>
    </row>
    <row r="598" spans="1:14">
      <c r="A598" s="4">
        <v>41803</v>
      </c>
      <c r="B598" s="28">
        <v>-4.185716674257837E-3</v>
      </c>
      <c r="C598" s="28">
        <v>-1.3180440226706567E-4</v>
      </c>
      <c r="D598" s="28">
        <v>-1.4732002925504093E-2</v>
      </c>
      <c r="E598" s="28">
        <v>-7.0892002486111078E-3</v>
      </c>
      <c r="F598" s="28">
        <v>-5.2429936110986236E-3</v>
      </c>
      <c r="G598" s="28">
        <v>7.6250603590552477E-3</v>
      </c>
      <c r="H598" s="28">
        <v>-5.4767303746894877E-3</v>
      </c>
      <c r="I598" s="28">
        <v>-5.5314078037821696E-3</v>
      </c>
      <c r="J598" s="28">
        <v>1.0712614696784674E-2</v>
      </c>
      <c r="K598" s="28">
        <v>-3.0802499402808304E-3</v>
      </c>
      <c r="L598" s="28">
        <v>-2.0234317040373366E-2</v>
      </c>
      <c r="M598" s="28">
        <v>-3.9027068730037515E-3</v>
      </c>
      <c r="N598" s="28">
        <v>-7.1356365582442901E-4</v>
      </c>
    </row>
    <row r="599" spans="1:14">
      <c r="A599" s="4">
        <v>41810</v>
      </c>
      <c r="B599" s="28">
        <v>1.17067409290127E-2</v>
      </c>
      <c r="C599" s="28">
        <v>8.9638808331129712E-4</v>
      </c>
      <c r="D599" s="28">
        <v>1.0392364793213192E-2</v>
      </c>
      <c r="E599" s="28">
        <v>6.9459890567309139E-3</v>
      </c>
      <c r="F599" s="28">
        <v>3.3574859213842706E-2</v>
      </c>
      <c r="G599" s="28">
        <v>4.5132357253722336E-3</v>
      </c>
      <c r="H599" s="28">
        <v>1.8270888615763998E-2</v>
      </c>
      <c r="I599" s="28">
        <v>5.9133971961866432E-3</v>
      </c>
      <c r="J599" s="28">
        <v>3.0218764566891454E-3</v>
      </c>
      <c r="K599" s="28">
        <v>-1.6596463792972992E-2</v>
      </c>
      <c r="L599" s="28">
        <v>4.7979121414289862E-3</v>
      </c>
      <c r="M599" s="28">
        <v>-1.594412230572301E-3</v>
      </c>
      <c r="N599" s="28">
        <v>3.8532904168131793E-2</v>
      </c>
    </row>
    <row r="600" spans="1:14">
      <c r="A600" s="4">
        <v>41817</v>
      </c>
      <c r="B600" s="28">
        <v>-3.7598072598044921E-3</v>
      </c>
      <c r="C600" s="28">
        <v>5.873985881361338E-3</v>
      </c>
      <c r="D600" s="28">
        <v>2.3089840470192995E-3</v>
      </c>
      <c r="E600" s="28">
        <v>1.527295676869721E-3</v>
      </c>
      <c r="F600" s="28">
        <v>9.0170695946067969E-3</v>
      </c>
      <c r="G600" s="28">
        <v>3.1543270531606189E-3</v>
      </c>
      <c r="H600" s="28">
        <v>-8.2741913470727054E-4</v>
      </c>
      <c r="I600" s="28">
        <v>-6.2620237016685438E-3</v>
      </c>
      <c r="J600" s="28">
        <v>6.3043861476577675E-3</v>
      </c>
      <c r="K600" s="28">
        <v>-1.9578171621055201E-3</v>
      </c>
      <c r="L600" s="28">
        <v>9.4241788990511999E-3</v>
      </c>
      <c r="M600" s="28">
        <v>3.9277489874863392E-3</v>
      </c>
      <c r="N600" s="28">
        <v>9.3552386210920199E-3</v>
      </c>
    </row>
    <row r="601" spans="1:14">
      <c r="A601" s="4">
        <v>41824</v>
      </c>
      <c r="B601" s="28">
        <v>1.297060073756658E-2</v>
      </c>
      <c r="C601" s="28">
        <v>-5.3683190614607365E-3</v>
      </c>
      <c r="D601" s="28">
        <v>-1.1518324607329784E-3</v>
      </c>
      <c r="E601" s="28">
        <v>1.2250144934842227E-2</v>
      </c>
      <c r="F601" s="28">
        <v>-5.643288791844136E-3</v>
      </c>
      <c r="G601" s="28">
        <v>8.9754054725485199E-3</v>
      </c>
      <c r="H601" s="28">
        <v>-5.8052674264736882E-3</v>
      </c>
      <c r="I601" s="28">
        <v>1.3879798738325493E-2</v>
      </c>
      <c r="J601" s="28">
        <v>7.634438739760315E-3</v>
      </c>
      <c r="K601" s="28">
        <v>1.8914149634223582E-2</v>
      </c>
      <c r="L601" s="28">
        <v>9.1462920729435352E-3</v>
      </c>
      <c r="M601" s="28">
        <v>6.1888037647976806E-3</v>
      </c>
      <c r="N601" s="28">
        <v>-1.6591493182779517E-3</v>
      </c>
    </row>
    <row r="602" spans="1:14">
      <c r="A602" s="4">
        <v>41831</v>
      </c>
      <c r="B602" s="28">
        <v>-1.5549153926416591E-2</v>
      </c>
      <c r="C602" s="28">
        <v>5.8712021483861253E-3</v>
      </c>
      <c r="D602" s="28">
        <v>3.1974001467658308E-3</v>
      </c>
      <c r="E602" s="28">
        <v>-1.6002016982494541E-2</v>
      </c>
      <c r="F602" s="28">
        <v>4.6546871617233025E-3</v>
      </c>
      <c r="G602" s="28">
        <v>5.0967467349516665E-3</v>
      </c>
      <c r="H602" s="28">
        <v>2.546047829633889E-3</v>
      </c>
      <c r="I602" s="28">
        <v>-1.361957159391799E-2</v>
      </c>
      <c r="J602" s="28">
        <v>-1.2475937907949342E-2</v>
      </c>
      <c r="K602" s="28">
        <v>1.2816740369579381E-2</v>
      </c>
      <c r="L602" s="28">
        <v>6.720959342030975E-3</v>
      </c>
      <c r="M602" s="28">
        <v>-1.5719321550760904E-2</v>
      </c>
      <c r="N602" s="28">
        <v>1.6929220351248309E-3</v>
      </c>
    </row>
    <row r="603" spans="1:14">
      <c r="A603" s="4">
        <v>41838</v>
      </c>
      <c r="B603" s="28">
        <v>4.7752906072510478E-3</v>
      </c>
      <c r="C603" s="28">
        <v>4.1879335165545913E-4</v>
      </c>
      <c r="D603" s="28">
        <v>1.0867861434766772E-2</v>
      </c>
      <c r="E603" s="28">
        <v>5.2604774602933941E-3</v>
      </c>
      <c r="F603" s="28">
        <v>1.1900913797261142E-2</v>
      </c>
      <c r="G603" s="28">
        <v>5.3788652938952823E-3</v>
      </c>
      <c r="H603" s="28">
        <v>5.4517500845813619E-3</v>
      </c>
      <c r="I603" s="28">
        <v>1.4117625446629397E-2</v>
      </c>
      <c r="J603" s="28">
        <v>2.877518228549922E-3</v>
      </c>
      <c r="K603" s="28">
        <v>1.2243661311276508E-3</v>
      </c>
      <c r="L603" s="28">
        <v>5.420779240337942E-3</v>
      </c>
      <c r="M603" s="28">
        <v>3.9293283238496998E-3</v>
      </c>
      <c r="N603" s="28">
        <v>1.295799360099088E-2</v>
      </c>
    </row>
    <row r="604" spans="1:14">
      <c r="A604" s="4">
        <v>41845</v>
      </c>
      <c r="B604" s="28">
        <v>2.2587728098790094E-3</v>
      </c>
      <c r="C604" s="28">
        <v>-1.8314539127702883E-4</v>
      </c>
      <c r="D604" s="28">
        <v>-1.6023156044864954E-3</v>
      </c>
      <c r="E604" s="28">
        <v>3.8641384041233455E-3</v>
      </c>
      <c r="F604" s="28">
        <v>3.2197464259547748E-3</v>
      </c>
      <c r="G604" s="28">
        <v>6.6206032337226038E-3</v>
      </c>
      <c r="H604" s="28">
        <v>1.6015265614882966E-3</v>
      </c>
      <c r="I604" s="28">
        <v>3.9535178610245721E-3</v>
      </c>
      <c r="J604" s="28">
        <v>-1.1378107436143791E-2</v>
      </c>
      <c r="K604" s="28">
        <v>6.897809613822096E-3</v>
      </c>
      <c r="L604" s="28">
        <v>-1.0929371010469063E-2</v>
      </c>
      <c r="M604" s="28">
        <v>6.7916469743914811E-4</v>
      </c>
      <c r="N604" s="28">
        <v>1.0115084237178483E-2</v>
      </c>
    </row>
    <row r="605" spans="1:14">
      <c r="A605" s="4">
        <v>41852</v>
      </c>
      <c r="B605" s="28">
        <v>-2.430430430430431E-2</v>
      </c>
      <c r="C605" s="28">
        <v>-1.8579578165069859E-3</v>
      </c>
      <c r="D605" s="28">
        <v>-7.7655829364257608E-3</v>
      </c>
      <c r="E605" s="28">
        <v>-3.2236021340220952E-2</v>
      </c>
      <c r="F605" s="28">
        <v>-2.9632737022726237E-2</v>
      </c>
      <c r="G605" s="28">
        <v>-1.1905791062530417E-2</v>
      </c>
      <c r="H605" s="28">
        <v>-3.2489623732734611E-2</v>
      </c>
      <c r="I605" s="28">
        <v>-1.0286933496925801E-2</v>
      </c>
      <c r="J605" s="28">
        <v>-3.1773395834140447E-2</v>
      </c>
      <c r="K605" s="28">
        <v>-1.7641004528612562E-2</v>
      </c>
      <c r="L605" s="28">
        <v>9.9076229856140709E-3</v>
      </c>
      <c r="M605" s="28">
        <v>-3.4680362021977287E-2</v>
      </c>
      <c r="N605" s="28">
        <v>-3.670631668402468E-2</v>
      </c>
    </row>
    <row r="606" spans="1:14">
      <c r="A606" s="4">
        <v>41859</v>
      </c>
      <c r="B606" s="28">
        <v>-8.8933964918863576E-3</v>
      </c>
      <c r="C606" s="28">
        <v>3.4868783262983617E-3</v>
      </c>
      <c r="D606" s="28">
        <v>-1.0748199937389138E-2</v>
      </c>
      <c r="E606" s="28">
        <v>-2.7239925114498346E-2</v>
      </c>
      <c r="F606" s="28">
        <v>8.7060692474967231E-3</v>
      </c>
      <c r="G606" s="28">
        <v>-1.0964359706590489E-2</v>
      </c>
      <c r="H606" s="28">
        <v>-4.1624178065331943E-3</v>
      </c>
      <c r="I606" s="28">
        <v>-2.4495404690337834E-2</v>
      </c>
      <c r="J606" s="28">
        <v>-8.8291977033416319E-3</v>
      </c>
      <c r="K606" s="28">
        <v>-1.3917817404605761E-2</v>
      </c>
      <c r="L606" s="28">
        <v>2.8473299748333014E-2</v>
      </c>
      <c r="M606" s="28">
        <v>-4.8810188238875743E-2</v>
      </c>
      <c r="N606" s="28">
        <v>-6.0733461257541526E-4</v>
      </c>
    </row>
    <row r="607" spans="1:14">
      <c r="A607" s="4">
        <v>41866</v>
      </c>
      <c r="B607" s="28">
        <v>1.4001029226483106E-2</v>
      </c>
      <c r="C607" s="28">
        <v>3.6576444769569291E-3</v>
      </c>
      <c r="D607" s="28">
        <v>2.2943037974683514E-2</v>
      </c>
      <c r="E607" s="28">
        <v>2.2062544950853653E-2</v>
      </c>
      <c r="F607" s="28">
        <v>3.3062417382683396E-2</v>
      </c>
      <c r="G607" s="28">
        <v>2.2334587117981922E-2</v>
      </c>
      <c r="H607" s="28">
        <v>1.9442544082272074E-2</v>
      </c>
      <c r="I607" s="28">
        <v>2.7899772933272136E-2</v>
      </c>
      <c r="J607" s="28">
        <v>2.4190455686153248E-2</v>
      </c>
      <c r="K607" s="28">
        <v>2.4569262284631119E-2</v>
      </c>
      <c r="L607" s="28">
        <v>4.3283434233667203E-3</v>
      </c>
      <c r="M607" s="28">
        <v>2.7364378300528149E-2</v>
      </c>
      <c r="N607" s="28">
        <v>4.1360522834728193E-2</v>
      </c>
    </row>
    <row r="608" spans="1:14">
      <c r="A608" s="4">
        <v>41873</v>
      </c>
      <c r="B608" s="28">
        <v>1.2658523211181529E-2</v>
      </c>
      <c r="C608" s="28">
        <v>-4.9718867138692857E-3</v>
      </c>
      <c r="D608" s="28">
        <v>9.3323021397267465E-3</v>
      </c>
      <c r="E608" s="28">
        <v>9.0339269076148282E-3</v>
      </c>
      <c r="F608" s="28">
        <v>5.7605702089799232E-3</v>
      </c>
      <c r="G608" s="28">
        <v>1.41075649913644E-2</v>
      </c>
      <c r="H608" s="28">
        <v>8.1872104602330655E-3</v>
      </c>
      <c r="I608" s="28">
        <v>1.1113358529673246E-2</v>
      </c>
      <c r="J608" s="28">
        <v>5.3702164837727195E-3</v>
      </c>
      <c r="K608" s="28">
        <v>1.0320439697189716E-2</v>
      </c>
      <c r="L608" s="28">
        <v>3.6670577967251408E-3</v>
      </c>
      <c r="M608" s="28">
        <v>1.2672452158433493E-2</v>
      </c>
      <c r="N608" s="28">
        <v>8.1825156267685585E-3</v>
      </c>
    </row>
    <row r="609" spans="1:14">
      <c r="A609" s="4">
        <v>41880</v>
      </c>
      <c r="B609" s="28">
        <v>7.3331182746146327E-3</v>
      </c>
      <c r="C609" s="28">
        <v>4.0287769784173198E-3</v>
      </c>
      <c r="D609" s="28">
        <v>-5.1082958724966445E-4</v>
      </c>
      <c r="E609" s="28">
        <v>1.6049617889302526E-2</v>
      </c>
      <c r="F609" s="28">
        <v>1.7344243475408742E-2</v>
      </c>
      <c r="G609" s="28">
        <v>-1.2580247714155911E-2</v>
      </c>
      <c r="H609" s="28">
        <v>1.4927360098943044E-2</v>
      </c>
      <c r="I609" s="28">
        <v>9.0334703675648293E-3</v>
      </c>
      <c r="J609" s="28">
        <v>9.9120525854972177E-3</v>
      </c>
      <c r="K609" s="28">
        <v>-9.705907711762593E-3</v>
      </c>
      <c r="L609" s="28">
        <v>9.7974065313207667E-3</v>
      </c>
      <c r="M609" s="28">
        <v>1.6414155286258805E-2</v>
      </c>
      <c r="N609" s="28">
        <v>1.3422885770743145E-2</v>
      </c>
    </row>
    <row r="610" spans="1:14">
      <c r="A610" s="4">
        <v>41887</v>
      </c>
      <c r="B610" s="28">
        <v>1.1094018951329592E-3</v>
      </c>
      <c r="C610" s="28">
        <v>-7.425936058782205E-3</v>
      </c>
      <c r="D610" s="28">
        <v>6.2353061433098175E-3</v>
      </c>
      <c r="E610" s="28">
        <v>4.3343141678688366E-3</v>
      </c>
      <c r="F610" s="28">
        <v>1.1218336227678694E-2</v>
      </c>
      <c r="G610" s="28">
        <v>2.0033665960395845E-2</v>
      </c>
      <c r="H610" s="28">
        <v>1.1200108319899236E-2</v>
      </c>
      <c r="I610" s="28">
        <v>3.1163681725029081E-2</v>
      </c>
      <c r="J610" s="28">
        <v>-3.1540536868461403E-3</v>
      </c>
      <c r="K610" s="28">
        <v>1.1194076260699115E-4</v>
      </c>
      <c r="L610" s="28">
        <v>9.2679780362655059E-3</v>
      </c>
      <c r="M610" s="28">
        <v>1.388633669502303E-2</v>
      </c>
      <c r="N610" s="28">
        <v>1.2590229154972654E-2</v>
      </c>
    </row>
    <row r="611" spans="1:14">
      <c r="A611" s="4">
        <v>41894</v>
      </c>
      <c r="B611" s="28">
        <v>-1.2069940535692927E-2</v>
      </c>
      <c r="C611" s="28">
        <v>-9.529059694440057E-3</v>
      </c>
      <c r="D611" s="28">
        <v>-3.890694839496138E-2</v>
      </c>
      <c r="E611" s="28">
        <v>-2.1846979390119575E-2</v>
      </c>
      <c r="F611" s="28">
        <v>-3.1375902147763854E-2</v>
      </c>
      <c r="G611" s="28">
        <v>-3.242869583780917E-2</v>
      </c>
      <c r="H611" s="28">
        <v>-2.8106484116091481E-2</v>
      </c>
      <c r="I611" s="28">
        <v>-2.7497785746689412E-2</v>
      </c>
      <c r="J611" s="28">
        <v>-3.1971338726793169E-2</v>
      </c>
      <c r="K611" s="28">
        <v>-2.197109764287507E-3</v>
      </c>
      <c r="L611" s="28">
        <v>-2.2866593725775469E-2</v>
      </c>
      <c r="M611" s="28">
        <v>-3.7950482066007318E-2</v>
      </c>
      <c r="N611" s="28">
        <v>-3.0500702646717073E-2</v>
      </c>
    </row>
    <row r="612" spans="1:14">
      <c r="A612" s="4">
        <v>41901</v>
      </c>
      <c r="B612" s="28">
        <v>6.256143394044485E-3</v>
      </c>
      <c r="C612" s="28">
        <v>-1.0601362275057767E-4</v>
      </c>
      <c r="D612" s="28">
        <v>-1.1098192580065502E-2</v>
      </c>
      <c r="E612" s="28">
        <v>-9.1636288358343428E-3</v>
      </c>
      <c r="F612" s="28">
        <v>1.0049323977238202E-2</v>
      </c>
      <c r="G612" s="28">
        <v>-2.5415092159039469E-2</v>
      </c>
      <c r="H612" s="28">
        <v>-2.462683032888983E-3</v>
      </c>
      <c r="I612" s="28">
        <v>-2.4056990410523806E-2</v>
      </c>
      <c r="J612" s="28">
        <v>-7.9182296957079623E-3</v>
      </c>
      <c r="K612" s="28">
        <v>5.604580051184806E-3</v>
      </c>
      <c r="L612" s="28">
        <v>-2.2590866505835211E-3</v>
      </c>
      <c r="M612" s="28">
        <v>-2.0638016504502869E-2</v>
      </c>
      <c r="N612" s="28">
        <v>8.4562778835229977E-3</v>
      </c>
    </row>
    <row r="613" spans="1:14">
      <c r="A613" s="4">
        <v>41908</v>
      </c>
      <c r="B613" s="28">
        <v>-1.8645996138641197E-2</v>
      </c>
      <c r="C613" s="28">
        <v>9.8072998118059885E-4</v>
      </c>
      <c r="D613" s="28">
        <v>-1.2077811030354803E-2</v>
      </c>
      <c r="E613" s="28">
        <v>-2.0746007495331651E-2</v>
      </c>
      <c r="F613" s="28">
        <v>-2.957151180589164E-2</v>
      </c>
      <c r="G613" s="28">
        <v>-1.5667560244644052E-2</v>
      </c>
      <c r="H613" s="28">
        <v>-1.7639569261313319E-2</v>
      </c>
      <c r="I613" s="28">
        <v>-1.8106252176505841E-2</v>
      </c>
      <c r="J613" s="28">
        <v>-2.8060026289379147E-2</v>
      </c>
      <c r="K613" s="28">
        <v>-2.975066619843408E-2</v>
      </c>
      <c r="L613" s="28">
        <v>-1.1922169351838114E-2</v>
      </c>
      <c r="M613" s="28">
        <v>-2.9110577195080031E-2</v>
      </c>
      <c r="N613" s="28">
        <v>-3.2332908096655545E-2</v>
      </c>
    </row>
    <row r="614" spans="1:14">
      <c r="A614" s="4">
        <v>41915</v>
      </c>
      <c r="B614" s="28">
        <v>-1.9076393402308097E-2</v>
      </c>
      <c r="C614" s="28">
        <v>1.2180913038873965E-3</v>
      </c>
      <c r="D614" s="28">
        <v>-1.7797251974467274E-2</v>
      </c>
      <c r="E614" s="28">
        <v>-1.7508475875840496E-2</v>
      </c>
      <c r="F614" s="28">
        <v>-6.2583635651291658E-4</v>
      </c>
      <c r="G614" s="28">
        <v>-2.2878775709873476E-2</v>
      </c>
      <c r="H614" s="28">
        <v>8.6112966152333684E-4</v>
      </c>
      <c r="I614" s="28">
        <v>-8.3774536620646288E-3</v>
      </c>
      <c r="J614" s="28">
        <v>-1.3958759947572112E-2</v>
      </c>
      <c r="K614" s="28">
        <v>-2.8848938018429256E-2</v>
      </c>
      <c r="L614" s="28">
        <v>2.4436252322180404E-3</v>
      </c>
      <c r="M614" s="28">
        <v>-1.8076291038774946E-2</v>
      </c>
      <c r="N614" s="28">
        <v>-1.2504914847851692E-2</v>
      </c>
    </row>
    <row r="615" spans="1:14">
      <c r="A615" s="4">
        <v>41922</v>
      </c>
      <c r="B615" s="28">
        <v>-2.9015871878898519E-2</v>
      </c>
      <c r="C615" s="28">
        <v>8.198889182755794E-3</v>
      </c>
      <c r="D615" s="28">
        <v>8.316351820234727E-3</v>
      </c>
      <c r="E615" s="28">
        <v>-1.6493788956863747E-2</v>
      </c>
      <c r="F615" s="28">
        <v>-3.3564308043214933E-2</v>
      </c>
      <c r="G615" s="28">
        <v>3.3588014421549314E-3</v>
      </c>
      <c r="H615" s="28">
        <v>6.1895313515120652E-4</v>
      </c>
      <c r="I615" s="28">
        <v>-3.0653463680098768E-2</v>
      </c>
      <c r="J615" s="28">
        <v>9.5833127657625021E-3</v>
      </c>
      <c r="K615" s="28">
        <v>-1.5701388614848991E-2</v>
      </c>
      <c r="L615" s="28">
        <v>-1.1702883702593099E-2</v>
      </c>
      <c r="M615" s="28">
        <v>-2.1411954612353373E-2</v>
      </c>
      <c r="N615" s="28">
        <v>-4.2231712299713009E-2</v>
      </c>
    </row>
    <row r="616" spans="1:14">
      <c r="A616" s="4">
        <v>41929</v>
      </c>
      <c r="B616" s="28">
        <v>-8.0655076597733535E-3</v>
      </c>
      <c r="C616" s="28">
        <v>5.7712486883525413E-3</v>
      </c>
      <c r="D616" s="28">
        <v>4.9705046974000246E-3</v>
      </c>
      <c r="E616" s="28">
        <v>6.016780746301631E-3</v>
      </c>
      <c r="F616" s="28">
        <v>5.642142749899267E-3</v>
      </c>
      <c r="G616" s="28">
        <v>1.5527603387028579E-3</v>
      </c>
      <c r="H616" s="28">
        <v>6.9446577025161259E-3</v>
      </c>
      <c r="I616" s="28">
        <v>9.4292073919216633E-4</v>
      </c>
      <c r="J616" s="28">
        <v>1.0983599687080847E-2</v>
      </c>
      <c r="K616" s="28">
        <v>2.3698371405151764E-3</v>
      </c>
      <c r="L616" s="28">
        <v>4.7108656970246035E-4</v>
      </c>
      <c r="M616" s="28">
        <v>5.9350540138430026E-3</v>
      </c>
      <c r="N616" s="28">
        <v>5.2631149924055425E-3</v>
      </c>
    </row>
    <row r="617" spans="1:14">
      <c r="A617" s="4">
        <v>41936</v>
      </c>
      <c r="B617" s="28">
        <v>3.366469173752458E-2</v>
      </c>
      <c r="C617" s="28">
        <v>-4.4340114762649683E-3</v>
      </c>
      <c r="D617" s="28">
        <v>2.9023316484591572E-2</v>
      </c>
      <c r="E617" s="28">
        <v>2.5895061728395136E-2</v>
      </c>
      <c r="F617" s="28">
        <v>3.7997826001545415E-2</v>
      </c>
      <c r="G617" s="28">
        <v>2.5887549215342958E-2</v>
      </c>
      <c r="H617" s="28">
        <v>2.9050921891882398E-2</v>
      </c>
      <c r="I617" s="28">
        <v>2.2464222040186905E-2</v>
      </c>
      <c r="J617" s="28">
        <v>3.0713587420245148E-2</v>
      </c>
      <c r="K617" s="28">
        <v>1.6260776819838303E-2</v>
      </c>
      <c r="L617" s="28">
        <v>3.6175266615689122E-2</v>
      </c>
      <c r="M617" s="28">
        <v>2.8189958683664907E-2</v>
      </c>
      <c r="N617" s="28">
        <v>3.6097521420655782E-2</v>
      </c>
    </row>
    <row r="618" spans="1:14">
      <c r="A618" s="4">
        <v>41943</v>
      </c>
      <c r="B618" s="28">
        <v>2.4108449049092144E-2</v>
      </c>
      <c r="C618" s="28">
        <v>-6.0256746135708972E-3</v>
      </c>
      <c r="D618" s="28">
        <v>2.8257539745418021E-2</v>
      </c>
      <c r="E618" s="28">
        <v>2.1788327633870463E-2</v>
      </c>
      <c r="F618" s="28">
        <v>1.0615909480887756E-2</v>
      </c>
      <c r="G618" s="28">
        <v>1.0948270238535314E-2</v>
      </c>
      <c r="H618" s="28">
        <v>3.1499263323680374E-2</v>
      </c>
      <c r="I618" s="28">
        <v>1.7342783893831874E-2</v>
      </c>
      <c r="J618" s="28">
        <v>2.4090732374351519E-2</v>
      </c>
      <c r="K618" s="28">
        <v>9.7429147407502217E-3</v>
      </c>
      <c r="L618" s="28">
        <v>-1.7809524291737135E-2</v>
      </c>
      <c r="M618" s="28">
        <v>2.9844503686099106E-2</v>
      </c>
      <c r="N618" s="28">
        <v>1.0961977434292045E-2</v>
      </c>
    </row>
    <row r="619" spans="1:14">
      <c r="A619" s="4">
        <v>41950</v>
      </c>
      <c r="B619" s="28">
        <v>-6.3228518403592746E-4</v>
      </c>
      <c r="C619" s="28">
        <v>-3.2419609910383802E-3</v>
      </c>
      <c r="D619" s="28">
        <v>-1.1814259297308461E-2</v>
      </c>
      <c r="E619" s="28">
        <v>-2.3859141751371528E-2</v>
      </c>
      <c r="F619" s="28">
        <v>3.0162372440381579E-3</v>
      </c>
      <c r="G619" s="28">
        <v>-1.6776899499920384E-3</v>
      </c>
      <c r="H619" s="28">
        <v>-6.3168004728366605E-3</v>
      </c>
      <c r="I619" s="28">
        <v>9.0331307441459427E-4</v>
      </c>
      <c r="J619" s="28">
        <v>-1.197473491294662E-2</v>
      </c>
      <c r="K619" s="28">
        <v>1.8929698969715095E-2</v>
      </c>
      <c r="L619" s="28">
        <v>1.3097690323328933E-2</v>
      </c>
      <c r="M619" s="28">
        <v>-1.59188646516942E-2</v>
      </c>
      <c r="N619" s="28">
        <v>-7.2898146451731106E-3</v>
      </c>
    </row>
    <row r="620" spans="1:14">
      <c r="A620" s="4">
        <v>41957</v>
      </c>
      <c r="B620" s="28">
        <v>5.9695022290437985E-3</v>
      </c>
      <c r="C620" s="28">
        <v>-6.0819208292571644E-4</v>
      </c>
      <c r="D620" s="28">
        <v>1.0811934712548148E-2</v>
      </c>
      <c r="E620" s="28">
        <v>9.880151218596523E-3</v>
      </c>
      <c r="F620" s="28">
        <v>-1.6559333046225228E-2</v>
      </c>
      <c r="G620" s="28">
        <v>1.1519388696779357E-2</v>
      </c>
      <c r="H620" s="28">
        <v>-6.0554240655604392E-3</v>
      </c>
      <c r="I620" s="28">
        <v>1.0878570073171797E-2</v>
      </c>
      <c r="J620" s="28">
        <v>-5.6144232712048887E-3</v>
      </c>
      <c r="K620" s="28">
        <v>6.6092027303869148E-3</v>
      </c>
      <c r="L620" s="28">
        <v>5.445862789530115E-3</v>
      </c>
      <c r="M620" s="28">
        <v>1.0421688838147539E-2</v>
      </c>
      <c r="N620" s="28">
        <v>-1.3558546615302196E-2</v>
      </c>
    </row>
    <row r="621" spans="1:14">
      <c r="A621" s="4">
        <v>41964</v>
      </c>
      <c r="B621" s="28">
        <v>1.1670160726764479E-2</v>
      </c>
      <c r="C621" s="28">
        <v>-5.2918452664395961E-5</v>
      </c>
      <c r="D621" s="28">
        <v>6.6851794713563434E-4</v>
      </c>
      <c r="E621" s="28">
        <v>1.616532370471653E-2</v>
      </c>
      <c r="F621" s="28">
        <v>2.2624697826884775E-2</v>
      </c>
      <c r="G621" s="28">
        <v>-1.1728997674790098E-2</v>
      </c>
      <c r="H621" s="28">
        <v>8.0870710756303366E-3</v>
      </c>
      <c r="I621" s="28">
        <v>4.0541623267366473E-3</v>
      </c>
      <c r="J621" s="28">
        <v>2.3407260347894442E-2</v>
      </c>
      <c r="K621" s="28">
        <v>1.5491928911933749E-2</v>
      </c>
      <c r="L621" s="28">
        <v>2.1539364704086232E-2</v>
      </c>
      <c r="M621" s="28">
        <v>1.3406166378464585E-2</v>
      </c>
      <c r="N621" s="28">
        <v>2.1052160026983832E-2</v>
      </c>
    </row>
    <row r="622" spans="1:14">
      <c r="A622" s="4">
        <v>41971</v>
      </c>
      <c r="B622" s="28">
        <v>1.3009140936197595E-3</v>
      </c>
      <c r="C622" s="28">
        <v>5.2127434377645275E-3</v>
      </c>
      <c r="D622" s="28">
        <v>9.8155095328639527E-3</v>
      </c>
      <c r="E622" s="28">
        <v>1.2534495991116808E-2</v>
      </c>
      <c r="F622" s="28">
        <v>-1.5772550514489062E-2</v>
      </c>
      <c r="G622" s="28">
        <v>2.5503698036216557E-4</v>
      </c>
      <c r="H622" s="28">
        <v>4.9345156383333129E-3</v>
      </c>
      <c r="I622" s="28">
        <v>-4.3136664797107363E-3</v>
      </c>
      <c r="J622" s="28">
        <v>1.3084531935045982E-3</v>
      </c>
      <c r="K622" s="28">
        <v>2.5488353527206051E-3</v>
      </c>
      <c r="L622" s="28">
        <v>3.0487734392416855E-2</v>
      </c>
      <c r="M622" s="28">
        <v>1.7948553757142729E-2</v>
      </c>
      <c r="N622" s="28">
        <v>-2.7028840570359383E-2</v>
      </c>
    </row>
    <row r="623" spans="1:14">
      <c r="A623" s="4">
        <v>41978</v>
      </c>
      <c r="B623" s="28">
        <v>-5.6338028169015128E-4</v>
      </c>
      <c r="C623" s="28">
        <v>-8.0812866882518444E-3</v>
      </c>
      <c r="D623" s="28">
        <v>-9.6692111959287824E-3</v>
      </c>
      <c r="E623" s="28">
        <v>-7.2959975228443072E-3</v>
      </c>
      <c r="F623" s="28">
        <v>-1.3832267410428069E-4</v>
      </c>
      <c r="G623" s="28">
        <v>1.0019320409966042E-3</v>
      </c>
      <c r="H623" s="28">
        <v>6.7275427239998009E-4</v>
      </c>
      <c r="I623" s="28">
        <v>3.9453738602379506E-3</v>
      </c>
      <c r="J623" s="28">
        <v>-2.1509256098948454E-2</v>
      </c>
      <c r="K623" s="28">
        <v>5.9846960993716006E-3</v>
      </c>
      <c r="L623" s="28">
        <v>-3.8706878177998415E-2</v>
      </c>
      <c r="M623" s="28">
        <v>-5.1397615505871953E-3</v>
      </c>
      <c r="N623" s="28">
        <v>7.5092439827905274E-3</v>
      </c>
    </row>
    <row r="624" spans="1:14">
      <c r="A624" s="4">
        <v>41985</v>
      </c>
      <c r="B624" s="28">
        <v>-3.6513816349538701E-2</v>
      </c>
      <c r="C624" s="28">
        <v>1.088052651133173E-2</v>
      </c>
      <c r="D624" s="28">
        <v>-8.8386433710174669E-3</v>
      </c>
      <c r="E624" s="28">
        <v>-3.4821344441159197E-2</v>
      </c>
      <c r="F624" s="28">
        <v>-5.4473974132596782E-2</v>
      </c>
      <c r="G624" s="28">
        <v>-1.2900864960662421E-2</v>
      </c>
      <c r="H624" s="28">
        <v>-1.9947691626560973E-2</v>
      </c>
      <c r="I624" s="28">
        <v>-9.5087777719489001E-3</v>
      </c>
      <c r="J624" s="28">
        <v>-5.1724481592461949E-3</v>
      </c>
      <c r="K624" s="28">
        <v>-2.3767511275653696E-2</v>
      </c>
      <c r="L624" s="28">
        <v>-2.8447733712642014E-2</v>
      </c>
      <c r="M624" s="28">
        <v>-2.5493106000587656E-2</v>
      </c>
      <c r="N624" s="28">
        <v>-6.935942901222375E-2</v>
      </c>
    </row>
    <row r="625" spans="1:14">
      <c r="A625" s="4">
        <v>41992</v>
      </c>
      <c r="B625" s="28">
        <v>2.5050148056165844E-2</v>
      </c>
      <c r="C625" s="28">
        <v>-4.121600336028544E-3</v>
      </c>
      <c r="D625" s="28">
        <v>7.4139361260887951E-3</v>
      </c>
      <c r="E625" s="28">
        <v>1.821554330189128E-2</v>
      </c>
      <c r="F625" s="28">
        <v>4.4292634653599672E-2</v>
      </c>
      <c r="G625" s="28">
        <v>-6.9308909847533885E-3</v>
      </c>
      <c r="H625" s="28">
        <v>2.1169354838709731E-2</v>
      </c>
      <c r="I625" s="28">
        <v>1.1083017859939048E-2</v>
      </c>
      <c r="J625" s="28">
        <v>1.3320599343487088E-2</v>
      </c>
      <c r="K625" s="28">
        <v>-7.7198227988157361E-3</v>
      </c>
      <c r="L625" s="28">
        <v>1.5960490632697225E-2</v>
      </c>
      <c r="M625" s="28">
        <v>3.8892684434909518E-3</v>
      </c>
      <c r="N625" s="28">
        <v>4.8677748608156345E-2</v>
      </c>
    </row>
    <row r="626" spans="1:14">
      <c r="A626" s="4">
        <v>41999</v>
      </c>
      <c r="B626" s="28">
        <v>7.2335468841002171E-3</v>
      </c>
      <c r="C626" s="28">
        <v>-2.9787794912349949E-3</v>
      </c>
      <c r="D626" s="28">
        <v>1.1630899078791574E-2</v>
      </c>
      <c r="E626" s="28">
        <v>7.2768750103316959E-3</v>
      </c>
      <c r="F626" s="28">
        <v>2.5565583772120794E-2</v>
      </c>
      <c r="G626" s="28">
        <v>3.1913569854851082E-3</v>
      </c>
      <c r="H626" s="28">
        <v>2.0853387292991875E-2</v>
      </c>
      <c r="I626" s="28">
        <v>1.6172414656976573E-2</v>
      </c>
      <c r="J626" s="28">
        <v>1.828307793705718E-2</v>
      </c>
      <c r="K626" s="28">
        <v>5.1326793352201158E-3</v>
      </c>
      <c r="L626" s="28">
        <v>9.2484338589622662E-3</v>
      </c>
      <c r="M626" s="28">
        <v>7.3682049410315909E-3</v>
      </c>
      <c r="N626" s="28">
        <v>2.1799592657036217E-2</v>
      </c>
    </row>
    <row r="627" spans="1:14">
      <c r="A627" s="4">
        <v>42006</v>
      </c>
      <c r="B627" s="28">
        <v>-1.4288027199870497E-2</v>
      </c>
      <c r="C627" s="28">
        <v>4.8120141716461139E-3</v>
      </c>
      <c r="D627" s="28">
        <v>-3.4593274660426662E-3</v>
      </c>
      <c r="E627" s="28">
        <v>-1.9700261926174887E-2</v>
      </c>
      <c r="F627" s="28">
        <v>-3.0204051217724648E-3</v>
      </c>
      <c r="G627" s="28">
        <v>1.6891029148882234E-3</v>
      </c>
      <c r="H627" s="28">
        <v>-2.1378358424549701E-2</v>
      </c>
      <c r="I627" s="28">
        <v>-2.4073136074516645E-2</v>
      </c>
      <c r="J627" s="28">
        <v>-1.3802678334487631E-2</v>
      </c>
      <c r="K627" s="28">
        <v>1.1978608719952899E-2</v>
      </c>
      <c r="L627" s="28">
        <v>-6.1552814389795873E-3</v>
      </c>
      <c r="M627" s="28">
        <v>-7.5634057971014357E-3</v>
      </c>
      <c r="N627" s="28">
        <v>1.7978963820305259E-3</v>
      </c>
    </row>
    <row r="628" spans="1:14">
      <c r="A628" s="4">
        <v>42013</v>
      </c>
      <c r="B628" s="28">
        <v>-1.2266015920596512E-2</v>
      </c>
      <c r="C628" s="28">
        <v>4.5258393853277821E-3</v>
      </c>
      <c r="D628" s="28">
        <v>1.8020317525141667E-2</v>
      </c>
      <c r="E628" s="28">
        <v>-4.1149920981437211E-3</v>
      </c>
      <c r="F628" s="28">
        <v>-2.957553833160181E-2</v>
      </c>
      <c r="G628" s="28">
        <v>1.6782422160955348E-2</v>
      </c>
      <c r="H628" s="28">
        <v>4.932430216157602E-3</v>
      </c>
      <c r="I628" s="28">
        <v>2.5110175660996586E-2</v>
      </c>
      <c r="J628" s="28">
        <v>2.5957149373385404E-3</v>
      </c>
      <c r="K628" s="28">
        <v>-6.0920502092049978E-3</v>
      </c>
      <c r="L628" s="28">
        <v>1.2308931836780201E-2</v>
      </c>
      <c r="M628" s="28">
        <v>2.9890932323278904E-3</v>
      </c>
      <c r="N628" s="28">
        <v>-4.2637242164461311E-2</v>
      </c>
    </row>
    <row r="629" spans="1:14">
      <c r="A629" s="4">
        <v>42020</v>
      </c>
      <c r="B629" s="28">
        <v>-5.1371896899868536E-3</v>
      </c>
      <c r="C629" s="28">
        <v>2.959974853310969E-3</v>
      </c>
      <c r="D629" s="28">
        <v>1.9005114833015851E-2</v>
      </c>
      <c r="E629" s="28">
        <v>3.5066485114395719E-3</v>
      </c>
      <c r="F629" s="28">
        <v>3.3093030181664748E-3</v>
      </c>
      <c r="G629" s="28">
        <v>8.5213535305052861E-3</v>
      </c>
      <c r="H629" s="28">
        <v>1.3647546501617825E-2</v>
      </c>
      <c r="I629" s="28">
        <v>3.1525063007560965E-2</v>
      </c>
      <c r="J629" s="28">
        <v>1.6607533287074087E-2</v>
      </c>
      <c r="K629" s="28">
        <v>-9.7245141952646472E-4</v>
      </c>
      <c r="L629" s="28">
        <v>-1.2906509516461268E-2</v>
      </c>
      <c r="M629" s="28">
        <v>2.1111540823987016E-2</v>
      </c>
      <c r="N629" s="28">
        <v>-1.6571331046746518E-3</v>
      </c>
    </row>
    <row r="630" spans="1:14">
      <c r="A630" s="4">
        <v>42027</v>
      </c>
      <c r="B630" s="28">
        <v>1.9454974181416538E-2</v>
      </c>
      <c r="C630" s="28">
        <v>-1.0708036250619451E-3</v>
      </c>
      <c r="D630" s="28">
        <v>1.4074110526056715E-2</v>
      </c>
      <c r="E630" s="28">
        <v>1.1910425559002581E-2</v>
      </c>
      <c r="F630" s="28">
        <v>2.1689009895163019E-2</v>
      </c>
      <c r="G630" s="28">
        <v>1.1137945730927735E-2</v>
      </c>
      <c r="H630" s="28">
        <v>1.2936516881067714E-2</v>
      </c>
      <c r="I630" s="28">
        <v>-2.119679355061542E-3</v>
      </c>
      <c r="J630" s="28">
        <v>4.7489037276479563E-3</v>
      </c>
      <c r="K630" s="28">
        <v>3.7633842225246801E-2</v>
      </c>
      <c r="L630" s="28">
        <v>3.4868638614539128E-2</v>
      </c>
      <c r="M630" s="28">
        <v>3.2898889755301058E-3</v>
      </c>
      <c r="N630" s="28">
        <v>2.1118022697945188E-2</v>
      </c>
    </row>
    <row r="631" spans="1:14">
      <c r="A631" s="4">
        <v>42034</v>
      </c>
      <c r="B631" s="28">
        <v>-1.7684190801878531E-2</v>
      </c>
      <c r="C631" s="28">
        <v>5.5950637941852809E-3</v>
      </c>
      <c r="D631" s="28">
        <v>-1.3878779055660626E-2</v>
      </c>
      <c r="E631" s="28">
        <v>9.4029460356985679E-4</v>
      </c>
      <c r="F631" s="28">
        <v>-1.6953312645733635E-2</v>
      </c>
      <c r="G631" s="28">
        <v>-6.0099193525726133E-3</v>
      </c>
      <c r="H631" s="28">
        <v>-6.3339929586979371E-3</v>
      </c>
      <c r="I631" s="28">
        <v>-1.7383033967323266E-2</v>
      </c>
      <c r="J631" s="28">
        <v>-4.0086774568771468E-3</v>
      </c>
      <c r="K631" s="28">
        <v>-1.118402884943388E-2</v>
      </c>
      <c r="L631" s="28">
        <v>-1.1420820771760307E-2</v>
      </c>
      <c r="M631" s="28">
        <v>-7.6981154421232258E-4</v>
      </c>
      <c r="N631" s="28">
        <v>-1.6204247505636725E-2</v>
      </c>
    </row>
    <row r="632" spans="1:14">
      <c r="A632" s="4">
        <v>42041</v>
      </c>
      <c r="B632" s="28">
        <v>2.5638732906517872E-2</v>
      </c>
      <c r="C632" s="28">
        <v>-9.0478914253029428E-3</v>
      </c>
      <c r="D632" s="28">
        <v>2.7557698932139277E-3</v>
      </c>
      <c r="E632" s="28">
        <v>1.3198066929745206E-3</v>
      </c>
      <c r="F632" s="28">
        <v>2.0560300022420572E-3</v>
      </c>
      <c r="G632" s="28">
        <v>-6.6434616675799393E-4</v>
      </c>
      <c r="H632" s="28">
        <v>-2.4661686608228324E-2</v>
      </c>
      <c r="I632" s="28">
        <v>7.0390091343214252E-3</v>
      </c>
      <c r="J632" s="28">
        <v>-2.3727406682924633E-2</v>
      </c>
      <c r="K632" s="28">
        <v>7.5362437882458859E-3</v>
      </c>
      <c r="L632" s="28">
        <v>4.6386467422411875E-3</v>
      </c>
      <c r="M632" s="28">
        <v>1.2974650725217323E-2</v>
      </c>
      <c r="N632" s="28">
        <v>1.2625777445969906E-2</v>
      </c>
    </row>
    <row r="633" spans="1:14">
      <c r="A633" s="4">
        <v>42048</v>
      </c>
      <c r="B633" s="28">
        <v>1.8383656388945461E-2</v>
      </c>
      <c r="C633" s="28">
        <v>-1.6004617725770417E-3</v>
      </c>
      <c r="D633" s="28">
        <v>4.2204446189330379E-3</v>
      </c>
      <c r="E633" s="28">
        <v>-5.9825050542421524E-3</v>
      </c>
      <c r="F633" s="28">
        <v>1.3373640706717492E-3</v>
      </c>
      <c r="G633" s="28">
        <v>4.3883068066494025E-3</v>
      </c>
      <c r="H633" s="28">
        <v>-2.2960512019418036E-2</v>
      </c>
      <c r="I633" s="28">
        <v>5.6767444827147198E-3</v>
      </c>
      <c r="J633" s="28">
        <v>-2.1911569400916729E-2</v>
      </c>
      <c r="K633" s="28">
        <v>2.3067359624987321E-2</v>
      </c>
      <c r="L633" s="28">
        <v>6.9588384174769733E-3</v>
      </c>
      <c r="M633" s="28">
        <v>2.8739519764819053E-3</v>
      </c>
      <c r="N633" s="28">
        <v>9.012452091702039E-3</v>
      </c>
    </row>
    <row r="634" spans="1:14">
      <c r="A634" s="4">
        <v>42055</v>
      </c>
      <c r="B634" s="28">
        <v>9.0801173395426583E-3</v>
      </c>
      <c r="C634" s="28">
        <v>-3.2323338501562596E-3</v>
      </c>
      <c r="D634" s="28">
        <v>-1.8081415237257712E-3</v>
      </c>
      <c r="E634" s="28">
        <v>-1.1166314949901555E-3</v>
      </c>
      <c r="F634" s="28">
        <v>1.0994396158816788E-3</v>
      </c>
      <c r="G634" s="28">
        <v>2.1511206247050297E-3</v>
      </c>
      <c r="H634" s="28">
        <v>9.2489624292376397E-3</v>
      </c>
      <c r="I634" s="28">
        <v>2.2220132402245314E-3</v>
      </c>
      <c r="J634" s="28">
        <v>9.4205486559882593E-3</v>
      </c>
      <c r="K634" s="28">
        <v>-1.4753928537277356E-2</v>
      </c>
      <c r="L634" s="28">
        <v>-5.0696997215429994E-3</v>
      </c>
      <c r="M634" s="28">
        <v>-3.314167793872671E-3</v>
      </c>
      <c r="N634" s="28">
        <v>-7.0649735802226651E-4</v>
      </c>
    </row>
    <row r="635" spans="1:14">
      <c r="A635" s="4">
        <v>42062</v>
      </c>
      <c r="B635" s="28">
        <v>2.6978264681096448E-3</v>
      </c>
      <c r="C635" s="28">
        <v>4.481940416556785E-3</v>
      </c>
      <c r="D635" s="28">
        <v>-7.0008812298050452E-3</v>
      </c>
      <c r="E635" s="28">
        <v>-1.6169332166657664E-3</v>
      </c>
      <c r="F635" s="28">
        <v>-8.9456463844573477E-3</v>
      </c>
      <c r="G635" s="28">
        <v>4.1524825311173288E-3</v>
      </c>
      <c r="H635" s="28">
        <v>-5.5675444176948646E-3</v>
      </c>
      <c r="I635" s="28">
        <v>1.7260981235502074E-2</v>
      </c>
      <c r="J635" s="28">
        <v>1.267048071723734E-2</v>
      </c>
      <c r="K635" s="28">
        <v>1.4465324873322246E-2</v>
      </c>
      <c r="L635" s="28">
        <v>2.7455735757260604E-3</v>
      </c>
      <c r="M635" s="28">
        <v>-1.616868104532944E-3</v>
      </c>
      <c r="N635" s="28">
        <v>-1.0994741878944959E-2</v>
      </c>
    </row>
    <row r="636" spans="1:14">
      <c r="A636" s="4">
        <v>42069</v>
      </c>
      <c r="B636" s="28">
        <v>-1.7412542445539914E-2</v>
      </c>
      <c r="C636" s="28">
        <v>-1.4015748031495997E-2</v>
      </c>
      <c r="D636" s="28">
        <v>-2.61795592367993E-2</v>
      </c>
      <c r="E636" s="28">
        <v>-4.0938673633627999E-2</v>
      </c>
      <c r="F636" s="28">
        <v>-1.9772587096889713E-2</v>
      </c>
      <c r="G636" s="28">
        <v>1.0436236797268291E-2</v>
      </c>
      <c r="H636" s="28">
        <v>-4.4463585352187932E-2</v>
      </c>
      <c r="I636" s="28">
        <v>-2.4793583442914467E-2</v>
      </c>
      <c r="J636" s="28">
        <v>-3.7769867167672021E-2</v>
      </c>
      <c r="K636" s="28">
        <v>-3.1806838928796356E-2</v>
      </c>
      <c r="L636" s="28">
        <v>-1.9470756737327344E-2</v>
      </c>
      <c r="M636" s="28">
        <v>-2.6054681488755237E-2</v>
      </c>
      <c r="N636" s="28">
        <v>-8.760389882198176E-3</v>
      </c>
    </row>
    <row r="637" spans="1:14">
      <c r="A637" s="4">
        <v>42076</v>
      </c>
      <c r="B637" s="28">
        <v>-1.272682391976996E-2</v>
      </c>
      <c r="C637" s="28">
        <v>1.9698663685246026E-3</v>
      </c>
      <c r="D637" s="28">
        <v>5.5690562980956464E-4</v>
      </c>
      <c r="E637" s="28">
        <v>-2.9541553450684155E-2</v>
      </c>
      <c r="F637" s="28">
        <v>-1.6586731137260276E-2</v>
      </c>
      <c r="G637" s="28">
        <v>-2.1477490703359168E-2</v>
      </c>
      <c r="H637" s="28">
        <v>-1.5402926556045768E-2</v>
      </c>
      <c r="I637" s="28">
        <v>5.9941356456398994E-3</v>
      </c>
      <c r="J637" s="28">
        <v>-2.9452165066402684E-2</v>
      </c>
      <c r="K637" s="28">
        <v>-1.2306539470271152E-2</v>
      </c>
      <c r="L637" s="28">
        <v>-1.2881113608617522E-2</v>
      </c>
      <c r="M637" s="28">
        <v>-2.6070763500931165E-2</v>
      </c>
      <c r="N637" s="28">
        <v>-2.4188130513349962E-2</v>
      </c>
    </row>
    <row r="638" spans="1:14">
      <c r="A638" s="4">
        <v>42083</v>
      </c>
      <c r="B638" s="28">
        <v>3.1834726890023375E-2</v>
      </c>
      <c r="C638" s="28">
        <v>1.1503719447396496E-2</v>
      </c>
      <c r="D638" s="28">
        <v>3.81015028082781E-2</v>
      </c>
      <c r="E638" s="28">
        <v>5.4529961044912992E-2</v>
      </c>
      <c r="F638" s="28">
        <v>4.3933054393305443E-2</v>
      </c>
      <c r="G638" s="28">
        <v>3.3112653081444079E-2</v>
      </c>
      <c r="H638" s="28">
        <v>3.8154198961814649E-2</v>
      </c>
      <c r="I638" s="28">
        <v>5.150698829744442E-2</v>
      </c>
      <c r="J638" s="28">
        <v>6.1111836602160741E-2</v>
      </c>
      <c r="K638" s="28">
        <v>1.6378340072533228E-2</v>
      </c>
      <c r="L638" s="28">
        <v>3.3795902676230824E-2</v>
      </c>
      <c r="M638" s="28">
        <v>4.8728199779825059E-2</v>
      </c>
      <c r="N638" s="28">
        <v>4.8659311755680661E-2</v>
      </c>
    </row>
    <row r="639" spans="1:14">
      <c r="A639" s="4">
        <v>42090</v>
      </c>
      <c r="B639" s="28">
        <v>-1.6764624669638278E-2</v>
      </c>
      <c r="C639" s="28">
        <v>8.4049063640898578E-4</v>
      </c>
      <c r="D639" s="28">
        <v>-1.2283096120101434E-2</v>
      </c>
      <c r="E639" s="28">
        <v>2.5532550606737541E-3</v>
      </c>
      <c r="F639" s="28">
        <v>-1.2937041595882092E-2</v>
      </c>
      <c r="G639" s="28">
        <v>1.0466864632889089E-2</v>
      </c>
      <c r="H639" s="28">
        <v>-1.413997850962989E-2</v>
      </c>
      <c r="I639" s="28">
        <v>1.5292414928923742E-2</v>
      </c>
      <c r="J639" s="28">
        <v>-1.2905457545036116E-2</v>
      </c>
      <c r="K639" s="28">
        <v>-3.5108010450374851E-3</v>
      </c>
      <c r="L639" s="28">
        <v>-1.1756148002205081E-2</v>
      </c>
      <c r="M639" s="28">
        <v>1.7425414364640863E-2</v>
      </c>
      <c r="N639" s="28">
        <v>-5.4879976847509813E-3</v>
      </c>
    </row>
    <row r="640" spans="1:14">
      <c r="A640" s="4">
        <v>42097</v>
      </c>
      <c r="B640" s="28">
        <v>3.117800116917536E-3</v>
      </c>
      <c r="C640" s="28">
        <v>3.8052748983072788E-3</v>
      </c>
      <c r="D640" s="28">
        <v>4.3426766679827474E-3</v>
      </c>
      <c r="E640" s="28">
        <v>-8.5681967501818619E-4</v>
      </c>
      <c r="F640" s="28">
        <v>9.880837359098206E-3</v>
      </c>
      <c r="G640" s="28">
        <v>1.4137784933480226E-2</v>
      </c>
      <c r="H640" s="28">
        <v>5.7579573581135798E-3</v>
      </c>
      <c r="I640" s="28">
        <v>1.4332938723512238E-2</v>
      </c>
      <c r="J640" s="28">
        <v>1.1884704550355828E-2</v>
      </c>
      <c r="K640" s="28">
        <v>2.9963410066553231E-2</v>
      </c>
      <c r="L640" s="28">
        <v>-3.5623632240666288E-3</v>
      </c>
      <c r="M640" s="28">
        <v>2.1214128754557336E-3</v>
      </c>
      <c r="N640" s="28">
        <v>1.2076630830167247E-2</v>
      </c>
    </row>
    <row r="641" spans="1:14">
      <c r="A641" s="4">
        <v>42104</v>
      </c>
      <c r="B641" s="28">
        <v>1.6688949070423842E-2</v>
      </c>
      <c r="C641" s="28">
        <v>-5.9869281045752173E-3</v>
      </c>
      <c r="D641" s="28">
        <v>2.5058962264150495E-3</v>
      </c>
      <c r="E641" s="28">
        <v>1.266672315905428E-2</v>
      </c>
      <c r="F641" s="28">
        <v>7.7584447392591875E-3</v>
      </c>
      <c r="G641" s="28">
        <v>4.39410954691907E-2</v>
      </c>
      <c r="H641" s="28">
        <v>5.6904531638575454E-3</v>
      </c>
      <c r="I641" s="28">
        <v>1.4057717004143575E-2</v>
      </c>
      <c r="J641" s="28">
        <v>2.1911786743036076E-2</v>
      </c>
      <c r="K641" s="28">
        <v>4.6386911921612352E-2</v>
      </c>
      <c r="L641" s="28">
        <v>-4.4728074672117143E-3</v>
      </c>
      <c r="M641" s="28">
        <v>1.8004674568397223E-2</v>
      </c>
      <c r="N641" s="28">
        <v>1.903027592302696E-2</v>
      </c>
    </row>
    <row r="642" spans="1:14">
      <c r="A642" s="4">
        <v>42111</v>
      </c>
      <c r="B642" s="28">
        <v>-5.8781547314650075E-3</v>
      </c>
      <c r="C642" s="28">
        <v>6.9961337155782996E-3</v>
      </c>
      <c r="D642" s="28">
        <v>-6.27358721756605E-3</v>
      </c>
      <c r="E642" s="28">
        <v>-8.8029936872832193E-4</v>
      </c>
      <c r="F642" s="28">
        <v>1.4318951091263046E-2</v>
      </c>
      <c r="G642" s="28">
        <v>-1.8249168382185899E-4</v>
      </c>
      <c r="H642" s="28">
        <v>-7.4699271038158291E-4</v>
      </c>
      <c r="I642" s="28">
        <v>-1.6626643249981081E-2</v>
      </c>
      <c r="J642" s="28">
        <v>1.0629735234215851E-2</v>
      </c>
      <c r="K642" s="28">
        <v>-7.4813538997369278E-3</v>
      </c>
      <c r="L642" s="28">
        <v>8.849796775358177E-3</v>
      </c>
      <c r="M642" s="28">
        <v>-1.2065251720185842E-3</v>
      </c>
      <c r="N642" s="28">
        <v>1.6216428048907976E-2</v>
      </c>
    </row>
    <row r="643" spans="1:14">
      <c r="A643" s="4">
        <v>42118</v>
      </c>
      <c r="B643" s="28">
        <v>1.7439132622201068E-2</v>
      </c>
      <c r="C643" s="28">
        <v>-9.4026693133443106E-4</v>
      </c>
      <c r="D643" s="28">
        <v>4.3403205918618763E-3</v>
      </c>
      <c r="E643" s="28">
        <v>2.0897892455251144E-2</v>
      </c>
      <c r="F643" s="28">
        <v>1.2234904169900933E-2</v>
      </c>
      <c r="G643" s="28">
        <v>2.2123950481289487E-2</v>
      </c>
      <c r="H643" s="28">
        <v>1.9625365183021264E-2</v>
      </c>
      <c r="I643" s="28">
        <v>2.8984157325212086E-2</v>
      </c>
      <c r="J643" s="28">
        <v>3.6412940087767756E-2</v>
      </c>
      <c r="K643" s="28">
        <v>5.5384544349191225E-2</v>
      </c>
      <c r="L643" s="28">
        <v>-9.4256349069249522E-3</v>
      </c>
      <c r="M643" s="28">
        <v>2.7375018208561655E-2</v>
      </c>
      <c r="N643" s="28">
        <v>1.5240367434769465E-2</v>
      </c>
    </row>
    <row r="644" spans="1:14">
      <c r="A644" s="4">
        <v>42125</v>
      </c>
      <c r="B644" s="28">
        <v>-6.9227606591622734E-3</v>
      </c>
      <c r="C644" s="28">
        <v>-7.0586389898303018E-3</v>
      </c>
      <c r="D644" s="28">
        <v>-1.7924667288709943E-2</v>
      </c>
      <c r="E644" s="28">
        <v>-3.3569930792782033E-3</v>
      </c>
      <c r="F644" s="28">
        <v>-1.9674079480420843E-2</v>
      </c>
      <c r="G644" s="28">
        <v>-2.3220915114585097E-2</v>
      </c>
      <c r="H644" s="28">
        <v>-1.1798017932987258E-2</v>
      </c>
      <c r="I644" s="28">
        <v>-2.6410453194797026E-2</v>
      </c>
      <c r="J644" s="28">
        <v>-3.5522508788849917E-2</v>
      </c>
      <c r="K644" s="28">
        <v>-1.2111445717244138E-2</v>
      </c>
      <c r="L644" s="28">
        <v>-1.929993161720113E-2</v>
      </c>
      <c r="M644" s="28">
        <v>1.8843847478610985E-2</v>
      </c>
      <c r="N644" s="28">
        <v>-2.0965066663290233E-2</v>
      </c>
    </row>
    <row r="645" spans="1:14">
      <c r="A645" s="4">
        <v>42132</v>
      </c>
      <c r="B645" s="28">
        <v>4.084144567528228E-3</v>
      </c>
      <c r="C645" s="28">
        <v>-1.7113820067928102E-3</v>
      </c>
      <c r="D645" s="28">
        <v>1.3001300130013969E-3</v>
      </c>
      <c r="E645" s="28">
        <v>9.3607802076954936E-3</v>
      </c>
      <c r="F645" s="28">
        <v>-1.0038231299361213E-2</v>
      </c>
      <c r="G645" s="28">
        <v>-1.6306212975050003E-2</v>
      </c>
      <c r="H645" s="28">
        <v>5.7903533906398918E-3</v>
      </c>
      <c r="I645" s="28">
        <v>5.912088756116738E-3</v>
      </c>
      <c r="J645" s="28">
        <v>2.4686141181631743E-2</v>
      </c>
      <c r="K645" s="28">
        <v>-2.5627020563617327E-2</v>
      </c>
      <c r="L645" s="28">
        <v>5.2591372841938096E-3</v>
      </c>
      <c r="M645" s="28">
        <v>-3.6206574682212403E-2</v>
      </c>
      <c r="N645" s="28">
        <v>-1.2580958884267562E-2</v>
      </c>
    </row>
    <row r="646" spans="1:14">
      <c r="A646" s="4">
        <v>42139</v>
      </c>
      <c r="B646" s="28">
        <v>6.8869448932968738E-3</v>
      </c>
      <c r="C646" s="28">
        <v>2.9011499103280035E-3</v>
      </c>
      <c r="D646" s="28">
        <v>1.0986815821014725E-2</v>
      </c>
      <c r="E646" s="28">
        <v>2.3405109000936203E-2</v>
      </c>
      <c r="F646" s="28">
        <v>8.2141523264115425E-3</v>
      </c>
      <c r="G646" s="28">
        <v>1.9846820498273667E-2</v>
      </c>
      <c r="H646" s="28">
        <v>1.3498045666126727E-2</v>
      </c>
      <c r="I646" s="28">
        <v>2.1333242242914052E-2</v>
      </c>
      <c r="J646" s="28">
        <v>1.2742983961091092E-2</v>
      </c>
      <c r="K646" s="28">
        <v>1.5786682827058668E-2</v>
      </c>
      <c r="L646" s="28">
        <v>1.0742728414909246E-2</v>
      </c>
      <c r="M646" s="28">
        <v>3.6210855508755184E-2</v>
      </c>
      <c r="N646" s="28">
        <v>1.040989962069622E-2</v>
      </c>
    </row>
    <row r="647" spans="1:14">
      <c r="A647" s="4">
        <v>42146</v>
      </c>
      <c r="B647" s="28">
        <v>-1.9700508007481463E-3</v>
      </c>
      <c r="C647" s="28">
        <v>-1.057171409035918E-2</v>
      </c>
      <c r="D647" s="28">
        <v>-9.3854969373641847E-3</v>
      </c>
      <c r="E647" s="28">
        <v>-1.5666237425573448E-2</v>
      </c>
      <c r="F647" s="28">
        <v>-9.9616452716834621E-3</v>
      </c>
      <c r="G647" s="28">
        <v>-7.9894880205636561E-3</v>
      </c>
      <c r="H647" s="28">
        <v>2.0914376542511357E-5</v>
      </c>
      <c r="I647" s="28">
        <v>7.2360124416918159E-3</v>
      </c>
      <c r="J647" s="28">
        <v>-1.4802012974296933E-2</v>
      </c>
      <c r="K647" s="28">
        <v>-2.3975718525811335E-3</v>
      </c>
      <c r="L647" s="28">
        <v>-1.7115697722501582E-2</v>
      </c>
      <c r="M647" s="28">
        <v>-2.8277198110321949E-2</v>
      </c>
      <c r="N647" s="28">
        <v>-1.5881739887899756E-2</v>
      </c>
    </row>
    <row r="648" spans="1:14">
      <c r="A648" s="4">
        <v>42153</v>
      </c>
      <c r="B648" s="28">
        <v>-1.3412808428056587E-2</v>
      </c>
      <c r="C648" s="28">
        <v>2.3389325962151698E-3</v>
      </c>
      <c r="D648" s="28">
        <v>-1.7901665503141536E-2</v>
      </c>
      <c r="E648" s="28">
        <v>-1.2645029256809107E-2</v>
      </c>
      <c r="F648" s="28">
        <v>-1.7639467608795853E-2</v>
      </c>
      <c r="G648" s="28">
        <v>-4.0478653633571329E-3</v>
      </c>
      <c r="H648" s="28">
        <v>4.1827878281787217E-6</v>
      </c>
      <c r="I648" s="28">
        <v>-1.0231088210418834E-2</v>
      </c>
      <c r="J648" s="28">
        <v>-9.4714955939563007E-3</v>
      </c>
      <c r="K648" s="28">
        <v>-1.120932927171122E-2</v>
      </c>
      <c r="L648" s="28">
        <v>-1.2200288890465984E-2</v>
      </c>
      <c r="M648" s="28">
        <v>-1.8100101430520096E-2</v>
      </c>
      <c r="N648" s="28">
        <v>-2.1217070600632236E-2</v>
      </c>
    </row>
    <row r="649" spans="1:14">
      <c r="A649" s="4">
        <v>42160</v>
      </c>
      <c r="B649" s="28">
        <v>-1.0610854769545432E-2</v>
      </c>
      <c r="C649" s="28">
        <v>-1.408039881204922E-2</v>
      </c>
      <c r="D649" s="28">
        <v>-2.9093678598629043E-2</v>
      </c>
      <c r="E649" s="28">
        <v>-3.9060450228262551E-2</v>
      </c>
      <c r="F649" s="28">
        <v>-2.8932033300599281E-2</v>
      </c>
      <c r="G649" s="28">
        <v>-2.764123987561121E-2</v>
      </c>
      <c r="H649" s="28">
        <v>-5.5911091033813538E-2</v>
      </c>
      <c r="I649" s="28">
        <v>-2.5293498917571662E-2</v>
      </c>
      <c r="J649" s="28">
        <v>-3.0301099860168264E-2</v>
      </c>
      <c r="K649" s="28">
        <v>-4.1081702237039996E-2</v>
      </c>
      <c r="L649" s="28">
        <v>7.3802976383047243E-3</v>
      </c>
      <c r="M649" s="28">
        <v>-2.0282472794628408E-2</v>
      </c>
      <c r="N649" s="28">
        <v>-3.229478987796941E-2</v>
      </c>
    </row>
    <row r="650" spans="1:14">
      <c r="A650" s="4">
        <v>42167</v>
      </c>
      <c r="B650" s="28">
        <v>5.5327391603187904E-3</v>
      </c>
      <c r="C650" s="28">
        <v>4.5722277507328707E-3</v>
      </c>
      <c r="D650" s="28">
        <v>6.7984520447652514E-3</v>
      </c>
      <c r="E650" s="28">
        <v>1.4880444502085279E-2</v>
      </c>
      <c r="F650" s="28">
        <v>-1.2418183807264654E-2</v>
      </c>
      <c r="G650" s="28">
        <v>-3.5874857315907555E-3</v>
      </c>
      <c r="H650" s="28">
        <v>1.2848402146124595E-4</v>
      </c>
      <c r="I650" s="28">
        <v>7.5640698583153481E-3</v>
      </c>
      <c r="J650" s="28">
        <v>9.9725393843039817E-3</v>
      </c>
      <c r="K650" s="28">
        <v>2.4085651889403065E-2</v>
      </c>
      <c r="L650" s="28">
        <v>3.4113616107366938E-3</v>
      </c>
      <c r="M650" s="28">
        <v>-1.3161674077682567E-3</v>
      </c>
      <c r="N650" s="28">
        <v>-1.4159484017388507E-2</v>
      </c>
    </row>
    <row r="651" spans="1:14">
      <c r="A651" s="4">
        <v>42174</v>
      </c>
      <c r="B651" s="28">
        <v>2.660761395798164E-3</v>
      </c>
      <c r="C651" s="28">
        <v>6.0774811919359099E-3</v>
      </c>
      <c r="D651" s="28">
        <v>3.7918138375233209E-3</v>
      </c>
      <c r="E651" s="28">
        <v>6.9174945016512411E-3</v>
      </c>
      <c r="F651" s="28">
        <v>1.4719590185859147E-2</v>
      </c>
      <c r="G651" s="28">
        <v>-6.5127867713611056E-3</v>
      </c>
      <c r="H651" s="28">
        <v>1.5673036883466721E-2</v>
      </c>
      <c r="I651" s="28">
        <v>-1.600321511102187E-2</v>
      </c>
      <c r="J651" s="28">
        <v>-1.1614065671020316E-2</v>
      </c>
      <c r="K651" s="28">
        <v>-2.6128997490261333E-2</v>
      </c>
      <c r="L651" s="28">
        <v>1.525637615313404E-2</v>
      </c>
      <c r="M651" s="28">
        <v>1.1875680339596363E-2</v>
      </c>
      <c r="N651" s="28">
        <v>1.1002776085042996E-2</v>
      </c>
    </row>
    <row r="652" spans="1:14">
      <c r="A652" s="4">
        <v>42181</v>
      </c>
      <c r="B652" s="28">
        <v>7.5498061840795889E-4</v>
      </c>
      <c r="C652" s="28">
        <v>-1.1655756027462867E-2</v>
      </c>
      <c r="D652" s="28">
        <v>-1.3816300129366041E-2</v>
      </c>
      <c r="E652" s="28">
        <v>5.9782445335799118E-4</v>
      </c>
      <c r="F652" s="28">
        <v>2.5481472014313583E-3</v>
      </c>
      <c r="G652" s="28">
        <v>-1.9811000433670393E-2</v>
      </c>
      <c r="H652" s="28">
        <v>-1.6901027582477014E-2</v>
      </c>
      <c r="I652" s="28">
        <v>-6.1447539852066916E-3</v>
      </c>
      <c r="J652" s="28">
        <v>5.5017917019028559E-3</v>
      </c>
      <c r="K652" s="28">
        <v>-2.98418972332023E-3</v>
      </c>
      <c r="L652" s="28">
        <v>-1.2373497173035698E-2</v>
      </c>
      <c r="M652" s="28">
        <v>-1.4416728730198032E-2</v>
      </c>
      <c r="N652" s="28">
        <v>1.0093315027514559E-2</v>
      </c>
    </row>
    <row r="653" spans="1:14">
      <c r="A653" s="4">
        <v>42188</v>
      </c>
      <c r="B653" s="28">
        <v>-1.7863778135591323E-2</v>
      </c>
      <c r="C653" s="28">
        <v>4.2541733979537992E-3</v>
      </c>
      <c r="D653" s="28">
        <v>-6.2440969671530384E-3</v>
      </c>
      <c r="E653" s="28">
        <v>-3.9059005734350692E-2</v>
      </c>
      <c r="F653" s="28">
        <v>-9.5239612879921796E-3</v>
      </c>
      <c r="G653" s="28">
        <v>-8.0255720792403954E-3</v>
      </c>
      <c r="H653" s="28">
        <v>-1.3132151143961367E-2</v>
      </c>
      <c r="I653" s="28">
        <v>-4.8492121057715524E-4</v>
      </c>
      <c r="J653" s="28">
        <v>-2.8889987008014519E-2</v>
      </c>
      <c r="K653" s="28">
        <v>-1.7855656207258801E-2</v>
      </c>
      <c r="L653" s="28">
        <v>-1.3572703483374686E-2</v>
      </c>
      <c r="M653" s="28">
        <v>-2.4757788372381725E-2</v>
      </c>
      <c r="N653" s="28">
        <v>-1.6954303221510966E-2</v>
      </c>
    </row>
    <row r="654" spans="1:14">
      <c r="A654" s="4">
        <v>42195</v>
      </c>
      <c r="B654" s="28">
        <v>-6.7068312228793102E-4</v>
      </c>
      <c r="C654" s="28">
        <v>-2.9492197973085321E-4</v>
      </c>
      <c r="D654" s="28">
        <v>2.4288505200908599E-3</v>
      </c>
      <c r="E654" s="28">
        <v>2.3953094172895779E-2</v>
      </c>
      <c r="F654" s="28">
        <v>-3.745930959033473E-3</v>
      </c>
      <c r="G654" s="28">
        <v>-3.5988908404442216E-2</v>
      </c>
      <c r="H654" s="28">
        <v>2.0553764818536269E-2</v>
      </c>
      <c r="I654" s="28">
        <v>-2.2654340403048937E-3</v>
      </c>
      <c r="J654" s="28">
        <v>5.6243576134391666E-3</v>
      </c>
      <c r="K654" s="28">
        <v>-5.5570131710132795E-2</v>
      </c>
      <c r="L654" s="28">
        <v>5.2518816194470344E-3</v>
      </c>
      <c r="M654" s="28">
        <v>8.7216266395158089E-4</v>
      </c>
      <c r="N654" s="28">
        <v>-1.1044413718679442E-2</v>
      </c>
    </row>
    <row r="655" spans="1:14">
      <c r="A655" s="4">
        <v>42202</v>
      </c>
      <c r="B655" s="28">
        <v>2.1516416951563679E-2</v>
      </c>
      <c r="C655" s="28">
        <v>7.2411296162196419E-4</v>
      </c>
      <c r="D655" s="28">
        <v>2.1648670002633732E-2</v>
      </c>
      <c r="E655" s="28">
        <v>4.8610545740725413E-3</v>
      </c>
      <c r="F655" s="28">
        <v>1.238086779117342E-3</v>
      </c>
      <c r="G655" s="28">
        <v>2.8782113127154174E-2</v>
      </c>
      <c r="H655" s="28">
        <v>9.8804914256011046E-3</v>
      </c>
      <c r="I655" s="28">
        <v>2.1020358965588903E-2</v>
      </c>
      <c r="J655" s="28">
        <v>1.1276280603456973E-2</v>
      </c>
      <c r="K655" s="28">
        <v>1.0449879046389887E-2</v>
      </c>
      <c r="L655" s="28">
        <v>6.5278789658469935E-3</v>
      </c>
      <c r="M655" s="28">
        <v>1.1062699852272912E-2</v>
      </c>
      <c r="N655" s="28">
        <v>1.4492506521627676E-3</v>
      </c>
    </row>
    <row r="656" spans="1:14">
      <c r="A656" s="4">
        <v>42209</v>
      </c>
      <c r="B656" s="28">
        <v>-1.9839063807325759E-2</v>
      </c>
      <c r="C656" s="28">
        <v>4.4487323792679022E-3</v>
      </c>
      <c r="D656" s="28">
        <v>-9.4349350381522611E-3</v>
      </c>
      <c r="E656" s="28">
        <v>-1.437420879399103E-2</v>
      </c>
      <c r="F656" s="28">
        <v>-3.622839723549142E-2</v>
      </c>
      <c r="G656" s="28">
        <v>-1.0099566314791404E-2</v>
      </c>
      <c r="H656" s="28">
        <v>-2.2167358760512339E-2</v>
      </c>
      <c r="I656" s="28">
        <v>4.576816045493772E-3</v>
      </c>
      <c r="J656" s="28">
        <v>-1.6724159070047883E-2</v>
      </c>
      <c r="K656" s="28">
        <v>-3.3681726088004814E-2</v>
      </c>
      <c r="L656" s="28">
        <v>-4.3799736665726058E-3</v>
      </c>
      <c r="M656" s="28">
        <v>-2.4302460207956964E-3</v>
      </c>
      <c r="N656" s="28">
        <v>-4.3780645600653763E-2</v>
      </c>
    </row>
    <row r="657" spans="1:14">
      <c r="A657" s="4">
        <v>42216</v>
      </c>
      <c r="B657" s="28">
        <v>1.151532512174157E-2</v>
      </c>
      <c r="C657" s="28">
        <v>4.0021344717182496E-3</v>
      </c>
      <c r="D657" s="28">
        <v>8.4838390672981601E-3</v>
      </c>
      <c r="E657" s="28">
        <v>1.3426174875927696E-2</v>
      </c>
      <c r="F657" s="28">
        <v>1.8949916881436126E-2</v>
      </c>
      <c r="G657" s="28">
        <v>9.0404195149094996E-3</v>
      </c>
      <c r="H657" s="28">
        <v>3.2073300204305627E-2</v>
      </c>
      <c r="I657" s="28">
        <v>9.0737612216733876E-3</v>
      </c>
      <c r="J657" s="28">
        <v>1.4171036490840127E-2</v>
      </c>
      <c r="K657" s="28">
        <v>-1.2046083272052378E-2</v>
      </c>
      <c r="L657" s="28">
        <v>-8.3879910383432895E-3</v>
      </c>
      <c r="M657" s="28">
        <v>3.4744109816601124E-3</v>
      </c>
      <c r="N657" s="28">
        <v>1.8514067308234541E-2</v>
      </c>
    </row>
    <row r="658" spans="1:14">
      <c r="A658" s="4">
        <v>42223</v>
      </c>
      <c r="B658" s="28">
        <v>-1.0342093339374712E-2</v>
      </c>
      <c r="C658" s="28">
        <v>-1.4350252458145639E-3</v>
      </c>
      <c r="D658" s="28">
        <v>1.9611890999174002E-3</v>
      </c>
      <c r="E658" s="28">
        <v>-6.8776255800355908E-3</v>
      </c>
      <c r="F658" s="28">
        <v>-2.2826687981429845E-2</v>
      </c>
      <c r="G658" s="28">
        <v>1.4973090320193651E-3</v>
      </c>
      <c r="H658" s="28">
        <v>4.1925277917049643E-3</v>
      </c>
      <c r="I658" s="28">
        <v>5.2336530460298618E-3</v>
      </c>
      <c r="J658" s="28">
        <v>-1.1354535999229099E-2</v>
      </c>
      <c r="K658" s="28">
        <v>-1.3951901605642691E-2</v>
      </c>
      <c r="L658" s="28">
        <v>2.0811579669240965E-2</v>
      </c>
      <c r="M658" s="28">
        <v>-6.5663302823485E-3</v>
      </c>
      <c r="N658" s="28">
        <v>-3.6757122129442495E-2</v>
      </c>
    </row>
    <row r="659" spans="1:14">
      <c r="A659" s="4">
        <v>42230</v>
      </c>
      <c r="B659" s="28">
        <v>-1.9744297045794284E-3</v>
      </c>
      <c r="C659" s="28">
        <v>9.5805833510755176E-4</v>
      </c>
      <c r="D659" s="28">
        <v>5.5114865560936524E-3</v>
      </c>
      <c r="E659" s="28">
        <v>1.4180607925077955E-2</v>
      </c>
      <c r="F659" s="28">
        <v>3.1052246770818425E-2</v>
      </c>
      <c r="G659" s="28">
        <v>-1.8777248443070455E-2</v>
      </c>
      <c r="H659" s="28">
        <v>2.1404529685711094E-2</v>
      </c>
      <c r="I659" s="28">
        <v>2.2972344070262603E-3</v>
      </c>
      <c r="J659" s="28">
        <v>1.1683248184996041E-2</v>
      </c>
      <c r="K659" s="28">
        <v>-3.6844824874757414E-4</v>
      </c>
      <c r="L659" s="28">
        <v>2.6298854610232895E-2</v>
      </c>
      <c r="M659" s="28">
        <v>4.9545092729667405E-3</v>
      </c>
      <c r="N659" s="28">
        <v>2.2522004779044806E-2</v>
      </c>
    </row>
    <row r="660" spans="1:14">
      <c r="A660" s="4">
        <v>42237</v>
      </c>
      <c r="B660" s="28">
        <v>-5.3288911571257397E-2</v>
      </c>
      <c r="C660" s="28">
        <v>8.9333191534616968E-3</v>
      </c>
      <c r="D660" s="28">
        <v>-3.0684903437323954E-2</v>
      </c>
      <c r="E660" s="28">
        <v>-2.5981564933779334E-2</v>
      </c>
      <c r="F660" s="28">
        <v>-4.9969570509476632E-2</v>
      </c>
      <c r="G660" s="28">
        <v>-4.4108611106178204E-2</v>
      </c>
      <c r="H660" s="28">
        <v>-1.7129709616656941E-2</v>
      </c>
      <c r="I660" s="28">
        <v>-3.7201031386147367E-2</v>
      </c>
      <c r="J660" s="28">
        <v>-2.0704594080984517E-2</v>
      </c>
      <c r="K660" s="28">
        <v>-7.6458716338611829E-2</v>
      </c>
      <c r="L660" s="28">
        <v>-4.1674153390324375E-2</v>
      </c>
      <c r="M660" s="28">
        <v>-2.566086061781506E-2</v>
      </c>
      <c r="N660" s="28">
        <v>-6.1584471211870238E-2</v>
      </c>
    </row>
    <row r="661" spans="1:14">
      <c r="A661" s="4">
        <v>42244</v>
      </c>
      <c r="B661" s="28">
        <v>4.3065852594853299E-3</v>
      </c>
      <c r="C661" s="28">
        <v>-6.4298513755665582E-3</v>
      </c>
      <c r="D661" s="28">
        <v>-2.6794207800443892E-2</v>
      </c>
      <c r="E661" s="28">
        <v>-4.8471110253690153E-3</v>
      </c>
      <c r="F661" s="28">
        <v>-2.8769818572833817E-3</v>
      </c>
      <c r="G661" s="28">
        <v>-1.1889899530348969E-2</v>
      </c>
      <c r="H661" s="28">
        <v>-2.876840363227888E-2</v>
      </c>
      <c r="I661" s="28">
        <v>2.1773615959382606E-3</v>
      </c>
      <c r="J661" s="28">
        <v>-1.7376613154930658E-2</v>
      </c>
      <c r="K661" s="28">
        <v>-1.4893192448275425E-2</v>
      </c>
      <c r="L661" s="28">
        <v>-1.3545982199552995E-2</v>
      </c>
      <c r="M661" s="28">
        <v>-1.128226557009623E-2</v>
      </c>
      <c r="N661" s="28">
        <v>1.2104514921021221E-2</v>
      </c>
    </row>
    <row r="662" spans="1:14">
      <c r="A662" s="4">
        <v>42251</v>
      </c>
      <c r="B662" s="28">
        <v>-3.7609992340492199E-2</v>
      </c>
      <c r="C662" s="28">
        <v>3.4744324209632989E-3</v>
      </c>
      <c r="D662" s="28">
        <v>-4.4203095302742405E-2</v>
      </c>
      <c r="E662" s="28">
        <v>-2.6025637918918206E-2</v>
      </c>
      <c r="F662" s="28">
        <v>-4.3282109526021996E-2</v>
      </c>
      <c r="G662" s="28">
        <v>-3.9964502737500823E-2</v>
      </c>
      <c r="H662" s="28">
        <v>-4.1287765083961731E-2</v>
      </c>
      <c r="I662" s="28">
        <v>-4.0536666475545949E-2</v>
      </c>
      <c r="J662" s="28">
        <v>-4.2224539258809216E-2</v>
      </c>
      <c r="K662" s="28">
        <v>-6.6896241656497005E-3</v>
      </c>
      <c r="L662" s="28">
        <v>-3.4164275934299437E-2</v>
      </c>
      <c r="M662" s="28">
        <v>-1.7681298626452784E-2</v>
      </c>
      <c r="N662" s="28">
        <v>-4.186223242399794E-2</v>
      </c>
    </row>
    <row r="663" spans="1:14">
      <c r="A663" s="4">
        <v>42258</v>
      </c>
      <c r="B663" s="28">
        <v>1.9602559362290124E-2</v>
      </c>
      <c r="C663" s="28">
        <v>2.6430553720076395E-5</v>
      </c>
      <c r="D663" s="28">
        <v>2.2271461848758684E-2</v>
      </c>
      <c r="E663" s="28">
        <v>2.5313576280162429E-2</v>
      </c>
      <c r="F663" s="28">
        <v>-1.6928726673161899E-2</v>
      </c>
      <c r="G663" s="28">
        <v>2.1570025224434866E-2</v>
      </c>
      <c r="H663" s="28">
        <v>2.1770060641222309E-2</v>
      </c>
      <c r="I663" s="28">
        <v>1.9075790947429356E-2</v>
      </c>
      <c r="J663" s="28">
        <v>2.7684454890199481E-2</v>
      </c>
      <c r="K663" s="28">
        <v>1.0693910439743997E-3</v>
      </c>
      <c r="L663" s="28">
        <v>-7.7947155890258904E-3</v>
      </c>
      <c r="M663" s="28">
        <v>1.9587519996245174E-2</v>
      </c>
      <c r="N663" s="28">
        <v>-1.9035483493479288E-2</v>
      </c>
    </row>
    <row r="664" spans="1:14">
      <c r="A664" s="4">
        <v>42265</v>
      </c>
      <c r="B664" s="28">
        <v>2.2741381323794527E-3</v>
      </c>
      <c r="C664" s="28">
        <v>5.1273919018923718E-3</v>
      </c>
      <c r="D664" s="28">
        <v>2.0452398154838031E-2</v>
      </c>
      <c r="E664" s="28">
        <v>1.6136692168764559E-2</v>
      </c>
      <c r="F664" s="28">
        <v>2.0916176721719307E-2</v>
      </c>
      <c r="G664" s="28">
        <v>1.9274198186453994E-2</v>
      </c>
      <c r="H664" s="28">
        <v>2.8052292176452297E-2</v>
      </c>
      <c r="I664" s="28">
        <v>2.2017215020209872E-2</v>
      </c>
      <c r="J664" s="28">
        <v>3.1628386626071606E-2</v>
      </c>
      <c r="K664" s="28">
        <v>-2.7824151363384092E-3</v>
      </c>
      <c r="L664" s="28">
        <v>3.7280476812487197E-3</v>
      </c>
      <c r="M664" s="28">
        <v>2.2088299492483122E-2</v>
      </c>
      <c r="N664" s="28">
        <v>1.9676585592153108E-2</v>
      </c>
    </row>
    <row r="665" spans="1:14">
      <c r="A665" s="4">
        <v>42272</v>
      </c>
      <c r="B665" s="28">
        <v>-2.207041191152212E-2</v>
      </c>
      <c r="C665" s="28">
        <v>-5.4167762292926698E-3</v>
      </c>
      <c r="D665" s="28">
        <v>-4.4115244267741525E-3</v>
      </c>
      <c r="E665" s="28">
        <v>-4.21658797521906E-3</v>
      </c>
      <c r="F665" s="28">
        <v>-1.3874493334567896E-2</v>
      </c>
      <c r="G665" s="28">
        <v>-2.3596722865461446E-2</v>
      </c>
      <c r="H665" s="28">
        <v>1.7836165027264938E-2</v>
      </c>
      <c r="I665" s="28">
        <v>-2.2893301885439095E-2</v>
      </c>
      <c r="J665" s="28">
        <v>4.6989381487814747E-3</v>
      </c>
      <c r="K665" s="28">
        <v>-3.9356465242346941E-2</v>
      </c>
      <c r="L665" s="28">
        <v>-6.6660275865560873E-3</v>
      </c>
      <c r="M665" s="28">
        <v>-1.4067009709539526E-2</v>
      </c>
      <c r="N665" s="28">
        <v>-2.8412377566473149E-2</v>
      </c>
    </row>
    <row r="666" spans="1:14">
      <c r="A666" s="4">
        <v>42279</v>
      </c>
      <c r="B666" s="28">
        <v>7.7945695115069066E-3</v>
      </c>
      <c r="C666" s="28">
        <v>8.8832487309645023E-3</v>
      </c>
      <c r="D666" s="28">
        <v>1.0667396061269084E-2</v>
      </c>
      <c r="E666" s="28">
        <v>2.7732860098940642E-2</v>
      </c>
      <c r="F666" s="28">
        <v>8.3963870092262725E-3</v>
      </c>
      <c r="G666" s="28">
        <v>-2.6312849377236602E-3</v>
      </c>
      <c r="H666" s="28">
        <v>2.6029173000977426E-2</v>
      </c>
      <c r="I666" s="28">
        <v>1.8442592868332719E-2</v>
      </c>
      <c r="J666" s="28">
        <v>2.8535556074465947E-2</v>
      </c>
      <c r="K666" s="28">
        <v>1.1913591452503839E-2</v>
      </c>
      <c r="L666" s="28">
        <v>4.935883137515547E-3</v>
      </c>
      <c r="M666" s="28">
        <v>1.3365513093330235E-2</v>
      </c>
      <c r="N666" s="28">
        <v>5.1843799648800069E-3</v>
      </c>
    </row>
    <row r="667" spans="1:14">
      <c r="A667" s="4">
        <v>42286</v>
      </c>
      <c r="B667" s="28">
        <v>4.1465220610653691E-2</v>
      </c>
      <c r="C667" s="28">
        <v>-2.6205450733752618E-3</v>
      </c>
      <c r="D667" s="28">
        <v>3.0635994587280089E-2</v>
      </c>
      <c r="E667" s="28">
        <v>1.7100741032111452E-2</v>
      </c>
      <c r="F667" s="28">
        <v>5.3737601903194245E-2</v>
      </c>
      <c r="G667" s="28">
        <v>5.3637508401381172E-2</v>
      </c>
      <c r="H667" s="28">
        <v>3.1480198954857395E-3</v>
      </c>
      <c r="I667" s="28">
        <v>3.4425740025740087E-2</v>
      </c>
      <c r="J667" s="28">
        <v>2.396330649539519E-2</v>
      </c>
      <c r="K667" s="28">
        <v>4.6688398888786335E-2</v>
      </c>
      <c r="L667" s="28">
        <v>4.597816736900899E-2</v>
      </c>
      <c r="M667" s="28">
        <v>2.6235715734667712E-2</v>
      </c>
      <c r="N667" s="28">
        <v>7.0283670243740048E-2</v>
      </c>
    </row>
    <row r="668" spans="1:14">
      <c r="A668" s="4">
        <v>42293</v>
      </c>
      <c r="B668" s="28">
        <v>5.8430967217717924E-3</v>
      </c>
      <c r="C668" s="28">
        <v>4.8607461902258689E-3</v>
      </c>
      <c r="D668" s="28">
        <v>1.2761934772333422E-2</v>
      </c>
      <c r="E668" s="28">
        <v>1.6600189435528039E-2</v>
      </c>
      <c r="F668" s="28">
        <v>3.0843433940320416E-3</v>
      </c>
      <c r="G668" s="28">
        <v>2.7227867962987398E-2</v>
      </c>
      <c r="H668" s="28">
        <v>2.1000439339735166E-2</v>
      </c>
      <c r="I668" s="28">
        <v>3.0684213774253729E-2</v>
      </c>
      <c r="J668" s="28">
        <v>3.1522528485954611E-2</v>
      </c>
      <c r="K668" s="28">
        <v>2.9655601314326933E-2</v>
      </c>
      <c r="L668" s="28">
        <v>8.2481816626715915E-3</v>
      </c>
      <c r="M668" s="28">
        <v>8.8803965064094652E-3</v>
      </c>
      <c r="N668" s="28">
        <v>-1.2218363609795323E-3</v>
      </c>
    </row>
    <row r="669" spans="1:14">
      <c r="A669" s="4">
        <v>42300</v>
      </c>
      <c r="B669" s="28">
        <v>1.3697246889014253E-2</v>
      </c>
      <c r="C669" s="28">
        <v>-5.0987057131650897E-3</v>
      </c>
      <c r="D669" s="28">
        <v>1.0475005185646185E-2</v>
      </c>
      <c r="E669" s="28">
        <v>-6.00937514104633E-3</v>
      </c>
      <c r="F669" s="28">
        <v>-1.7480092984659867E-2</v>
      </c>
      <c r="G669" s="28">
        <v>1.9914417967230501E-2</v>
      </c>
      <c r="H669" s="28">
        <v>-2.5654265738850081E-3</v>
      </c>
      <c r="I669" s="28">
        <v>-3.5924188374076503E-4</v>
      </c>
      <c r="J669" s="28">
        <v>2.2397637500934705E-3</v>
      </c>
      <c r="K669" s="28">
        <v>2.0017406440383009E-2</v>
      </c>
      <c r="L669" s="28">
        <v>2.6326358013900167E-2</v>
      </c>
      <c r="M669" s="28">
        <v>-8.3450648012413364E-4</v>
      </c>
      <c r="N669" s="28">
        <v>-2.8836995025742832E-2</v>
      </c>
    </row>
    <row r="670" spans="1:14">
      <c r="A670" s="4">
        <v>42307</v>
      </c>
      <c r="B670" s="28">
        <v>-4.7462513403762166E-4</v>
      </c>
      <c r="C670" s="28">
        <v>-1.7871222076215685E-3</v>
      </c>
      <c r="D670" s="28">
        <v>-6.2095863697013646E-3</v>
      </c>
      <c r="E670" s="28">
        <v>-6.068409888491764E-3</v>
      </c>
      <c r="F670" s="28">
        <v>-5.6430503131010062E-3</v>
      </c>
      <c r="G670" s="28">
        <v>-1.6551251141616489E-2</v>
      </c>
      <c r="H670" s="28">
        <v>-6.5738655973178626E-3</v>
      </c>
      <c r="I670" s="28">
        <v>4.8688972141011129E-4</v>
      </c>
      <c r="J670" s="28">
        <v>-1.0278645469097148E-2</v>
      </c>
      <c r="K670" s="28">
        <v>-6.3121281635241278E-2</v>
      </c>
      <c r="L670" s="28">
        <v>9.6503258277103651E-3</v>
      </c>
      <c r="M670" s="28">
        <v>-7.4442047773644673E-4</v>
      </c>
      <c r="N670" s="28">
        <v>-1.199717939677563E-2</v>
      </c>
    </row>
    <row r="671" spans="1:14">
      <c r="A671" s="4">
        <v>42314</v>
      </c>
      <c r="B671" s="28">
        <v>-8.2659162856129351E-4</v>
      </c>
      <c r="C671" s="28">
        <v>-1.3664367331894049E-2</v>
      </c>
      <c r="D671" s="28">
        <v>-2.788536018590243E-2</v>
      </c>
      <c r="E671" s="28">
        <v>-3.7637829706278637E-2</v>
      </c>
      <c r="F671" s="28">
        <v>-4.0004770437251355E-2</v>
      </c>
      <c r="G671" s="28">
        <v>-1.4211045049083826E-2</v>
      </c>
      <c r="H671" s="28">
        <v>-4.0308038446903914E-2</v>
      </c>
      <c r="I671" s="28">
        <v>-1.0716016862904852E-2</v>
      </c>
      <c r="J671" s="28">
        <v>-3.0782468878364961E-2</v>
      </c>
      <c r="K671" s="28">
        <v>2.5779096039573578E-3</v>
      </c>
      <c r="L671" s="28">
        <v>-3.6595465639134607E-2</v>
      </c>
      <c r="M671" s="28">
        <v>-2.7942015502749093E-2</v>
      </c>
      <c r="N671" s="28">
        <v>-3.740182386203271E-2</v>
      </c>
    </row>
    <row r="672" spans="1:14">
      <c r="A672" s="4">
        <v>42321</v>
      </c>
      <c r="B672" s="28">
        <v>-2.9388813593133112E-2</v>
      </c>
      <c r="C672" s="28">
        <v>3.0163094252996167E-3</v>
      </c>
      <c r="D672" s="28">
        <v>-1.9389110225763641E-2</v>
      </c>
      <c r="E672" s="28">
        <v>-8.8805851217138802E-3</v>
      </c>
      <c r="F672" s="28">
        <v>-3.5969348333944398E-2</v>
      </c>
      <c r="G672" s="28">
        <v>-1.6177293317211443E-2</v>
      </c>
      <c r="H672" s="28">
        <v>8.1580058782461089E-3</v>
      </c>
      <c r="I672" s="28">
        <v>-1.5321878525945057E-2</v>
      </c>
      <c r="J672" s="28">
        <v>-5.6929746683688871E-3</v>
      </c>
      <c r="K672" s="28">
        <v>-1.5591493924231523E-2</v>
      </c>
      <c r="L672" s="28">
        <v>-1.7249620841355645E-2</v>
      </c>
      <c r="M672" s="28">
        <v>-2.5956304581887895E-2</v>
      </c>
      <c r="N672" s="28">
        <v>-5.029354471248796E-2</v>
      </c>
    </row>
    <row r="673" spans="1:14">
      <c r="A673" s="4">
        <v>42328</v>
      </c>
      <c r="B673" s="28">
        <v>2.9335670676419012E-2</v>
      </c>
      <c r="C673" s="28">
        <v>1.6499893549073998E-3</v>
      </c>
      <c r="D673" s="28">
        <v>3.6186348862405238E-2</v>
      </c>
      <c r="E673" s="28">
        <v>2.6411763498395389E-2</v>
      </c>
      <c r="F673" s="28">
        <v>2.3849635403570567E-2</v>
      </c>
      <c r="G673" s="28">
        <v>3.1664911785099753E-2</v>
      </c>
      <c r="H673" s="28">
        <v>3.1102656720884102E-2</v>
      </c>
      <c r="I673" s="28">
        <v>2.4608217277097708E-2</v>
      </c>
      <c r="J673" s="28">
        <v>4.1503051790829353E-2</v>
      </c>
      <c r="K673" s="28">
        <v>8.9857045609257665E-3</v>
      </c>
      <c r="L673" s="28">
        <v>2.6559311563731085E-2</v>
      </c>
      <c r="M673" s="28">
        <v>1.5928150607380683E-2</v>
      </c>
      <c r="N673" s="28">
        <v>2.3896804414556733E-2</v>
      </c>
    </row>
    <row r="674" spans="1:14">
      <c r="A674" s="4">
        <v>42335</v>
      </c>
      <c r="B674" s="28">
        <v>-1.4916345143085122E-3</v>
      </c>
      <c r="C674" s="28">
        <v>7.1736011477757005E-4</v>
      </c>
      <c r="D674" s="28">
        <v>-4.3391886240067568E-3</v>
      </c>
      <c r="E674" s="28">
        <v>-1.4196004186471196E-2</v>
      </c>
      <c r="F674" s="28">
        <v>-9.4091137934845612E-3</v>
      </c>
      <c r="G674" s="28">
        <v>-1.9213809191903297E-2</v>
      </c>
      <c r="H674" s="28">
        <v>-2.0326602020637616E-2</v>
      </c>
      <c r="I674" s="28">
        <v>-2.5143275068783607E-2</v>
      </c>
      <c r="J674" s="28">
        <v>5.3190657217497164E-4</v>
      </c>
      <c r="K674" s="28">
        <v>-4.1974642298485236E-2</v>
      </c>
      <c r="L674" s="28">
        <v>-6.8790573857534544E-3</v>
      </c>
      <c r="M674" s="28">
        <v>-1.5187291033075736E-3</v>
      </c>
      <c r="N674" s="28">
        <v>-1.1548232586672454E-2</v>
      </c>
    </row>
    <row r="675" spans="1:14">
      <c r="A675" s="4">
        <v>42342</v>
      </c>
      <c r="B675" s="28">
        <v>-3.2406236583171055E-3</v>
      </c>
      <c r="C675" s="28">
        <v>1.3274923669191922E-4</v>
      </c>
      <c r="D675" s="28">
        <v>-6.1958519296402125E-3</v>
      </c>
      <c r="E675" s="28">
        <v>-4.1656100488580627E-3</v>
      </c>
      <c r="F675" s="28">
        <v>-5.21409556747644E-2</v>
      </c>
      <c r="G675" s="28">
        <v>-9.8476800301667902E-3</v>
      </c>
      <c r="H675" s="28">
        <v>5.4589772669565303E-4</v>
      </c>
      <c r="I675" s="28">
        <v>2.4015417501085565E-3</v>
      </c>
      <c r="J675" s="28">
        <v>-1.8253459463685371E-2</v>
      </c>
      <c r="K675" s="28">
        <v>1.5383572076912648E-2</v>
      </c>
      <c r="L675" s="28">
        <v>-3.8700235499435293E-3</v>
      </c>
      <c r="M675" s="28">
        <v>-1.4866076664913548E-2</v>
      </c>
      <c r="N675" s="28">
        <v>-7.3524616317843322E-2</v>
      </c>
    </row>
    <row r="676" spans="1:14">
      <c r="A676" s="4">
        <v>42349</v>
      </c>
      <c r="B676" s="28">
        <v>-3.3603181533886431E-2</v>
      </c>
      <c r="C676" s="28">
        <v>8.0435359702681966E-3</v>
      </c>
      <c r="D676" s="28">
        <v>-2.0869657103608691E-2</v>
      </c>
      <c r="E676" s="28">
        <v>-1.0535679726201418E-2</v>
      </c>
      <c r="F676" s="28">
        <v>-4.3324026182084419E-2</v>
      </c>
      <c r="G676" s="28">
        <v>-2.3208891004632297E-2</v>
      </c>
      <c r="H676" s="28">
        <v>-1.3965665272355843E-2</v>
      </c>
      <c r="I676" s="28">
        <v>-1.4612327815100631E-2</v>
      </c>
      <c r="J676" s="28">
        <v>-2.4058890608973808E-2</v>
      </c>
      <c r="K676" s="28">
        <v>-7.8069530997138425E-2</v>
      </c>
      <c r="L676" s="28">
        <v>-3.6142428015188501E-2</v>
      </c>
      <c r="M676" s="28">
        <v>-1.0777219584888828E-2</v>
      </c>
      <c r="N676" s="28">
        <v>-4.7383320465658546E-2</v>
      </c>
    </row>
    <row r="677" spans="1:14">
      <c r="A677" s="4">
        <v>42356</v>
      </c>
      <c r="B677" s="28">
        <v>-2.4911010300213863E-3</v>
      </c>
      <c r="C677" s="28">
        <v>-5.2932346667368679E-3</v>
      </c>
      <c r="D677" s="28">
        <v>1.0954025469458241E-2</v>
      </c>
      <c r="E677" s="28">
        <v>-4.3819916272047161E-3</v>
      </c>
      <c r="F677" s="28">
        <v>-1.0184308646067996E-3</v>
      </c>
      <c r="G677" s="28">
        <v>-6.871679906428162E-3</v>
      </c>
      <c r="H677" s="28">
        <v>8.8489501790808365E-3</v>
      </c>
      <c r="I677" s="28">
        <v>1.6470654425697246E-2</v>
      </c>
      <c r="J677" s="28">
        <v>6.3775968144654483E-3</v>
      </c>
      <c r="K677" s="28">
        <v>-4.8425475477985938E-3</v>
      </c>
      <c r="L677" s="28">
        <v>4.7758806843848124E-3</v>
      </c>
      <c r="M677" s="28">
        <v>4.6164359095814816E-3</v>
      </c>
      <c r="N677" s="28">
        <v>-1.6328444070112951E-2</v>
      </c>
    </row>
    <row r="678" spans="1:14">
      <c r="A678" s="4">
        <v>42363</v>
      </c>
      <c r="B678" s="28">
        <v>2.4208110175975489E-2</v>
      </c>
      <c r="C678" s="28">
        <v>-3.4417028486723574E-4</v>
      </c>
      <c r="D678" s="28">
        <v>1.6386442487323155E-2</v>
      </c>
      <c r="E678" s="28">
        <v>1.5519933274282062E-2</v>
      </c>
      <c r="F678" s="28">
        <v>3.9827716560215415E-2</v>
      </c>
      <c r="G678" s="28">
        <v>1.9787553696671401E-2</v>
      </c>
      <c r="H678" s="28">
        <v>1.8958494545021704E-2</v>
      </c>
      <c r="I678" s="28">
        <v>-1.1346788700653887E-3</v>
      </c>
      <c r="J678" s="28">
        <v>1.6352131906764981E-2</v>
      </c>
      <c r="K678" s="28">
        <v>3.2993246799789495E-2</v>
      </c>
      <c r="L678" s="28">
        <v>3.089344472458444E-2</v>
      </c>
      <c r="M678" s="28">
        <v>2.1468847947995605E-2</v>
      </c>
      <c r="N678" s="28">
        <v>4.4495512887826265E-2</v>
      </c>
    </row>
    <row r="679" spans="1:14">
      <c r="A679" s="4">
        <v>42370</v>
      </c>
      <c r="B679" s="28">
        <v>-6.2810016135779545E-3</v>
      </c>
      <c r="C679" s="28">
        <v>-1.2977038586825718E-3</v>
      </c>
      <c r="D679" s="28">
        <v>-3.0984140321393501E-3</v>
      </c>
      <c r="E679" s="28">
        <v>-7.5921614411870141E-3</v>
      </c>
      <c r="F679" s="28">
        <v>-1.256781520705649E-2</v>
      </c>
      <c r="G679" s="28">
        <v>1.3303424687958089E-2</v>
      </c>
      <c r="H679" s="28">
        <v>-9.0587798395206625E-3</v>
      </c>
      <c r="I679" s="28">
        <v>1.2566891485387504E-3</v>
      </c>
      <c r="J679" s="28">
        <v>-1.0230358573110668E-2</v>
      </c>
      <c r="K679" s="28">
        <v>-3.8325184036774483E-3</v>
      </c>
      <c r="L679" s="28">
        <v>-6.6168717275112273E-3</v>
      </c>
      <c r="M679" s="28">
        <v>1.7290826403130372E-3</v>
      </c>
      <c r="N679" s="28">
        <v>-9.8679504282427472E-3</v>
      </c>
    </row>
    <row r="680" spans="1:14">
      <c r="A680" s="4">
        <v>42377</v>
      </c>
      <c r="B680" s="28">
        <v>-6.0933731860307039E-2</v>
      </c>
      <c r="C680" s="28">
        <v>8.2471492972685141E-3</v>
      </c>
      <c r="D680" s="28">
        <v>-3.9087604698941236E-2</v>
      </c>
      <c r="E680" s="28">
        <v>-2.3101204135303696E-2</v>
      </c>
      <c r="F680" s="28">
        <v>-3.4215059424051515E-2</v>
      </c>
      <c r="G680" s="28">
        <v>-6.7799086757990831E-2</v>
      </c>
      <c r="H680" s="28">
        <v>-9.1879100241699149E-3</v>
      </c>
      <c r="I680" s="28">
        <v>-5.4373027151923901E-2</v>
      </c>
      <c r="J680" s="28">
        <v>-2.7603772064157296E-2</v>
      </c>
      <c r="K680" s="28">
        <v>-8.0395283157476585E-2</v>
      </c>
      <c r="L680" s="28">
        <v>-3.1606894627167093E-2</v>
      </c>
      <c r="M680" s="28">
        <v>-6.9210111837558014E-2</v>
      </c>
      <c r="N680" s="28">
        <v>-4.6617433990853767E-2</v>
      </c>
    </row>
    <row r="681" spans="1:14">
      <c r="A681" s="4">
        <v>42384</v>
      </c>
      <c r="B681" s="28">
        <v>-2.5917885069838054E-2</v>
      </c>
      <c r="C681" s="28">
        <v>3.1298492938113091E-3</v>
      </c>
      <c r="D681" s="28">
        <v>-2.6259525245326418E-2</v>
      </c>
      <c r="E681" s="28">
        <v>-2.4197105589279299E-2</v>
      </c>
      <c r="F681" s="28">
        <v>-3.7514403405758526E-2</v>
      </c>
      <c r="G681" s="28">
        <v>-2.6607625690661895E-2</v>
      </c>
      <c r="H681" s="28">
        <v>-6.5404753000373444E-3</v>
      </c>
      <c r="I681" s="28">
        <v>-3.572787204601801E-2</v>
      </c>
      <c r="J681" s="28">
        <v>-1.8357962024183272E-2</v>
      </c>
      <c r="K681" s="28">
        <v>-3.3196641280999882E-2</v>
      </c>
      <c r="L681" s="28">
        <v>-5.4419936620792954E-2</v>
      </c>
      <c r="M681" s="28">
        <v>-3.1294256091870025E-2</v>
      </c>
      <c r="N681" s="28">
        <v>-4.1183651065433591E-2</v>
      </c>
    </row>
    <row r="682" spans="1:14">
      <c r="A682" s="4">
        <v>42391</v>
      </c>
      <c r="B682" s="28">
        <v>1.0381328073635742E-2</v>
      </c>
      <c r="C682" s="28">
        <v>-3.4609334032511623E-3</v>
      </c>
      <c r="D682" s="28">
        <v>-6.7559959464026881E-4</v>
      </c>
      <c r="E682" s="28">
        <v>1.111780786533776E-2</v>
      </c>
      <c r="F682" s="28">
        <v>5.7722912813454326E-2</v>
      </c>
      <c r="G682" s="28">
        <v>-5.0925925925926294E-3</v>
      </c>
      <c r="H682" s="28">
        <v>1.0065664235450023E-2</v>
      </c>
      <c r="I682" s="28">
        <v>2.0007413364431931E-2</v>
      </c>
      <c r="J682" s="28">
        <v>2.2757670327888668E-2</v>
      </c>
      <c r="K682" s="28">
        <v>-1.6127748909005167E-2</v>
      </c>
      <c r="L682" s="28">
        <v>3.3020193485298749E-2</v>
      </c>
      <c r="M682" s="28">
        <v>3.8328941911755468E-2</v>
      </c>
      <c r="N682" s="28">
        <v>5.9981544140264575E-2</v>
      </c>
    </row>
    <row r="683" spans="1:14">
      <c r="A683" s="4">
        <v>42398</v>
      </c>
      <c r="B683" s="28">
        <v>1.6521450556029191E-2</v>
      </c>
      <c r="C683" s="28">
        <v>3.6571248158283605E-3</v>
      </c>
      <c r="D683" s="28">
        <v>1.9211267605633783E-2</v>
      </c>
      <c r="E683" s="28">
        <v>2.7951930343704502E-2</v>
      </c>
      <c r="F683" s="28">
        <v>3.2393287517113359E-2</v>
      </c>
      <c r="G683" s="28">
        <v>1.683290509235839E-2</v>
      </c>
      <c r="H683" s="28">
        <v>3.493592186957379E-2</v>
      </c>
      <c r="I683" s="28">
        <v>2.2817542539830264E-2</v>
      </c>
      <c r="J683" s="28">
        <v>2.912679070320404E-2</v>
      </c>
      <c r="K683" s="28">
        <v>1.1073232637420032E-2</v>
      </c>
      <c r="L683" s="28">
        <v>3.3005526654262596E-2</v>
      </c>
      <c r="M683" s="28">
        <v>2.2947235076026879E-2</v>
      </c>
      <c r="N683" s="28">
        <v>2.9539079125556186E-2</v>
      </c>
    </row>
    <row r="684" spans="1:14">
      <c r="A684" s="4">
        <v>42405</v>
      </c>
      <c r="B684" s="28">
        <v>-2.4523422396906996E-2</v>
      </c>
      <c r="C684" s="28">
        <v>9.4633916166407747E-3</v>
      </c>
      <c r="D684" s="28">
        <v>-1.8296390470399659E-2</v>
      </c>
      <c r="E684" s="28">
        <v>-1.1390347198489821E-4</v>
      </c>
      <c r="F684" s="28">
        <v>-1.0024585509320639E-2</v>
      </c>
      <c r="G684" s="28">
        <v>3.6013450327305289E-3</v>
      </c>
      <c r="H684" s="28">
        <v>1.0492415096964759E-2</v>
      </c>
      <c r="I684" s="28">
        <v>-7.0455603204680394E-3</v>
      </c>
      <c r="J684" s="28">
        <v>-8.7699031556248436E-3</v>
      </c>
      <c r="K684" s="28">
        <v>-2.8407412876550547E-2</v>
      </c>
      <c r="L684" s="28">
        <v>-3.9322386451643661E-2</v>
      </c>
      <c r="M684" s="28">
        <v>1.2383607889225903E-2</v>
      </c>
      <c r="N684" s="28">
        <v>-6.4946504280830762E-3</v>
      </c>
    </row>
    <row r="685" spans="1:14">
      <c r="A685" s="4">
        <v>42412</v>
      </c>
      <c r="B685" s="28">
        <v>-2.455590043770128E-2</v>
      </c>
      <c r="C685" s="28">
        <v>5.5572867975486736E-3</v>
      </c>
      <c r="D685" s="28">
        <v>-4.2117117117117062E-2</v>
      </c>
      <c r="E685" s="28">
        <v>-3.6629315879952822E-2</v>
      </c>
      <c r="F685" s="28">
        <v>-3.6621717059519762E-2</v>
      </c>
      <c r="G685" s="28">
        <v>-2.6812053925455943E-2</v>
      </c>
      <c r="H685" s="28">
        <v>-2.6553976616949741E-2</v>
      </c>
      <c r="I685" s="28">
        <v>-2.959374771136529E-2</v>
      </c>
      <c r="J685" s="28">
        <v>-1.3674283993901035E-2</v>
      </c>
      <c r="K685" s="28">
        <v>-4.208066569143367E-2</v>
      </c>
      <c r="L685" s="28">
        <v>-3.1812225355503855E-2</v>
      </c>
      <c r="M685" s="28">
        <v>-4.1071129446320929E-2</v>
      </c>
      <c r="N685" s="28">
        <v>-4.3931405694651406E-2</v>
      </c>
    </row>
    <row r="686" spans="1:14">
      <c r="A686" s="4">
        <v>42419</v>
      </c>
      <c r="B686" s="28">
        <v>3.4794308587574437E-2</v>
      </c>
      <c r="C686" s="28">
        <v>9.5552915655169586E-4</v>
      </c>
      <c r="D686" s="28">
        <v>4.9905948742064478E-2</v>
      </c>
      <c r="E686" s="28">
        <v>1.8321239810086935E-2</v>
      </c>
      <c r="F686" s="28">
        <v>3.5728544288113638E-2</v>
      </c>
      <c r="G686" s="28">
        <v>4.9984110040010035E-2</v>
      </c>
      <c r="H686" s="28">
        <v>1.5401000108164959E-2</v>
      </c>
      <c r="I686" s="28">
        <v>5.8070734557812066E-2</v>
      </c>
      <c r="J686" s="28">
        <v>1.9295844451665194E-2</v>
      </c>
      <c r="K686" s="28">
        <v>0.10056456837623781</v>
      </c>
      <c r="L686" s="28">
        <v>1.8807140247203508E-2</v>
      </c>
      <c r="M686" s="28">
        <v>1.8943117834886582E-2</v>
      </c>
      <c r="N686" s="28">
        <v>4.840644100349098E-2</v>
      </c>
    </row>
    <row r="687" spans="1:14">
      <c r="A687" s="4">
        <v>42426</v>
      </c>
      <c r="B687" s="28">
        <v>1.0597008133041182E-2</v>
      </c>
      <c r="C687" s="28">
        <v>-1.5996284733866915E-3</v>
      </c>
      <c r="D687" s="28">
        <v>1.2989194334023811E-2</v>
      </c>
      <c r="E687" s="28">
        <v>-1.2906948921136814E-2</v>
      </c>
      <c r="F687" s="28">
        <v>2.2805740812739086E-2</v>
      </c>
      <c r="G687" s="28">
        <v>7.1554406959869208E-3</v>
      </c>
      <c r="H687" s="28">
        <v>-4.6788705157410279E-3</v>
      </c>
      <c r="I687" s="28">
        <v>-2.0236685667006237E-3</v>
      </c>
      <c r="J687" s="28">
        <v>-2.7370264944164661E-2</v>
      </c>
      <c r="K687" s="28">
        <v>-2.2285226876824784E-3</v>
      </c>
      <c r="L687" s="28">
        <v>2.4794482478903722E-2</v>
      </c>
      <c r="M687" s="28">
        <v>1.0513473752197739E-2</v>
      </c>
      <c r="N687" s="28">
        <v>2.736478783542589E-2</v>
      </c>
    </row>
    <row r="688" spans="1:14">
      <c r="A688" s="4">
        <v>42433</v>
      </c>
      <c r="B688" s="28">
        <v>3.4461906630555712E-2</v>
      </c>
      <c r="C688" s="28">
        <v>5.685195234771957E-4</v>
      </c>
      <c r="D688" s="28">
        <v>4.0457635549660052E-2</v>
      </c>
      <c r="E688" s="28">
        <v>1.4569371167831295E-2</v>
      </c>
      <c r="F688" s="28">
        <v>3.9431961428998394E-2</v>
      </c>
      <c r="G688" s="28">
        <v>3.9352725871700973E-2</v>
      </c>
      <c r="H688" s="28">
        <v>5.7381840335235306E-3</v>
      </c>
      <c r="I688" s="28">
        <v>2.7065550336940976E-2</v>
      </c>
      <c r="J688" s="28">
        <v>3.1692798686336315E-2</v>
      </c>
      <c r="K688" s="28">
        <v>3.9763525920039469E-2</v>
      </c>
      <c r="L688" s="28">
        <v>4.0167655344586752E-2</v>
      </c>
      <c r="M688" s="28">
        <v>3.572978560550464E-2</v>
      </c>
      <c r="N688" s="28">
        <v>4.5404627705776905E-2</v>
      </c>
    </row>
    <row r="689" spans="1:14">
      <c r="A689" s="4">
        <v>42440</v>
      </c>
      <c r="B689" s="28">
        <v>1.1274595159324463E-2</v>
      </c>
      <c r="C689" s="28">
        <v>1.6012810248198677E-3</v>
      </c>
      <c r="D689" s="28">
        <v>1.4873837981407763E-2</v>
      </c>
      <c r="E689" s="28">
        <v>2.966898214028469E-2</v>
      </c>
      <c r="F689" s="28">
        <v>7.6609790174818537E-3</v>
      </c>
      <c r="G689" s="28">
        <v>-7.9699292715117327E-4</v>
      </c>
      <c r="H689" s="28">
        <v>2.2171016011263388E-2</v>
      </c>
      <c r="I689" s="28">
        <v>2.8149691621897812E-2</v>
      </c>
      <c r="J689" s="28">
        <v>2.2334250021660488E-3</v>
      </c>
      <c r="K689" s="28">
        <v>-1.2801658251887478E-2</v>
      </c>
      <c r="L689" s="28">
        <v>6.7436225579524094E-3</v>
      </c>
      <c r="M689" s="28">
        <v>3.2181140815347002E-2</v>
      </c>
      <c r="N689" s="28">
        <v>4.5643381343678921E-3</v>
      </c>
    </row>
    <row r="690" spans="1:14">
      <c r="A690" s="4">
        <v>42447</v>
      </c>
      <c r="B690" s="28">
        <v>1.1929872030599422E-2</v>
      </c>
      <c r="C690" s="28">
        <v>1.2351409195224518E-2</v>
      </c>
      <c r="D690" s="28">
        <v>2.4548547500654265E-2</v>
      </c>
      <c r="E690" s="28">
        <v>2.5633763406369501E-2</v>
      </c>
      <c r="F690" s="28">
        <v>1.9786962132115726E-2</v>
      </c>
      <c r="G690" s="28">
        <v>5.7021172402792614E-3</v>
      </c>
      <c r="H690" s="28">
        <v>1.6164487777533224E-2</v>
      </c>
      <c r="I690" s="28">
        <v>2.5226643357725179E-2</v>
      </c>
      <c r="J690" s="28">
        <v>1.4725046025774364E-2</v>
      </c>
      <c r="K690" s="28">
        <v>2.398812910188162E-3</v>
      </c>
      <c r="L690" s="28">
        <v>2.2384889925902932E-2</v>
      </c>
      <c r="M690" s="28">
        <v>1.0363076741388064E-2</v>
      </c>
      <c r="N690" s="28">
        <v>2.2743503417719701E-2</v>
      </c>
    </row>
    <row r="691" spans="1:14">
      <c r="A691" s="4">
        <v>42454</v>
      </c>
      <c r="B691" s="28">
        <v>-1.3284150780580529E-2</v>
      </c>
      <c r="C691" s="28">
        <v>-3.5914416709119331E-3</v>
      </c>
      <c r="D691" s="28">
        <v>-1.4764483498518518E-2</v>
      </c>
      <c r="E691" s="28">
        <v>-1.5474293243014015E-2</v>
      </c>
      <c r="F691" s="28">
        <v>-1.0448256038544455E-2</v>
      </c>
      <c r="G691" s="28">
        <v>5.7546313715940527E-4</v>
      </c>
      <c r="H691" s="28">
        <v>3.5739335335050193E-3</v>
      </c>
      <c r="I691" s="28">
        <v>-9.2236827958509723E-3</v>
      </c>
      <c r="J691" s="28">
        <v>-1.7007232017770709E-2</v>
      </c>
      <c r="K691" s="28">
        <v>-1.4381838394476583E-2</v>
      </c>
      <c r="L691" s="28">
        <v>-1.0918936310768703E-2</v>
      </c>
      <c r="M691" s="28">
        <v>-9.3837893121962238E-3</v>
      </c>
      <c r="N691" s="28">
        <v>-1.7592110982065919E-2</v>
      </c>
    </row>
    <row r="692" spans="1:14">
      <c r="A692" s="4">
        <v>42461</v>
      </c>
      <c r="B692" s="28">
        <v>1.011880200282074E-2</v>
      </c>
      <c r="C692" s="28">
        <v>7.2598992816789156E-3</v>
      </c>
      <c r="D692" s="28">
        <v>1.711174487944004E-2</v>
      </c>
      <c r="E692" s="28">
        <v>7.813133634323682E-3</v>
      </c>
      <c r="F692" s="28">
        <v>1.3792234298922899E-2</v>
      </c>
      <c r="G692" s="28">
        <v>4.5236357201318316E-3</v>
      </c>
      <c r="H692" s="28">
        <v>1.0974168495694856E-2</v>
      </c>
      <c r="I692" s="28">
        <v>1.0055838268918418E-2</v>
      </c>
      <c r="J692" s="28">
        <v>1.4942189295550317E-2</v>
      </c>
      <c r="K692" s="28">
        <v>4.6743285921211984E-2</v>
      </c>
      <c r="L692" s="28">
        <v>3.0750909285963902E-2</v>
      </c>
      <c r="M692" s="28">
        <v>1.3875317568887892E-2</v>
      </c>
      <c r="N692" s="28">
        <v>3.6517791090674959E-3</v>
      </c>
    </row>
    <row r="693" spans="1:14">
      <c r="A693" s="4">
        <v>42468</v>
      </c>
      <c r="B693" s="28">
        <v>-4.8410501542551576E-3</v>
      </c>
      <c r="C693" s="28">
        <v>7.6897698144812064E-3</v>
      </c>
      <c r="D693" s="28">
        <v>4.1804741269436309E-3</v>
      </c>
      <c r="E693" s="28">
        <v>1.9264043135361432E-2</v>
      </c>
      <c r="F693" s="28">
        <v>6.3702378606187602E-3</v>
      </c>
      <c r="G693" s="28">
        <v>4.539966014482341E-3</v>
      </c>
      <c r="H693" s="28">
        <v>-1.0369576362026661E-3</v>
      </c>
      <c r="I693" s="28">
        <v>2.4384175636934551E-2</v>
      </c>
      <c r="J693" s="28">
        <v>2.1604167127888683E-2</v>
      </c>
      <c r="K693" s="28">
        <v>3.1305649762371868E-3</v>
      </c>
      <c r="L693" s="28">
        <v>7.9742621153092493E-3</v>
      </c>
      <c r="M693" s="28">
        <v>1.2728939061113454E-3</v>
      </c>
      <c r="N693" s="28">
        <v>1.4698496547587588E-2</v>
      </c>
    </row>
    <row r="694" spans="1:14">
      <c r="A694" s="4">
        <v>42475</v>
      </c>
      <c r="B694" s="28">
        <v>2.3446881509618909E-2</v>
      </c>
      <c r="C694" s="28">
        <v>-3.7777665843947327E-4</v>
      </c>
      <c r="D694" s="28">
        <v>8.0215261207291083E-3</v>
      </c>
      <c r="E694" s="28">
        <v>1.4573854570695815E-3</v>
      </c>
      <c r="F694" s="28">
        <v>1.0460477952253057E-2</v>
      </c>
      <c r="G694" s="28">
        <v>3.8157731288316683E-2</v>
      </c>
      <c r="H694" s="28">
        <v>2.5503757527690412E-3</v>
      </c>
      <c r="I694" s="28">
        <v>8.531958504910871E-3</v>
      </c>
      <c r="J694" s="28">
        <v>1.7735743916785326E-2</v>
      </c>
      <c r="K694" s="28">
        <v>3.626228247718772E-2</v>
      </c>
      <c r="L694" s="28">
        <v>-1.9810208377743833E-3</v>
      </c>
      <c r="M694" s="28">
        <v>8.6156170772282766E-3</v>
      </c>
      <c r="N694" s="28">
        <v>2.0054766033664434E-2</v>
      </c>
    </row>
    <row r="695" spans="1:14">
      <c r="A695" s="4">
        <v>42482</v>
      </c>
      <c r="B695" s="28">
        <v>9.3985525031877529E-3</v>
      </c>
      <c r="C695" s="28">
        <v>-6.5506034113527569E-3</v>
      </c>
      <c r="D695" s="28">
        <v>-7.3533115084362015E-3</v>
      </c>
      <c r="E695" s="28">
        <v>-2.2597663692627085E-2</v>
      </c>
      <c r="F695" s="28">
        <v>7.6985461614606692E-3</v>
      </c>
      <c r="G695" s="28">
        <v>-1.8324828435685434E-2</v>
      </c>
      <c r="H695" s="28">
        <v>-3.2279455390832011E-2</v>
      </c>
      <c r="I695" s="28">
        <v>-1.5616932695763443E-2</v>
      </c>
      <c r="J695" s="28">
        <v>-2.4310340107498312E-2</v>
      </c>
      <c r="K695" s="28">
        <v>-3.4065862121641997E-2</v>
      </c>
      <c r="L695" s="28">
        <v>-7.9965490685572366E-3</v>
      </c>
      <c r="M695" s="28">
        <v>6.6153857234429857E-3</v>
      </c>
      <c r="N695" s="28">
        <v>1.6005557436736997E-2</v>
      </c>
    </row>
    <row r="696" spans="1:14">
      <c r="A696" s="4">
        <v>42489</v>
      </c>
      <c r="B696" s="28">
        <v>-9.1153323804836501E-3</v>
      </c>
      <c r="C696" s="28">
        <v>9.7638913545180766E-3</v>
      </c>
      <c r="D696" s="28">
        <v>1.0147648282515719E-4</v>
      </c>
      <c r="E696" s="28">
        <v>3.5428002944211182E-2</v>
      </c>
      <c r="F696" s="28">
        <v>9.9269165902299561E-3</v>
      </c>
      <c r="G696" s="28">
        <v>-1.1353574027668598E-2</v>
      </c>
      <c r="H696" s="28">
        <v>3.0879706991412671E-2</v>
      </c>
      <c r="I696" s="28">
        <v>3.3827375116529397E-2</v>
      </c>
      <c r="J696" s="28">
        <v>3.4459107673410011E-2</v>
      </c>
      <c r="K696" s="28">
        <v>-1.3792869730242687E-2</v>
      </c>
      <c r="L696" s="28">
        <v>-1.6754518547302559E-3</v>
      </c>
      <c r="M696" s="28">
        <v>2.5457654647381381E-2</v>
      </c>
      <c r="N696" s="28">
        <v>4.2982600808113315E-3</v>
      </c>
    </row>
    <row r="697" spans="1:14">
      <c r="A697" s="4">
        <v>42496</v>
      </c>
      <c r="B697" s="28">
        <v>-1.6525017955470372E-2</v>
      </c>
      <c r="C697" s="28">
        <v>2.1097046413501479E-3</v>
      </c>
      <c r="D697" s="28">
        <v>9.5885546141747571E-3</v>
      </c>
      <c r="E697" s="28">
        <v>-9.4295526399500538E-3</v>
      </c>
      <c r="F697" s="28">
        <v>-9.7619570790302979E-3</v>
      </c>
      <c r="G697" s="28">
        <v>-1.0051636110466557E-2</v>
      </c>
      <c r="H697" s="28">
        <v>3.2613554644224103E-3</v>
      </c>
      <c r="I697" s="28">
        <v>-1.3644308596936203E-2</v>
      </c>
      <c r="J697" s="28">
        <v>1.7630571712726889E-3</v>
      </c>
      <c r="K697" s="28">
        <v>-4.3761382770351451E-2</v>
      </c>
      <c r="L697" s="28">
        <v>8.8437420225604604E-3</v>
      </c>
      <c r="M697" s="28">
        <v>2.1943978314186009E-3</v>
      </c>
      <c r="N697" s="28">
        <v>-2.3345957392943453E-2</v>
      </c>
    </row>
    <row r="698" spans="1:14">
      <c r="A698" s="4">
        <v>42503</v>
      </c>
      <c r="B698" s="28">
        <v>-4.4243209854003384E-3</v>
      </c>
      <c r="C698" s="28">
        <v>-1.9548872180450445E-3</v>
      </c>
      <c r="D698" s="28">
        <v>-1.3065326633165801E-2</v>
      </c>
      <c r="E698" s="28">
        <v>-1.5096553057486233E-2</v>
      </c>
      <c r="F698" s="28">
        <v>5.5652040131008475E-3</v>
      </c>
      <c r="G698" s="28">
        <v>-1.5552885672004819E-2</v>
      </c>
      <c r="H698" s="28">
        <v>4.9284369260811176E-3</v>
      </c>
      <c r="I698" s="28">
        <v>-4.9345333730761018E-3</v>
      </c>
      <c r="J698" s="28">
        <v>2.0517757487327317E-3</v>
      </c>
      <c r="K698" s="28">
        <v>-1.1080166501961489E-2</v>
      </c>
      <c r="L698" s="28">
        <v>-2.2610356444341919E-2</v>
      </c>
      <c r="M698" s="28">
        <v>-1.7924029129593198E-2</v>
      </c>
      <c r="N698" s="28">
        <v>3.0615640599000898E-3</v>
      </c>
    </row>
    <row r="699" spans="1:14">
      <c r="A699" s="4">
        <v>42510</v>
      </c>
      <c r="B699" s="28">
        <v>2.4023179617584209E-3</v>
      </c>
      <c r="C699" s="28">
        <v>-6.9057305007282398E-3</v>
      </c>
      <c r="D699" s="28">
        <v>-1.2270875763747436E-2</v>
      </c>
      <c r="E699" s="28">
        <v>-4.9906508474125144E-3</v>
      </c>
      <c r="F699" s="28">
        <v>-2.1184321248456781E-4</v>
      </c>
      <c r="G699" s="28">
        <v>-8.6323011780113784E-3</v>
      </c>
      <c r="H699" s="28">
        <v>-2.1645088407886877E-2</v>
      </c>
      <c r="I699" s="28">
        <v>-4.4585370664982794E-3</v>
      </c>
      <c r="J699" s="28">
        <v>-8.6046169504348409E-3</v>
      </c>
      <c r="K699" s="28">
        <v>-2.6157526572388973E-2</v>
      </c>
      <c r="L699" s="28">
        <v>-1.3390711518259015E-2</v>
      </c>
      <c r="M699" s="28">
        <v>-4.3882191557463729E-3</v>
      </c>
      <c r="N699" s="28">
        <v>1.1489476128779949E-2</v>
      </c>
    </row>
    <row r="700" spans="1:14">
      <c r="A700" s="4">
        <v>42517</v>
      </c>
      <c r="B700" s="28">
        <v>2.2087386041406244E-2</v>
      </c>
      <c r="C700" s="28">
        <v>2.1999140263482633E-3</v>
      </c>
      <c r="D700" s="28">
        <v>1.4897675137893635E-2</v>
      </c>
      <c r="E700" s="28">
        <v>7.6104620446597092E-3</v>
      </c>
      <c r="F700" s="28">
        <v>1.1780389756387602E-2</v>
      </c>
      <c r="G700" s="28">
        <v>1.0069884926324296E-2</v>
      </c>
      <c r="H700" s="28">
        <v>2.2009678741448307E-2</v>
      </c>
      <c r="I700" s="28">
        <v>1.8291966946030909E-3</v>
      </c>
      <c r="J700" s="28">
        <v>2.8645320719176432E-2</v>
      </c>
      <c r="K700" s="28">
        <v>4.3620488071842503E-2</v>
      </c>
      <c r="L700" s="28">
        <v>3.1272422114477123E-3</v>
      </c>
      <c r="M700" s="28">
        <v>-7.1596156379392442E-3</v>
      </c>
      <c r="N700" s="28">
        <v>6.5288169065631048E-3</v>
      </c>
    </row>
    <row r="701" spans="1:14">
      <c r="A701" s="4">
        <v>42524</v>
      </c>
      <c r="B701" s="28">
        <v>1.4975508182832405E-3</v>
      </c>
      <c r="C701" s="28">
        <v>1.082403996568608E-2</v>
      </c>
      <c r="D701" s="28">
        <v>9.4473791141812969E-3</v>
      </c>
      <c r="E701" s="28">
        <v>-1.3171256197359793E-2</v>
      </c>
      <c r="F701" s="28">
        <v>2.2983958930207524E-2</v>
      </c>
      <c r="G701" s="28">
        <v>9.1185749161157847E-3</v>
      </c>
      <c r="H701" s="28">
        <v>2.3290159136567339E-3</v>
      </c>
      <c r="I701" s="28">
        <v>-1.5365034017341829E-3</v>
      </c>
      <c r="J701" s="28">
        <v>1.6427709247211653E-3</v>
      </c>
      <c r="K701" s="28">
        <v>-1.0434419879625763E-2</v>
      </c>
      <c r="L701" s="28">
        <v>1.2291262429287755E-2</v>
      </c>
      <c r="M701" s="28">
        <v>5.1350091440456715E-3</v>
      </c>
      <c r="N701" s="28">
        <v>2.1603265530134124E-2</v>
      </c>
    </row>
    <row r="702" spans="1:14">
      <c r="A702" s="4">
        <v>42531</v>
      </c>
      <c r="B702" s="28">
        <v>-7.9591082939150359E-3</v>
      </c>
      <c r="C702" s="28">
        <v>3.4196141077802574E-3</v>
      </c>
      <c r="D702" s="28">
        <v>1.358558921203491E-3</v>
      </c>
      <c r="E702" s="28">
        <v>-2.1387568979954169E-2</v>
      </c>
      <c r="F702" s="28">
        <v>8.8880801348849361E-3</v>
      </c>
      <c r="G702" s="28">
        <v>1.7862468931234547E-2</v>
      </c>
      <c r="H702" s="28">
        <v>6.597651005420496E-3</v>
      </c>
      <c r="I702" s="28">
        <v>-1.8066565665088724E-3</v>
      </c>
      <c r="J702" s="28">
        <v>-1.2756151757057459E-3</v>
      </c>
      <c r="K702" s="28">
        <v>-1.8686129628625956E-2</v>
      </c>
      <c r="L702" s="28">
        <v>5.6910662711149229E-3</v>
      </c>
      <c r="M702" s="28">
        <v>-1.7345577270229926E-2</v>
      </c>
      <c r="N702" s="28">
        <v>4.9693111460305025E-3</v>
      </c>
    </row>
    <row r="703" spans="1:14">
      <c r="A703" s="4">
        <v>42538</v>
      </c>
      <c r="B703" s="28">
        <v>-1.7679345672043364E-2</v>
      </c>
      <c r="C703" s="28">
        <v>2.5870646766169665E-3</v>
      </c>
      <c r="D703" s="28">
        <v>-1.0200492437565958E-2</v>
      </c>
      <c r="E703" s="28">
        <v>-2.1583524908164332E-2</v>
      </c>
      <c r="F703" s="28">
        <v>4.227340749028416E-4</v>
      </c>
      <c r="G703" s="28">
        <v>-1.8008436254187448E-2</v>
      </c>
      <c r="H703" s="28">
        <v>-6.8295777662273714E-3</v>
      </c>
      <c r="I703" s="28">
        <v>-1.7628867684267899E-2</v>
      </c>
      <c r="J703" s="28">
        <v>-1.5812521704326746E-2</v>
      </c>
      <c r="K703" s="28">
        <v>-2.3981933773533918E-2</v>
      </c>
      <c r="L703" s="28">
        <v>-6.3813774022917838E-3</v>
      </c>
      <c r="M703" s="28">
        <v>-2.2128231193726498E-2</v>
      </c>
      <c r="N703" s="28">
        <v>-2.1616528793082044E-3</v>
      </c>
    </row>
    <row r="704" spans="1:14">
      <c r="A704" s="4">
        <v>42545</v>
      </c>
      <c r="B704" s="28">
        <v>-1.6499773808213825E-2</v>
      </c>
      <c r="C704" s="28">
        <v>2.8533148074632226E-3</v>
      </c>
      <c r="D704" s="28">
        <v>-6.3458219108538938E-3</v>
      </c>
      <c r="E704" s="28">
        <v>-3.5026411171363549E-2</v>
      </c>
      <c r="F704" s="28">
        <v>7.4031714194764823E-3</v>
      </c>
      <c r="G704" s="28">
        <v>-5.3859302702542996E-3</v>
      </c>
      <c r="H704" s="28">
        <v>-1.1794404103606082E-2</v>
      </c>
      <c r="I704" s="28">
        <v>-2.1891898463788934E-2</v>
      </c>
      <c r="J704" s="28">
        <v>5.1312567093573236E-3</v>
      </c>
      <c r="K704" s="28">
        <v>3.5712489311403245E-3</v>
      </c>
      <c r="L704" s="28">
        <v>1.3211713874219813E-2</v>
      </c>
      <c r="M704" s="28">
        <v>-2.6204310456848998E-2</v>
      </c>
      <c r="N704" s="28">
        <v>-2.2266047458490029E-3</v>
      </c>
    </row>
    <row r="705" spans="1:14">
      <c r="A705" s="4">
        <v>42552</v>
      </c>
      <c r="B705" s="28">
        <v>3.1992988519321995E-2</v>
      </c>
      <c r="C705" s="28">
        <v>7.2738068730052643E-3</v>
      </c>
      <c r="D705" s="28">
        <v>4.0668267511367741E-2</v>
      </c>
      <c r="E705" s="28">
        <v>7.1343560626740174E-2</v>
      </c>
      <c r="F705" s="28">
        <v>3.4674548601692896E-2</v>
      </c>
      <c r="G705" s="28">
        <v>4.3150385575548358E-2</v>
      </c>
      <c r="H705" s="28">
        <v>5.6031058706250636E-2</v>
      </c>
      <c r="I705" s="28">
        <v>4.3704331230410766E-2</v>
      </c>
      <c r="J705" s="28">
        <v>5.910685226559418E-2</v>
      </c>
      <c r="K705" s="28">
        <v>1.2830793905372905E-2</v>
      </c>
      <c r="L705" s="28">
        <v>4.9052892704694172E-2</v>
      </c>
      <c r="M705" s="28">
        <v>2.8930141409982239E-2</v>
      </c>
      <c r="N705" s="28">
        <v>4.0003892669700274E-2</v>
      </c>
    </row>
    <row r="706" spans="1:14">
      <c r="A706" s="4">
        <v>42559</v>
      </c>
      <c r="B706" s="28">
        <v>1.2407695180272642E-3</v>
      </c>
      <c r="C706" s="28">
        <v>6.4352909390121204E-3</v>
      </c>
      <c r="D706" s="28">
        <v>-5.8913054150917842E-4</v>
      </c>
      <c r="E706" s="28">
        <v>-2.1932551289760373E-2</v>
      </c>
      <c r="F706" s="28">
        <v>-2.4242522519601455E-3</v>
      </c>
      <c r="G706" s="28">
        <v>5.354429121277083E-3</v>
      </c>
      <c r="H706" s="28">
        <v>-7.3010734052869099E-3</v>
      </c>
      <c r="I706" s="28">
        <v>1.0143336930651102E-2</v>
      </c>
      <c r="J706" s="28">
        <v>-2.3033384362579176E-2</v>
      </c>
      <c r="K706" s="28">
        <v>1.2105354315122684E-2</v>
      </c>
      <c r="L706" s="28">
        <v>6.3204516776316838E-3</v>
      </c>
      <c r="M706" s="28">
        <v>-9.8490041685965462E-3</v>
      </c>
      <c r="N706" s="28">
        <v>-8.0989426201208414E-3</v>
      </c>
    </row>
    <row r="707" spans="1:14">
      <c r="A707" s="4">
        <v>42566</v>
      </c>
      <c r="B707" s="28">
        <v>2.3010010106357382E-2</v>
      </c>
      <c r="C707" s="28">
        <v>-1.261744966442957E-2</v>
      </c>
      <c r="D707" s="28">
        <v>1.3656236184113579E-2</v>
      </c>
      <c r="E707" s="28">
        <v>1.22160048072079E-2</v>
      </c>
      <c r="F707" s="28">
        <v>1.5531786927615839E-2</v>
      </c>
      <c r="G707" s="28">
        <v>1.0019636651315193E-2</v>
      </c>
      <c r="H707" s="28">
        <v>-5.2114868152727395E-3</v>
      </c>
      <c r="I707" s="28">
        <v>7.1229954671846165E-3</v>
      </c>
      <c r="J707" s="28">
        <v>1.124193154209932E-3</v>
      </c>
      <c r="K707" s="28">
        <v>-5.1338153415524015E-4</v>
      </c>
      <c r="L707" s="28">
        <v>9.5753279612663025E-3</v>
      </c>
      <c r="M707" s="28">
        <v>1.6492214192959171E-2</v>
      </c>
      <c r="N707" s="28">
        <v>2.7416421877185536E-2</v>
      </c>
    </row>
    <row r="708" spans="1:14">
      <c r="A708" s="4">
        <v>42573</v>
      </c>
      <c r="B708" s="28">
        <v>3.7634440217104211E-3</v>
      </c>
      <c r="C708" s="28">
        <v>-7.6622670423649784E-4</v>
      </c>
      <c r="D708" s="28">
        <v>1.6331475648170606E-2</v>
      </c>
      <c r="E708" s="28">
        <v>-3.8604341530035897E-3</v>
      </c>
      <c r="F708" s="28">
        <v>-1.843418781529492E-3</v>
      </c>
      <c r="G708" s="28">
        <v>2.5103066287620494E-2</v>
      </c>
      <c r="H708" s="28">
        <v>7.3372913632799713E-3</v>
      </c>
      <c r="I708" s="28">
        <v>2.1061162740436661E-2</v>
      </c>
      <c r="J708" s="28">
        <v>1.0077657411343078E-2</v>
      </c>
      <c r="K708" s="28">
        <v>4.2932180485150177E-2</v>
      </c>
      <c r="L708" s="28">
        <v>-9.5038740635929346E-4</v>
      </c>
      <c r="M708" s="28">
        <v>-1.8996848584807878E-3</v>
      </c>
      <c r="N708" s="28">
        <v>-4.8031408805230807E-3</v>
      </c>
    </row>
    <row r="709" spans="1:14">
      <c r="A709" s="4">
        <v>42580</v>
      </c>
      <c r="B709" s="28">
        <v>8.6820506511537613E-3</v>
      </c>
      <c r="C709" s="28">
        <v>1.0933287159571613E-2</v>
      </c>
      <c r="D709" s="28">
        <v>1.0204081632653132E-2</v>
      </c>
      <c r="E709" s="28">
        <v>1.6359333500980126E-2</v>
      </c>
      <c r="F709" s="28">
        <v>-1.0492949464929005E-2</v>
      </c>
      <c r="G709" s="28">
        <v>2.1213671715104399E-2</v>
      </c>
      <c r="H709" s="28">
        <v>-4.0218700769159149E-3</v>
      </c>
      <c r="I709" s="28">
        <v>2.4396137822039161E-2</v>
      </c>
      <c r="J709" s="28">
        <v>2.9285907223382457E-3</v>
      </c>
      <c r="K709" s="28">
        <v>3.2991709565074627E-2</v>
      </c>
      <c r="L709" s="28">
        <v>-7.3417553286167061E-3</v>
      </c>
      <c r="M709" s="28">
        <v>3.1430278708116335E-2</v>
      </c>
      <c r="N709" s="28">
        <v>-6.6843133387205836E-3</v>
      </c>
    </row>
    <row r="710" spans="1:14">
      <c r="A710" s="4">
        <v>42587</v>
      </c>
      <c r="B710" s="28">
        <v>-2.9852653343322199E-3</v>
      </c>
      <c r="C710" s="28">
        <v>-5.7011426753773862E-3</v>
      </c>
      <c r="D710" s="28">
        <v>-1.7133956386292948E-2</v>
      </c>
      <c r="E710" s="28">
        <v>-2.2712020661465222E-2</v>
      </c>
      <c r="F710" s="28">
        <v>-4.6916781460174337E-3</v>
      </c>
      <c r="G710" s="28">
        <v>-1.9346714365403077E-2</v>
      </c>
      <c r="H710" s="28">
        <v>-2.0026796680189043E-2</v>
      </c>
      <c r="I710" s="28">
        <v>-1.9539744991519732E-2</v>
      </c>
      <c r="J710" s="28">
        <v>-3.8039888301416032E-2</v>
      </c>
      <c r="K710" s="28">
        <v>-2.4508329312938015E-2</v>
      </c>
      <c r="L710" s="28">
        <v>-3.469105001990424E-3</v>
      </c>
      <c r="M710" s="28">
        <v>-1.7119111394025617E-2</v>
      </c>
      <c r="N710" s="28">
        <v>-5.861308000525042E-4</v>
      </c>
    </row>
    <row r="711" spans="1:14">
      <c r="A711" s="4">
        <v>42594</v>
      </c>
      <c r="B711" s="28">
        <v>1.1330207089389111E-2</v>
      </c>
      <c r="C711" s="28">
        <v>6.34905010335659E-3</v>
      </c>
      <c r="D711" s="28">
        <v>6.0990251164578122E-3</v>
      </c>
      <c r="E711" s="28">
        <v>1.7787966331531058E-2</v>
      </c>
      <c r="F711" s="28">
        <v>1.0987997058288825E-2</v>
      </c>
      <c r="G711" s="28">
        <v>1.6897887168028602E-2</v>
      </c>
      <c r="H711" s="28">
        <v>9.878127978914417E-3</v>
      </c>
      <c r="I711" s="28">
        <v>1.9015940865832904E-2</v>
      </c>
      <c r="J711" s="28">
        <v>2.1867457274466272E-3</v>
      </c>
      <c r="K711" s="28">
        <v>3.2641519314352959E-3</v>
      </c>
      <c r="L711" s="28">
        <v>8.383865647023472E-3</v>
      </c>
      <c r="M711" s="28">
        <v>1.9018199547376304E-2</v>
      </c>
      <c r="N711" s="28">
        <v>1.8767185627207274E-2</v>
      </c>
    </row>
    <row r="712" spans="1:14">
      <c r="A712" s="4">
        <v>42601</v>
      </c>
      <c r="B712" s="28">
        <v>-2.448015667300271E-3</v>
      </c>
      <c r="C712" s="28">
        <v>3.1789504572796856E-4</v>
      </c>
      <c r="D712" s="28">
        <v>-1.6610978520286347E-2</v>
      </c>
      <c r="E712" s="28">
        <v>-9.1593689303845899E-3</v>
      </c>
      <c r="F712" s="28">
        <v>3.1942707131009509E-4</v>
      </c>
      <c r="G712" s="28">
        <v>-8.6016318983881436E-3</v>
      </c>
      <c r="H712" s="28">
        <v>-9.9432138693543136E-3</v>
      </c>
      <c r="I712" s="28">
        <v>4.6825048040052171E-3</v>
      </c>
      <c r="J712" s="28">
        <v>-1.2659567898511782E-2</v>
      </c>
      <c r="K712" s="28">
        <v>-7.5567773215486885E-3</v>
      </c>
      <c r="L712" s="28">
        <v>-2.1994240717697615E-2</v>
      </c>
      <c r="M712" s="28">
        <v>-1.3746612441933951E-2</v>
      </c>
      <c r="N712" s="28">
        <v>8.8772845953001972E-3</v>
      </c>
    </row>
    <row r="713" spans="1:14">
      <c r="A713" s="4">
        <v>42608</v>
      </c>
      <c r="B713" s="28">
        <v>-3.3316973178970362E-3</v>
      </c>
      <c r="C713" s="28">
        <v>-1.026719143422925E-3</v>
      </c>
      <c r="D713" s="28">
        <v>-1.8930200951364662E-3</v>
      </c>
      <c r="E713" s="28">
        <v>6.3380814493331208E-3</v>
      </c>
      <c r="F713" s="28">
        <v>-1.764874778954599E-2</v>
      </c>
      <c r="G713" s="28">
        <v>8.6897763362388664E-3</v>
      </c>
      <c r="H713" s="28">
        <v>-1.1376326605030586E-2</v>
      </c>
      <c r="I713" s="28">
        <v>-1.2369588412280676E-2</v>
      </c>
      <c r="J713" s="28">
        <v>-8.6253626166776978E-3</v>
      </c>
      <c r="K713" s="28">
        <v>9.1687363038714716E-3</v>
      </c>
      <c r="L713" s="28">
        <v>-2.3321667093742721E-3</v>
      </c>
      <c r="M713" s="28">
        <v>1.0249113927716755E-2</v>
      </c>
      <c r="N713" s="28">
        <v>-1.3055326897652689E-2</v>
      </c>
    </row>
    <row r="714" spans="1:14">
      <c r="A714" s="4">
        <v>42615</v>
      </c>
      <c r="B714" s="28">
        <v>4.9360400444938722E-3</v>
      </c>
      <c r="C714" s="28">
        <v>-5.6282882662423948E-3</v>
      </c>
      <c r="D714" s="28">
        <v>3.5986966882264704E-3</v>
      </c>
      <c r="E714" s="28">
        <v>7.0397266125587048E-3</v>
      </c>
      <c r="F714" s="28">
        <v>9.4186033806448848E-3</v>
      </c>
      <c r="G714" s="28">
        <v>-2.9087060210616626E-2</v>
      </c>
      <c r="H714" s="28">
        <v>4.8411079221264124E-4</v>
      </c>
      <c r="I714" s="28">
        <v>-1.2800672512943774E-3</v>
      </c>
      <c r="J714" s="28">
        <v>1.4736013555329955E-2</v>
      </c>
      <c r="K714" s="28">
        <v>-3.4164475893777957E-3</v>
      </c>
      <c r="L714" s="28">
        <v>2.3956118448003331E-2</v>
      </c>
      <c r="M714" s="28">
        <v>-1.8054112166278485E-2</v>
      </c>
      <c r="N714" s="28">
        <v>1.4975120448621063E-3</v>
      </c>
    </row>
    <row r="715" spans="1:14">
      <c r="A715" s="4">
        <v>42622</v>
      </c>
      <c r="B715" s="28">
        <v>-1.5369537645566618E-2</v>
      </c>
      <c r="C715" s="28">
        <v>-1.8949181739880364E-3</v>
      </c>
      <c r="D715" s="28">
        <v>-1.914037893104626E-2</v>
      </c>
      <c r="E715" s="28">
        <v>-4.6693927414017556E-3</v>
      </c>
      <c r="F715" s="28">
        <v>4.9251485662946152E-3</v>
      </c>
      <c r="G715" s="28">
        <v>4.3261070556253065E-3</v>
      </c>
      <c r="H715" s="28">
        <v>-2.051866956992586E-2</v>
      </c>
      <c r="I715" s="28">
        <v>-7.3946025661984641E-3</v>
      </c>
      <c r="J715" s="28">
        <v>-1.8776479365709114E-2</v>
      </c>
      <c r="K715" s="28">
        <v>4.5850183609910333E-2</v>
      </c>
      <c r="L715" s="28">
        <v>-2.9017241427211245E-2</v>
      </c>
      <c r="M715" s="28">
        <v>-1.6900719676510498E-2</v>
      </c>
      <c r="N715" s="28">
        <v>2.7936996646677249E-2</v>
      </c>
    </row>
    <row r="716" spans="1:14">
      <c r="A716" s="4">
        <v>42629</v>
      </c>
      <c r="B716" s="28">
        <v>-6.8093726945912085E-3</v>
      </c>
      <c r="C716" s="28">
        <v>-1.4300507914591057E-3</v>
      </c>
      <c r="D716" s="28">
        <v>-1.7735401640154011E-2</v>
      </c>
      <c r="E716" s="28">
        <v>-2.2812119641743112E-2</v>
      </c>
      <c r="F716" s="28">
        <v>-4.6101811758115993E-3</v>
      </c>
      <c r="G716" s="28">
        <v>-2.857908368312935E-2</v>
      </c>
      <c r="H716" s="28">
        <v>1.3722584237063525E-3</v>
      </c>
      <c r="I716" s="28">
        <v>-4.1167772206278666E-2</v>
      </c>
      <c r="J716" s="28">
        <v>-2.9871372061517198E-3</v>
      </c>
      <c r="K716" s="28">
        <v>-5.7834939859440618E-2</v>
      </c>
      <c r="L716" s="28">
        <v>-2.1471023437947028E-2</v>
      </c>
      <c r="M716" s="28">
        <v>-3.1579807039100814E-2</v>
      </c>
      <c r="N716" s="28">
        <v>-1.0983412867686535E-2</v>
      </c>
    </row>
    <row r="717" spans="1:14">
      <c r="A717" s="4">
        <v>42636</v>
      </c>
      <c r="B717" s="28">
        <v>1.9683902116948024E-2</v>
      </c>
      <c r="C717" s="28">
        <v>7.4814814814814145E-3</v>
      </c>
      <c r="D717" s="28">
        <v>3.4904189508625443E-2</v>
      </c>
      <c r="E717" s="28">
        <v>1.4102394127375139E-2</v>
      </c>
      <c r="F717" s="28">
        <v>2.7407748079212191E-2</v>
      </c>
      <c r="G717" s="28">
        <v>3.5795362126151871E-2</v>
      </c>
      <c r="H717" s="28">
        <v>2.4447541933564101E-2</v>
      </c>
      <c r="I717" s="28">
        <v>2.760088805240609E-2</v>
      </c>
      <c r="J717" s="28">
        <v>2.8959147295501954E-2</v>
      </c>
      <c r="K717" s="28">
        <v>3.016186573104938E-2</v>
      </c>
      <c r="L717" s="28">
        <v>3.8547878552941409E-2</v>
      </c>
      <c r="M717" s="28">
        <v>2.9830492881621078E-2</v>
      </c>
      <c r="N717" s="28">
        <v>2.064379600094321E-2</v>
      </c>
    </row>
    <row r="718" spans="1:14">
      <c r="A718" s="4">
        <v>42643</v>
      </c>
      <c r="B718" s="28">
        <v>-2.3298837948777088E-3</v>
      </c>
      <c r="C718" s="28">
        <v>8.5778006519134076E-4</v>
      </c>
      <c r="D718" s="28">
        <v>-1.1712105749137369E-2</v>
      </c>
      <c r="E718" s="28">
        <v>9.6366889148834442E-3</v>
      </c>
      <c r="F718" s="28">
        <v>-4.6712360870103924E-3</v>
      </c>
      <c r="G718" s="28">
        <v>-1.2149867713578611E-2</v>
      </c>
      <c r="H718" s="28">
        <v>-1.3285024154589455E-2</v>
      </c>
      <c r="I718" s="28">
        <v>6.7197752369436425E-3</v>
      </c>
      <c r="J718" s="28">
        <v>-1.2394117647058786E-2</v>
      </c>
      <c r="K718" s="28">
        <v>-2.1837435603892438E-2</v>
      </c>
      <c r="L718" s="28">
        <v>-1.3812171362630693E-3</v>
      </c>
      <c r="M718" s="28">
        <v>8.0884104579834505E-3</v>
      </c>
      <c r="N718" s="28">
        <v>2.2223640968111495E-3</v>
      </c>
    </row>
    <row r="719" spans="1:14">
      <c r="A719" s="4">
        <v>42650</v>
      </c>
      <c r="B719" s="28">
        <v>-7.6897668731565026E-3</v>
      </c>
      <c r="C719" s="28">
        <v>-9.3295460110681284E-3</v>
      </c>
      <c r="D719" s="28">
        <v>-4.7747836349331274E-2</v>
      </c>
      <c r="E719" s="28">
        <v>-7.0005895161537671E-2</v>
      </c>
      <c r="F719" s="28">
        <v>-3.7836279123908391E-2</v>
      </c>
      <c r="G719" s="28">
        <v>-2.5580061237325733E-2</v>
      </c>
      <c r="H719" s="28">
        <v>-5.5908464124691949E-2</v>
      </c>
      <c r="I719" s="28">
        <v>-3.4068769882133525E-2</v>
      </c>
      <c r="J719" s="28">
        <v>-6.7778287361593442E-2</v>
      </c>
      <c r="K719" s="28">
        <v>1.9445826140386823E-2</v>
      </c>
      <c r="L719" s="28">
        <v>-4.654421517178936E-2</v>
      </c>
      <c r="M719" s="28">
        <v>-5.7168914702635215E-2</v>
      </c>
      <c r="N719" s="28">
        <v>-3.1565855730146197E-2</v>
      </c>
    </row>
    <row r="720" spans="1:14">
      <c r="A720" s="4">
        <v>42657</v>
      </c>
      <c r="B720" s="28">
        <v>-1.0914505956552238E-2</v>
      </c>
      <c r="C720" s="28">
        <v>-4.8693674765799997E-3</v>
      </c>
      <c r="D720" s="28">
        <v>1.0844306738962456E-3</v>
      </c>
      <c r="E720" s="28">
        <v>4.1404529582252944E-3</v>
      </c>
      <c r="F720" s="28">
        <v>8.7793343323389911E-3</v>
      </c>
      <c r="G720" s="28">
        <v>-5.2595366784411943E-3</v>
      </c>
      <c r="H720" s="28">
        <v>1.125388737086537E-2</v>
      </c>
      <c r="I720" s="28">
        <v>1.0733989075834428E-3</v>
      </c>
      <c r="J720" s="28">
        <v>5.1976347088270279E-3</v>
      </c>
      <c r="K720" s="28">
        <v>-1.4431024981631081E-2</v>
      </c>
      <c r="L720" s="28">
        <v>3.1390829749664166E-2</v>
      </c>
      <c r="M720" s="28">
        <v>-6.5793080761000224E-4</v>
      </c>
      <c r="N720" s="28">
        <v>-2.800278148433553E-3</v>
      </c>
    </row>
    <row r="721" spans="1:14">
      <c r="A721" s="4">
        <v>42664</v>
      </c>
      <c r="B721" s="28">
        <v>4.3986278642743123E-3</v>
      </c>
      <c r="C721" s="28">
        <v>2.2851465474415275E-3</v>
      </c>
      <c r="D721" s="28">
        <v>8.562880429175676E-3</v>
      </c>
      <c r="E721" s="28">
        <v>-1.4413585990723555E-3</v>
      </c>
      <c r="F721" s="28">
        <v>1.5424325679771398E-2</v>
      </c>
      <c r="G721" s="28">
        <v>1.3715724059740322E-2</v>
      </c>
      <c r="H721" s="28">
        <v>3.4688272118338459E-3</v>
      </c>
      <c r="I721" s="28">
        <v>2.2281568295071035E-2</v>
      </c>
      <c r="J721" s="28">
        <v>1.6236882416876996E-2</v>
      </c>
      <c r="K721" s="28">
        <v>1.7030298088459708E-2</v>
      </c>
      <c r="L721" s="28">
        <v>1.2511831725119773E-2</v>
      </c>
      <c r="M721" s="28">
        <v>1.6028027494532015E-3</v>
      </c>
      <c r="N721" s="28">
        <v>1.4882522930016368E-2</v>
      </c>
    </row>
    <row r="722" spans="1:14">
      <c r="A722" s="4">
        <v>42671</v>
      </c>
      <c r="B722" s="28">
        <v>-5.9959086740812417E-3</v>
      </c>
      <c r="C722" s="28">
        <v>-6.963719270420307E-3</v>
      </c>
      <c r="D722" s="28">
        <v>-2.4038461538461623E-2</v>
      </c>
      <c r="E722" s="28">
        <v>2.9234209872366087E-5</v>
      </c>
      <c r="F722" s="28">
        <v>-1.2081697074463025E-2</v>
      </c>
      <c r="G722" s="28">
        <v>-2.5569061084381513E-2</v>
      </c>
      <c r="H722" s="28">
        <v>2.6077885952711364E-3</v>
      </c>
      <c r="I722" s="28">
        <v>-1.591005742916057E-2</v>
      </c>
      <c r="J722" s="28">
        <v>-5.3696018613786064E-3</v>
      </c>
      <c r="K722" s="28">
        <v>-1.8675050682060341E-2</v>
      </c>
      <c r="L722" s="28">
        <v>-2.5262158096208461E-3</v>
      </c>
      <c r="M722" s="28">
        <v>-1.5446795024786089E-2</v>
      </c>
      <c r="N722" s="28">
        <v>-1.8907576029563829E-2</v>
      </c>
    </row>
    <row r="723" spans="1:14">
      <c r="A723" s="4">
        <v>42678</v>
      </c>
      <c r="B723" s="28">
        <v>-1.8238160571509759E-2</v>
      </c>
      <c r="C723" s="28">
        <v>7.6114896059494685E-3</v>
      </c>
      <c r="D723" s="28">
        <v>-7.4415679698144194E-3</v>
      </c>
      <c r="E723" s="28">
        <v>-1.6706862530146825E-2</v>
      </c>
      <c r="F723" s="28">
        <v>-3.2751340865000561E-2</v>
      </c>
      <c r="G723" s="28">
        <v>-5.66668351031087E-4</v>
      </c>
      <c r="H723" s="28">
        <v>-1.3117940487375947E-2</v>
      </c>
      <c r="I723" s="28">
        <v>-1.7018858194944361E-2</v>
      </c>
      <c r="J723" s="28">
        <v>-1.183791023939936E-2</v>
      </c>
      <c r="K723" s="28">
        <v>-2.5473135033876566E-2</v>
      </c>
      <c r="L723" s="28">
        <v>-3.1724789036722649E-2</v>
      </c>
      <c r="M723" s="28">
        <v>-9.3983841932292252E-3</v>
      </c>
      <c r="N723" s="28">
        <v>-3.4417598086999839E-2</v>
      </c>
    </row>
    <row r="724" spans="1:14">
      <c r="A724" s="4">
        <v>42685</v>
      </c>
      <c r="B724" s="28">
        <v>2.2209237886417921E-2</v>
      </c>
      <c r="C724" s="28">
        <v>-1.9838517931444401E-2</v>
      </c>
      <c r="D724" s="28">
        <v>-2.4815205913410861E-2</v>
      </c>
      <c r="E724" s="28">
        <v>-5.5751278392198823E-2</v>
      </c>
      <c r="F724" s="28">
        <v>-1.6991954875390524E-2</v>
      </c>
      <c r="G724" s="28">
        <v>-5.218110443804834E-2</v>
      </c>
      <c r="H724" s="28">
        <v>-4.7693766140368181E-2</v>
      </c>
      <c r="I724" s="28">
        <v>-6.1534738782604695E-2</v>
      </c>
      <c r="J724" s="28">
        <v>-1.862346117009929E-2</v>
      </c>
      <c r="K724" s="28">
        <v>-6.7727795343490542E-3</v>
      </c>
      <c r="L724" s="28">
        <v>-6.168108279262393E-2</v>
      </c>
      <c r="M724" s="28">
        <v>-6.314336834166405E-2</v>
      </c>
      <c r="N724" s="28">
        <v>-1.1601579984252354E-2</v>
      </c>
    </row>
    <row r="725" spans="1:14">
      <c r="A725" s="4">
        <v>42692</v>
      </c>
      <c r="B725" s="28">
        <v>2.1214031903540973E-4</v>
      </c>
      <c r="C725" s="28">
        <v>-1.6399241945672795E-2</v>
      </c>
      <c r="D725" s="28">
        <v>-5.9556036816458815E-3</v>
      </c>
      <c r="E725" s="28">
        <v>-3.6578166447580759E-2</v>
      </c>
      <c r="F725" s="28">
        <v>2.2120745378533164E-2</v>
      </c>
      <c r="G725" s="28">
        <v>-7.0717693140078738E-3</v>
      </c>
      <c r="H725" s="28">
        <v>-2.3187560071399133E-2</v>
      </c>
      <c r="I725" s="28">
        <v>4.6589352354856868E-3</v>
      </c>
      <c r="J725" s="28">
        <v>8.9842686137444009E-3</v>
      </c>
      <c r="K725" s="28">
        <v>-2.1282881448923935E-3</v>
      </c>
      <c r="L725" s="28">
        <v>2.8567169002479092E-3</v>
      </c>
      <c r="M725" s="28">
        <v>-2.4197761353807246E-2</v>
      </c>
      <c r="N725" s="28">
        <v>2.3260656864819085E-2</v>
      </c>
    </row>
    <row r="726" spans="1:14">
      <c r="A726" s="4">
        <v>42699</v>
      </c>
      <c r="B726" s="28">
        <v>1.383921996052671E-2</v>
      </c>
      <c r="C726" s="28">
        <v>-3.4167394543492373E-3</v>
      </c>
      <c r="D726" s="28">
        <v>1.2418300653594777E-2</v>
      </c>
      <c r="E726" s="28">
        <v>8.2886695643648329E-3</v>
      </c>
      <c r="F726" s="28">
        <v>1.4079466791916795E-2</v>
      </c>
      <c r="G726" s="28">
        <v>1.9854487405792792E-2</v>
      </c>
      <c r="H726" s="28">
        <v>1.285734366489202E-2</v>
      </c>
      <c r="I726" s="28">
        <v>1.2242786865012097E-2</v>
      </c>
      <c r="J726" s="28">
        <v>2.2712155244714892E-2</v>
      </c>
      <c r="K726" s="28">
        <v>-1.352804698262312E-2</v>
      </c>
      <c r="L726" s="28">
        <v>1.1303963887135778E-2</v>
      </c>
      <c r="M726" s="28">
        <v>2.4872412597692805E-2</v>
      </c>
      <c r="N726" s="28">
        <v>1.2297901894593932E-2</v>
      </c>
    </row>
    <row r="727" spans="1:14">
      <c r="A727" s="4">
        <v>42706</v>
      </c>
      <c r="B727" s="28">
        <v>-6.9152274470606588E-3</v>
      </c>
      <c r="C727" s="28">
        <v>1.4693372515659866E-3</v>
      </c>
      <c r="D727" s="28">
        <v>-1.8829352270281598E-3</v>
      </c>
      <c r="E727" s="28">
        <v>4.4161558376319096E-4</v>
      </c>
      <c r="F727" s="28">
        <v>-1.3906043228936812E-2</v>
      </c>
      <c r="G727" s="28">
        <v>-8.6352861496782254E-3</v>
      </c>
      <c r="H727" s="28">
        <v>-9.601915178745625E-3</v>
      </c>
      <c r="I727" s="28">
        <v>-1.6962405549362132E-2</v>
      </c>
      <c r="J727" s="28">
        <v>-1.9772706563985675E-2</v>
      </c>
      <c r="K727" s="28">
        <v>2.5222179348192146E-2</v>
      </c>
      <c r="L727" s="28">
        <v>-3.8268480118443964E-2</v>
      </c>
      <c r="M727" s="28">
        <v>4.0719157700030238E-3</v>
      </c>
      <c r="N727" s="28">
        <v>-4.7355858213240787E-3</v>
      </c>
    </row>
    <row r="728" spans="1:14">
      <c r="A728" s="4">
        <v>42713</v>
      </c>
      <c r="B728" s="28">
        <v>2.9948389059884978E-2</v>
      </c>
      <c r="C728" s="28">
        <v>-5.8687258687257987E-3</v>
      </c>
      <c r="D728" s="28">
        <v>2.9213604268851331E-2</v>
      </c>
      <c r="E728" s="28">
        <v>1.4935406795447961E-2</v>
      </c>
      <c r="F728" s="28">
        <v>1.470045516053633E-2</v>
      </c>
      <c r="G728" s="28">
        <v>1.2111205996773832E-2</v>
      </c>
      <c r="H728" s="28">
        <v>2.1054014406761072E-2</v>
      </c>
      <c r="I728" s="28">
        <v>2.3543633886451865E-2</v>
      </c>
      <c r="J728" s="28">
        <v>5.4587882323527603E-3</v>
      </c>
      <c r="K728" s="28">
        <v>2.4028150334255365E-2</v>
      </c>
      <c r="L728" s="28">
        <v>1.9237774462515719E-2</v>
      </c>
      <c r="M728" s="28">
        <v>1.3599031138327125E-2</v>
      </c>
      <c r="N728" s="28">
        <v>9.4008105473758867E-3</v>
      </c>
    </row>
    <row r="729" spans="1:14">
      <c r="A729" s="4">
        <v>42720</v>
      </c>
      <c r="B729" s="28">
        <v>-3.0566097766060733E-3</v>
      </c>
      <c r="C729" s="28">
        <v>-9.3211123194035066E-3</v>
      </c>
      <c r="D729" s="28">
        <v>-1.649646504320491E-2</v>
      </c>
      <c r="E729" s="28">
        <v>7.421653672122659E-3</v>
      </c>
      <c r="F729" s="28">
        <v>1.7025134046410633E-2</v>
      </c>
      <c r="G729" s="28">
        <v>-9.7612744031859138E-3</v>
      </c>
      <c r="H729" s="28">
        <v>8.9761679096635703E-3</v>
      </c>
      <c r="I729" s="28">
        <v>5.2667418142367667E-3</v>
      </c>
      <c r="J729" s="28">
        <v>-1.0144192911816985E-2</v>
      </c>
      <c r="K729" s="28">
        <v>-1.7297808166432255E-2</v>
      </c>
      <c r="L729" s="28">
        <v>1.8514128387970938E-2</v>
      </c>
      <c r="M729" s="28">
        <v>9.0874286363400777E-4</v>
      </c>
      <c r="N729" s="28">
        <v>1.6196556762594575E-2</v>
      </c>
    </row>
    <row r="730" spans="1:14">
      <c r="A730" s="4">
        <v>42727</v>
      </c>
      <c r="B730" s="28">
        <v>2.5131928376854015E-3</v>
      </c>
      <c r="C730" s="28">
        <v>5.9850504416915492E-3</v>
      </c>
      <c r="D730" s="28">
        <v>1.3312034078807242E-3</v>
      </c>
      <c r="E730" s="28">
        <v>1.3660596170755384E-2</v>
      </c>
      <c r="F730" s="28">
        <v>3.9174995191174613E-3</v>
      </c>
      <c r="G730" s="28">
        <v>-1.185323199388066E-3</v>
      </c>
      <c r="H730" s="28">
        <v>9.0833354585874489E-3</v>
      </c>
      <c r="I730" s="28">
        <v>-8.9934252321069112E-3</v>
      </c>
      <c r="J730" s="28">
        <v>3.6425707338283713E-3</v>
      </c>
      <c r="K730" s="28">
        <v>-1.2081166441072485E-2</v>
      </c>
      <c r="L730" s="28">
        <v>1.4710906507650931E-2</v>
      </c>
      <c r="M730" s="28">
        <v>1.3374974254645599E-2</v>
      </c>
      <c r="N730" s="28">
        <v>1.3565933877013074E-3</v>
      </c>
    </row>
    <row r="731" spans="1:14">
      <c r="A731" s="4">
        <v>42734</v>
      </c>
      <c r="B731" s="28">
        <v>-4.5078589091322877E-3</v>
      </c>
      <c r="C731" s="28">
        <v>4.9102387571120162E-3</v>
      </c>
      <c r="D731" s="28">
        <v>1.0848178675884031E-2</v>
      </c>
      <c r="E731" s="28">
        <v>6.3299300191069401E-3</v>
      </c>
      <c r="F731" s="28">
        <v>-8.3441503242398848E-3</v>
      </c>
      <c r="G731" s="28">
        <v>1.9184834123222542E-3</v>
      </c>
      <c r="H731" s="28">
        <v>3.6056831632287479E-3</v>
      </c>
      <c r="I731" s="28">
        <v>-3.6589792702894394E-3</v>
      </c>
      <c r="J731" s="28">
        <v>5.6927214032204566E-3</v>
      </c>
      <c r="K731" s="28">
        <v>0</v>
      </c>
      <c r="L731" s="28">
        <v>-4.2900760440415945E-3</v>
      </c>
      <c r="M731" s="28">
        <v>-1.1572489827407985E-3</v>
      </c>
      <c r="N731" s="28">
        <v>-8.4781475434911827E-3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731"/>
  <sheetViews>
    <sheetView workbookViewId="0">
      <selection activeCell="G22" sqref="G22"/>
    </sheetView>
  </sheetViews>
  <sheetFormatPr defaultColWidth="8.85546875" defaultRowHeight="15"/>
  <cols>
    <col min="1" max="14" width="10.28515625" bestFit="1" customWidth="1"/>
    <col min="16" max="16" width="9.140625" bestFit="1" customWidth="1"/>
    <col min="18" max="18" width="11.42578125" bestFit="1" customWidth="1"/>
    <col min="19" max="19" width="10.140625" bestFit="1" customWidth="1"/>
    <col min="20" max="20" width="11.7109375" bestFit="1" customWidth="1"/>
    <col min="21" max="23" width="9.85546875" bestFit="1" customWidth="1"/>
    <col min="24" max="24" width="11.140625" bestFit="1" customWidth="1"/>
    <col min="25" max="25" width="9.85546875" bestFit="1" customWidth="1"/>
    <col min="26" max="26" width="9.7109375" customWidth="1"/>
    <col min="27" max="28" width="11.140625" bestFit="1" customWidth="1"/>
    <col min="29" max="31" width="9.85546875" bestFit="1" customWidth="1"/>
  </cols>
  <sheetData>
    <row r="1" spans="1:31" ht="60">
      <c r="B1" s="16" t="s">
        <v>0</v>
      </c>
      <c r="C1" s="16" t="s">
        <v>1</v>
      </c>
      <c r="D1" s="16" t="s">
        <v>2</v>
      </c>
      <c r="E1" s="16" t="s">
        <v>3</v>
      </c>
      <c r="F1" s="16" t="s">
        <v>4</v>
      </c>
      <c r="G1" s="16" t="s">
        <v>5</v>
      </c>
      <c r="H1" s="14" t="s">
        <v>19</v>
      </c>
      <c r="I1" s="14" t="s">
        <v>20</v>
      </c>
      <c r="J1" s="14" t="s">
        <v>21</v>
      </c>
      <c r="K1" s="14" t="s">
        <v>22</v>
      </c>
      <c r="L1" s="14" t="s">
        <v>23</v>
      </c>
      <c r="M1" s="14" t="s">
        <v>24</v>
      </c>
      <c r="N1" s="14" t="s">
        <v>18</v>
      </c>
    </row>
    <row r="2" spans="1:31" ht="20.100000000000001" customHeight="1">
      <c r="A2" s="5">
        <v>37631</v>
      </c>
      <c r="B2" s="28">
        <f>LN(Index!B3/Index!B2)</f>
        <v>1.2890960870179815E-2</v>
      </c>
      <c r="C2" s="28">
        <f>LN(Index!C3/Index!C2)</f>
        <v>1.4447165509471221E-3</v>
      </c>
      <c r="D2" s="28">
        <f>LN(Index!D3/Index!D2)</f>
        <v>-3.5827833759641348E-3</v>
      </c>
      <c r="E2" s="28">
        <f>LN(Index!E3/Index!E2)</f>
        <v>-2.3577141105464625E-3</v>
      </c>
      <c r="F2" s="28">
        <f>LN(Index!F3/Index!F2)</f>
        <v>5.6779398748660979E-3</v>
      </c>
      <c r="G2" s="28">
        <f>LN(Index!G3/Index!G2)</f>
        <v>3.3701637520505444E-2</v>
      </c>
      <c r="H2" s="28">
        <f>LN(Index!H3/Index!H2)</f>
        <v>-8.3646493009846834E-3</v>
      </c>
      <c r="I2" s="28">
        <f>LN(Index!I3/Index!I2)</f>
        <v>-1.7917894266674995E-2</v>
      </c>
      <c r="J2" s="28">
        <f>LN(Index!J3/Index!J2)</f>
        <v>3.4893870659927174E-3</v>
      </c>
      <c r="K2" s="28">
        <f>LN(Index!K3/Index!K2)</f>
        <v>1.4168217753308282E-2</v>
      </c>
      <c r="L2" s="28">
        <f>LN(Index!L3/Index!L2)</f>
        <v>0.10744162111651899</v>
      </c>
      <c r="M2" s="28">
        <f>LN(Index!M3/Index!M2)</f>
        <v>1.7777330795170451E-2</v>
      </c>
      <c r="N2" s="28">
        <f>LN(Index!N3/Index!N2)</f>
        <v>6.0049116425304012E-3</v>
      </c>
      <c r="R2" s="17"/>
    </row>
    <row r="3" spans="1:31" ht="45" customHeight="1">
      <c r="A3" s="15">
        <v>37638</v>
      </c>
      <c r="B3" s="28">
        <f>LN(Index!B4/Index!B3)</f>
        <v>-1.9226180619176154E-2</v>
      </c>
      <c r="C3" s="28">
        <f>LN(Index!C4/Index!C3)</f>
        <v>9.2247727977988487E-3</v>
      </c>
      <c r="D3" s="28">
        <f>LN(Index!D4/Index!D3)</f>
        <v>4.6301656111361397E-4</v>
      </c>
      <c r="E3" s="28">
        <f>LN(Index!E4/Index!E3)</f>
        <v>4.0725528673846078E-3</v>
      </c>
      <c r="F3" s="28">
        <f>LN(Index!F4/Index!F3)</f>
        <v>-2.7884199704765304E-2</v>
      </c>
      <c r="G3" s="28">
        <f>LN(Index!G4/Index!G3)</f>
        <v>2.4791133312616143E-3</v>
      </c>
      <c r="H3" s="28">
        <f>LN(Index!H4/Index!H3)</f>
        <v>-2.5573666152141135E-2</v>
      </c>
      <c r="I3" s="28">
        <f>LN(Index!I4/Index!I3)</f>
        <v>-1.0613427518469085E-2</v>
      </c>
      <c r="J3" s="28">
        <f>LN(Index!J4/Index!J3)</f>
        <v>1.7237001744304814E-2</v>
      </c>
      <c r="K3" s="28">
        <f>LN(Index!K4/Index!K3)</f>
        <v>-2.1091188828737313E-3</v>
      </c>
      <c r="L3" s="28">
        <f>LN(Index!L4/Index!L3)</f>
        <v>4.4481807190900079E-2</v>
      </c>
      <c r="M3" s="28">
        <f>LN(Index!M4/Index!M3)</f>
        <v>-5.623549850168193E-3</v>
      </c>
      <c r="N3" s="28">
        <f>LN(Index!N4/Index!N3)</f>
        <v>-9.4917952992281882E-3</v>
      </c>
      <c r="R3" s="18"/>
      <c r="S3" s="19" t="s">
        <v>39</v>
      </c>
      <c r="T3" s="19" t="s">
        <v>40</v>
      </c>
      <c r="U3" s="19" t="s">
        <v>41</v>
      </c>
      <c r="V3" s="19" t="s">
        <v>4</v>
      </c>
      <c r="W3" s="19" t="s">
        <v>3</v>
      </c>
      <c r="X3" s="19" t="s">
        <v>42</v>
      </c>
      <c r="Y3" s="19" t="s">
        <v>20</v>
      </c>
      <c r="Z3" s="19" t="s">
        <v>23</v>
      </c>
      <c r="AA3" s="19" t="s">
        <v>19</v>
      </c>
      <c r="AB3" s="19" t="s">
        <v>18</v>
      </c>
      <c r="AC3" s="19" t="s">
        <v>22</v>
      </c>
      <c r="AD3" s="19" t="s">
        <v>24</v>
      </c>
      <c r="AE3" s="19" t="s">
        <v>21</v>
      </c>
    </row>
    <row r="4" spans="1:31">
      <c r="A4" s="15">
        <v>37645</v>
      </c>
      <c r="B4" s="28">
        <f>LN(Index!B5/Index!B4)</f>
        <v>-3.8826612006597476E-2</v>
      </c>
      <c r="C4" s="28">
        <f>LN(Index!C5/Index!C4)</f>
        <v>5.9347355198145265E-3</v>
      </c>
      <c r="D4" s="28">
        <f>LN(Index!D5/Index!D4)</f>
        <v>-1.2811728932704465E-2</v>
      </c>
      <c r="E4" s="28">
        <f>LN(Index!E5/Index!E4)</f>
        <v>-8.3124168879280952E-3</v>
      </c>
      <c r="F4" s="28">
        <f>LN(Index!F5/Index!F4)</f>
        <v>-2.1725316050890928E-2</v>
      </c>
      <c r="G4" s="28">
        <f>LN(Index!G5/Index!G4)</f>
        <v>-5.6704879470269239E-5</v>
      </c>
      <c r="H4" s="28">
        <f>LN(Index!H5/Index!H4)</f>
        <v>-3.0773591379364078E-2</v>
      </c>
      <c r="I4" s="28">
        <f>LN(Index!I5/Index!I4)</f>
        <v>-1.8566703153410309E-2</v>
      </c>
      <c r="J4" s="28">
        <f>LN(Index!J5/Index!J4)</f>
        <v>-2.3823725258790417E-2</v>
      </c>
      <c r="K4" s="28">
        <f>LN(Index!K5/Index!K4)</f>
        <v>-5.1379861327655978E-3</v>
      </c>
      <c r="L4" s="28">
        <f>LN(Index!L5/Index!L4)</f>
        <v>-6.1419253932873751E-2</v>
      </c>
      <c r="M4" s="28">
        <f>LN(Index!M5/Index!M4)</f>
        <v>2.1800203071948597E-2</v>
      </c>
      <c r="N4" s="28">
        <f>LN(Index!N5/Index!N4)</f>
        <v>-1.0930903491285534E-2</v>
      </c>
      <c r="R4" s="18" t="s">
        <v>6</v>
      </c>
      <c r="S4" s="20">
        <v>1.0629999999999999E-3</v>
      </c>
      <c r="T4" s="20">
        <v>8.1599999999999999E-4</v>
      </c>
      <c r="U4" s="20">
        <v>1.07E-3</v>
      </c>
      <c r="V4" s="20">
        <v>1.7719999999999999E-3</v>
      </c>
      <c r="W4" s="20">
        <v>1.273E-3</v>
      </c>
      <c r="X4" s="20">
        <v>1.3060000000000001E-3</v>
      </c>
      <c r="Y4" s="20">
        <v>2.2439999999999999E-3</v>
      </c>
      <c r="Z4" s="20">
        <v>4.254E-3</v>
      </c>
      <c r="AA4" s="20">
        <v>1.1839999999999999E-3</v>
      </c>
      <c r="AB4" s="20">
        <v>1.552E-3</v>
      </c>
      <c r="AC4" s="20">
        <v>6.5799999999999995E-4</v>
      </c>
      <c r="AD4" s="20">
        <v>1.189E-3</v>
      </c>
      <c r="AE4" s="20">
        <v>1.575E-3</v>
      </c>
    </row>
    <row r="5" spans="1:31">
      <c r="A5" s="15">
        <v>37652</v>
      </c>
      <c r="B5" s="28">
        <f>LN(Index!B6/Index!B5)</f>
        <v>-1.3575542533710485E-2</v>
      </c>
      <c r="C5" s="28">
        <f>LN(Index!C6/Index!C5)</f>
        <v>-3.216027765009166E-3</v>
      </c>
      <c r="D5" s="28">
        <f>LN(Index!D6/Index!D5)</f>
        <v>-2.0248160829947535E-2</v>
      </c>
      <c r="E5" s="28">
        <f>LN(Index!E6/Index!E5)</f>
        <v>-2.6349585479897509E-2</v>
      </c>
      <c r="F5" s="28">
        <f>LN(Index!F6/Index!F5)</f>
        <v>-1.3020116508646607E-2</v>
      </c>
      <c r="G5" s="28">
        <f>LN(Index!G6/Index!G5)</f>
        <v>-1.6370221404929379E-2</v>
      </c>
      <c r="H5" s="28">
        <f>LN(Index!H6/Index!H5)</f>
        <v>-2.1217621167353946E-2</v>
      </c>
      <c r="I5" s="28">
        <f>LN(Index!I6/Index!I5)</f>
        <v>-3.269959273795478E-2</v>
      </c>
      <c r="J5" s="28">
        <f>LN(Index!J6/Index!J5)</f>
        <v>-7.8008500720322177E-3</v>
      </c>
      <c r="K5" s="28">
        <f>LN(Index!K6/Index!K5)</f>
        <v>-4.8421255231503556E-2</v>
      </c>
      <c r="L5" s="28">
        <f>LN(Index!L6/Index!L5)</f>
        <v>8.4624952711956372E-2</v>
      </c>
      <c r="M5" s="28">
        <f>LN(Index!M6/Index!M5)</f>
        <v>-2.1761109266356961E-2</v>
      </c>
      <c r="N5" s="28">
        <f>LN(Index!N6/Index!N5)</f>
        <v>-2.3658042646410752E-2</v>
      </c>
      <c r="R5" s="18" t="s">
        <v>7</v>
      </c>
      <c r="S5" s="20">
        <v>2.797E-3</v>
      </c>
      <c r="T5" s="20">
        <v>7.6300000000000001E-4</v>
      </c>
      <c r="U5" s="20">
        <v>2.9480000000000001E-3</v>
      </c>
      <c r="V5" s="20">
        <v>3.5750000000000001E-3</v>
      </c>
      <c r="W5" s="20">
        <v>4.2009999999999999E-3</v>
      </c>
      <c r="X5" s="20">
        <v>3.7799999999999999E-3</v>
      </c>
      <c r="Y5" s="20">
        <v>4.5050000000000003E-3</v>
      </c>
      <c r="Z5" s="20">
        <v>4.3689999999999996E-3</v>
      </c>
      <c r="AA5" s="20">
        <v>2.7529999999999998E-3</v>
      </c>
      <c r="AB5" s="20">
        <v>2.8709999999999999E-3</v>
      </c>
      <c r="AC5" s="20">
        <v>1.224E-3</v>
      </c>
      <c r="AD5" s="20">
        <v>4.4270000000000004E-3</v>
      </c>
      <c r="AE5" s="20">
        <v>2.8990000000000001E-3</v>
      </c>
    </row>
    <row r="6" spans="1:31">
      <c r="A6" s="15">
        <v>37659</v>
      </c>
      <c r="B6" s="28">
        <f>LN(Index!B7/Index!B6)</f>
        <v>-2.2932552981359905E-2</v>
      </c>
      <c r="C6" s="28">
        <f>LN(Index!C7/Index!C6)</f>
        <v>3.857994037973685E-3</v>
      </c>
      <c r="D6" s="28">
        <f>LN(Index!D7/Index!D6)</f>
        <v>-3.8350957839424259E-3</v>
      </c>
      <c r="E6" s="28">
        <f>LN(Index!E7/Index!E6)</f>
        <v>-7.463300571803627E-3</v>
      </c>
      <c r="F6" s="28">
        <f>LN(Index!F7/Index!F6)</f>
        <v>-2.7008456574140974E-2</v>
      </c>
      <c r="G6" s="28">
        <f>LN(Index!G7/Index!G6)</f>
        <v>-9.9963483208404045E-4</v>
      </c>
      <c r="H6" s="28">
        <f>LN(Index!H7/Index!H6)</f>
        <v>-2.7921797172557366E-2</v>
      </c>
      <c r="I6" s="28">
        <f>LN(Index!I7/Index!I6)</f>
        <v>-2.0136812007952455E-2</v>
      </c>
      <c r="J6" s="28">
        <f>LN(Index!J7/Index!J6)</f>
        <v>-4.1762372709726011E-4</v>
      </c>
      <c r="K6" s="28">
        <f>LN(Index!K7/Index!K6)</f>
        <v>-3.732022689933702E-2</v>
      </c>
      <c r="L6" s="28">
        <f>LN(Index!L7/Index!L6)</f>
        <v>-9.0209864809079429E-2</v>
      </c>
      <c r="M6" s="28">
        <f>LN(Index!M7/Index!M6)</f>
        <v>1.0828570870309164E-2</v>
      </c>
      <c r="N6" s="28">
        <f>LN(Index!N7/Index!N6)</f>
        <v>-1.7107742656509752E-2</v>
      </c>
      <c r="R6" s="18" t="s">
        <v>8</v>
      </c>
      <c r="S6" s="21">
        <v>0.116367</v>
      </c>
      <c r="T6" s="21">
        <v>2.4844000000000001E-2</v>
      </c>
      <c r="U6" s="21">
        <v>0.16702600000000001</v>
      </c>
      <c r="V6" s="21">
        <v>0.114436</v>
      </c>
      <c r="W6" s="21">
        <v>0.112514</v>
      </c>
      <c r="X6" s="21">
        <v>9.6308000000000005E-2</v>
      </c>
      <c r="Y6" s="21">
        <v>0.10384500000000001</v>
      </c>
      <c r="Z6" s="21">
        <v>0.207953</v>
      </c>
      <c r="AA6" s="21">
        <v>0.11738</v>
      </c>
      <c r="AB6" s="21">
        <v>9.4667000000000001E-2</v>
      </c>
      <c r="AC6" s="21">
        <v>0.20380799999999999</v>
      </c>
      <c r="AD6" s="21">
        <v>0.111697</v>
      </c>
      <c r="AE6" s="21">
        <v>0.16795499999999999</v>
      </c>
    </row>
    <row r="7" spans="1:31">
      <c r="A7" s="15">
        <v>37666</v>
      </c>
      <c r="B7" s="28">
        <f>LN(Index!B8/Index!B7)</f>
        <v>5.5440105306319987E-3</v>
      </c>
      <c r="C7" s="28">
        <f>LN(Index!C8/Index!C7)</f>
        <v>-1.0089892618988549E-3</v>
      </c>
      <c r="D7" s="28">
        <f>LN(Index!D8/Index!D7)</f>
        <v>-9.2889261904616147E-3</v>
      </c>
      <c r="E7" s="28">
        <f>LN(Index!E8/Index!E7)</f>
        <v>1.1374500839620895E-2</v>
      </c>
      <c r="F7" s="28">
        <f>LN(Index!F8/Index!F7)</f>
        <v>-1.0119686512951075E-2</v>
      </c>
      <c r="G7" s="28">
        <f>LN(Index!G8/Index!G7)</f>
        <v>2.6219131925687292E-3</v>
      </c>
      <c r="H7" s="28">
        <f>LN(Index!H8/Index!H7)</f>
        <v>-6.6542938166812985E-3</v>
      </c>
      <c r="I7" s="28">
        <f>LN(Index!I8/Index!I7)</f>
        <v>-6.004629580621481E-2</v>
      </c>
      <c r="J7" s="28">
        <f>LN(Index!J8/Index!J7)</f>
        <v>3.4210542111320734E-2</v>
      </c>
      <c r="K7" s="28">
        <f>LN(Index!K8/Index!K7)</f>
        <v>1.3342440013664738E-2</v>
      </c>
      <c r="L7" s="28">
        <f>LN(Index!L8/Index!L7)</f>
        <v>3.8067320415736801E-2</v>
      </c>
      <c r="M7" s="28">
        <f>LN(Index!M8/Index!M7)</f>
        <v>2.5363488244950973E-2</v>
      </c>
      <c r="N7" s="28">
        <f>LN(Index!N8/Index!N7)</f>
        <v>-3.4465840002127902E-3</v>
      </c>
      <c r="R7" s="18" t="s">
        <v>9</v>
      </c>
      <c r="S7" s="21">
        <v>-0.22380900000000001</v>
      </c>
      <c r="T7" s="21">
        <v>-2.2759999999999999E-2</v>
      </c>
      <c r="U7" s="21">
        <v>-0.17882200000000001</v>
      </c>
      <c r="V7" s="21">
        <v>-0.22886799999999999</v>
      </c>
      <c r="W7" s="21">
        <v>-0.249251</v>
      </c>
      <c r="X7" s="21">
        <v>-0.29391600000000001</v>
      </c>
      <c r="Y7" s="21">
        <v>-0.26921600000000001</v>
      </c>
      <c r="Z7" s="21">
        <v>-0.23146600000000001</v>
      </c>
      <c r="AA7" s="21">
        <v>-0.252863</v>
      </c>
      <c r="AB7" s="21">
        <v>-0.240596</v>
      </c>
      <c r="AC7" s="21">
        <v>-0.297682</v>
      </c>
      <c r="AD7" s="21">
        <v>-0.237876</v>
      </c>
      <c r="AE7" s="21">
        <v>-0.23874799999999999</v>
      </c>
    </row>
    <row r="8" spans="1:31">
      <c r="A8" s="15">
        <v>37673</v>
      </c>
      <c r="B8" s="28">
        <f>LN(Index!B9/Index!B8)</f>
        <v>1.2215441430326091E-2</v>
      </c>
      <c r="C8" s="28">
        <f>LN(Index!C9/Index!C8)</f>
        <v>4.4867761379184983E-3</v>
      </c>
      <c r="D8" s="28">
        <f>LN(Index!D9/Index!D8)</f>
        <v>1.7182759789192797E-2</v>
      </c>
      <c r="E8" s="28">
        <f>LN(Index!E9/Index!E8)</f>
        <v>6.0527106975728625E-3</v>
      </c>
      <c r="F8" s="28">
        <f>LN(Index!F9/Index!F8)</f>
        <v>1.2103687163745677E-2</v>
      </c>
      <c r="G8" s="28">
        <f>LN(Index!G9/Index!G8)</f>
        <v>1.6938193532963049E-2</v>
      </c>
      <c r="H8" s="28">
        <f>LN(Index!H9/Index!H8)</f>
        <v>9.742315980411944E-3</v>
      </c>
      <c r="I8" s="28">
        <f>LN(Index!I9/Index!I8)</f>
        <v>-4.009713085682794E-3</v>
      </c>
      <c r="J8" s="28">
        <f>LN(Index!J9/Index!J8)</f>
        <v>-8.0762388929959596E-3</v>
      </c>
      <c r="K8" s="28">
        <f>LN(Index!K9/Index!K8)</f>
        <v>1.8770102681990468E-2</v>
      </c>
      <c r="L8" s="28">
        <f>LN(Index!L9/Index!L8)</f>
        <v>8.1686981088641683E-2</v>
      </c>
      <c r="M8" s="28">
        <f>LN(Index!M9/Index!M8)</f>
        <v>1.1266193471292561E-2</v>
      </c>
      <c r="N8" s="28">
        <f>LN(Index!N9/Index!N8)</f>
        <v>1.3766762761737267E-2</v>
      </c>
      <c r="R8" s="18" t="s">
        <v>10</v>
      </c>
      <c r="S8" s="21">
        <v>2.4048E-2</v>
      </c>
      <c r="T8" s="21">
        <v>6.1219999999999998E-3</v>
      </c>
      <c r="U8" s="21">
        <v>2.8198000000000001E-2</v>
      </c>
      <c r="V8" s="21">
        <v>2.2952E-2</v>
      </c>
      <c r="W8" s="21">
        <v>2.4926E-2</v>
      </c>
      <c r="X8" s="21">
        <v>2.8437E-2</v>
      </c>
      <c r="Y8" s="21">
        <v>2.9044E-2</v>
      </c>
      <c r="Z8" s="21">
        <v>3.5784999999999997E-2</v>
      </c>
      <c r="AA8" s="21">
        <v>2.1923000000000002E-2</v>
      </c>
      <c r="AB8" s="21">
        <v>2.2952E-2</v>
      </c>
      <c r="AC8" s="21">
        <v>3.9781999999999998E-2</v>
      </c>
      <c r="AD8" s="21">
        <v>2.9047E-2</v>
      </c>
      <c r="AE8" s="21">
        <v>2.6294999999999999E-2</v>
      </c>
    </row>
    <row r="9" spans="1:31">
      <c r="A9" s="15">
        <v>37680</v>
      </c>
      <c r="B9" s="28">
        <f>LN(Index!B10/Index!B9)</f>
        <v>-1.4060031930189417E-2</v>
      </c>
      <c r="C9" s="28">
        <f>LN(Index!C10/Index!C9)</f>
        <v>6.647265416026794E-3</v>
      </c>
      <c r="D9" s="28">
        <f>LN(Index!D10/Index!D9)</f>
        <v>-1.2587830302009927E-2</v>
      </c>
      <c r="E9" s="28">
        <f>LN(Index!E10/Index!E9)</f>
        <v>-3.9829042025318792E-4</v>
      </c>
      <c r="F9" s="28">
        <f>LN(Index!F10/Index!F9)</f>
        <v>-8.2175533848947539E-3</v>
      </c>
      <c r="G9" s="28">
        <f>LN(Index!G10/Index!G9)</f>
        <v>2.0913318598478146E-2</v>
      </c>
      <c r="H9" s="28">
        <f>LN(Index!H10/Index!H9)</f>
        <v>-1.374045175795947E-2</v>
      </c>
      <c r="I9" s="28">
        <f>LN(Index!I10/Index!I9)</f>
        <v>1.5607923656796516E-2</v>
      </c>
      <c r="J9" s="28">
        <f>LN(Index!J10/Index!J9)</f>
        <v>-1.9189830865513714E-2</v>
      </c>
      <c r="K9" s="28">
        <f>LN(Index!K10/Index!K9)</f>
        <v>9.15592604935224E-4</v>
      </c>
      <c r="L9" s="28">
        <f>LN(Index!L10/Index!L9)</f>
        <v>-6.6659901385944589E-2</v>
      </c>
      <c r="M9" s="28">
        <f>LN(Index!M10/Index!M9)</f>
        <v>2.1985390365599551E-2</v>
      </c>
      <c r="N9" s="28">
        <f>LN(Index!N10/Index!N9)</f>
        <v>-8.9007571519322836E-4</v>
      </c>
      <c r="R9" s="18" t="s">
        <v>11</v>
      </c>
      <c r="S9" s="21">
        <v>-1.4185570000000001</v>
      </c>
      <c r="T9" s="21">
        <v>-0.24373800000000001</v>
      </c>
      <c r="U9" s="21">
        <v>-0.81236200000000003</v>
      </c>
      <c r="V9" s="21">
        <v>-1.4435549999999999</v>
      </c>
      <c r="W9" s="21">
        <v>-1.852989</v>
      </c>
      <c r="X9" s="21">
        <v>-2.0713900000000001</v>
      </c>
      <c r="Y9" s="21">
        <v>-1.4956130000000001</v>
      </c>
      <c r="Z9" s="21">
        <v>-0.18718199999999999</v>
      </c>
      <c r="AA9" s="21">
        <v>-2.2514240000000001</v>
      </c>
      <c r="AB9" s="21">
        <v>-1.895313</v>
      </c>
      <c r="AC9" s="21">
        <v>-0.88318700000000006</v>
      </c>
      <c r="AD9" s="21">
        <v>-1.2728470000000001</v>
      </c>
      <c r="AE9" s="21">
        <v>-1.084014</v>
      </c>
    </row>
    <row r="10" spans="1:31">
      <c r="A10" s="15">
        <v>37687</v>
      </c>
      <c r="B10" s="28">
        <f>LN(Index!B11/Index!B10)</f>
        <v>-1.9962563577056346E-2</v>
      </c>
      <c r="C10" s="28">
        <f>LN(Index!C11/Index!C10)</f>
        <v>7.9548442078658278E-3</v>
      </c>
      <c r="D10" s="28">
        <f>LN(Index!D11/Index!D10)</f>
        <v>-1.4338034206818832E-2</v>
      </c>
      <c r="E10" s="28">
        <f>LN(Index!E11/Index!E10)</f>
        <v>-8.992898260756359E-4</v>
      </c>
      <c r="F10" s="28">
        <f>LN(Index!F11/Index!F10)</f>
        <v>2.579392347102475E-2</v>
      </c>
      <c r="G10" s="28">
        <f>LN(Index!G11/Index!G10)</f>
        <v>-1.7589914749665359E-2</v>
      </c>
      <c r="H10" s="28">
        <f>LN(Index!H11/Index!H10)</f>
        <v>7.34202003970999E-3</v>
      </c>
      <c r="I10" s="28">
        <f>LN(Index!I11/Index!I10)</f>
        <v>1.9924855602253103E-2</v>
      </c>
      <c r="J10" s="28">
        <f>LN(Index!J11/Index!J10)</f>
        <v>-6.7712901290240086E-3</v>
      </c>
      <c r="K10" s="28">
        <f>LN(Index!K11/Index!K10)</f>
        <v>3.1174007576458423E-2</v>
      </c>
      <c r="L10" s="28">
        <f>LN(Index!L11/Index!L10)</f>
        <v>0.10905944373227881</v>
      </c>
      <c r="M10" s="28">
        <f>LN(Index!M11/Index!M10)</f>
        <v>2.522390960071326E-3</v>
      </c>
      <c r="N10" s="28">
        <f>LN(Index!N11/Index!N10)</f>
        <v>5.2064309694528597E-3</v>
      </c>
      <c r="R10" s="18" t="s">
        <v>12</v>
      </c>
      <c r="S10" s="21">
        <v>15.424580000000001</v>
      </c>
      <c r="T10" s="21">
        <v>3.7681420000000001</v>
      </c>
      <c r="U10" s="21">
        <v>10.350680000000001</v>
      </c>
      <c r="V10" s="21">
        <v>18.41517</v>
      </c>
      <c r="W10" s="21">
        <v>18.873439999999999</v>
      </c>
      <c r="X10" s="21">
        <v>20.655480000000001</v>
      </c>
      <c r="Y10" s="21">
        <v>14.998570000000001</v>
      </c>
      <c r="Z10" s="21">
        <v>9.4882120000000008</v>
      </c>
      <c r="AA10" s="21">
        <v>29.073399999999999</v>
      </c>
      <c r="AB10" s="21">
        <v>20.83023</v>
      </c>
      <c r="AC10" s="21">
        <v>13.32807</v>
      </c>
      <c r="AD10" s="21">
        <v>11.10364</v>
      </c>
      <c r="AE10" s="21">
        <v>17.790379999999999</v>
      </c>
    </row>
    <row r="11" spans="1:31">
      <c r="A11" s="15">
        <v>37694</v>
      </c>
      <c r="B11" s="28">
        <f>LN(Index!B12/Index!B11)</f>
        <v>3.2063233924771845E-3</v>
      </c>
      <c r="C11" s="28">
        <f>LN(Index!C12/Index!C11)</f>
        <v>-9.5443447582414121E-3</v>
      </c>
      <c r="D11" s="28">
        <f>LN(Index!D12/Index!D11)</f>
        <v>-3.9059179266302292E-2</v>
      </c>
      <c r="E11" s="28">
        <f>LN(Index!E12/Index!E11)</f>
        <v>-1.9105607182130262E-2</v>
      </c>
      <c r="F11" s="28">
        <f>LN(Index!F12/Index!F11)</f>
        <v>-1.3418492585970677E-2</v>
      </c>
      <c r="G11" s="28">
        <f>LN(Index!G12/Index!G11)</f>
        <v>-4.228462596514803E-2</v>
      </c>
      <c r="H11" s="28">
        <f>LN(Index!H12/Index!H11)</f>
        <v>-1.7960865991367991E-2</v>
      </c>
      <c r="I11" s="28">
        <f>LN(Index!I12/Index!I11)</f>
        <v>2.3264420628991887E-2</v>
      </c>
      <c r="J11" s="28">
        <f>LN(Index!J12/Index!J11)</f>
        <v>4.9687397417160781E-3</v>
      </c>
      <c r="K11" s="28">
        <f>LN(Index!K12/Index!K11)</f>
        <v>-6.0750299954888086E-2</v>
      </c>
      <c r="L11" s="28">
        <f>LN(Index!L12/Index!L11)</f>
        <v>2.4311802023435469E-2</v>
      </c>
      <c r="M11" s="28">
        <f>LN(Index!M12/Index!M11)</f>
        <v>-3.5453546551299765E-2</v>
      </c>
      <c r="N11" s="28">
        <f>LN(Index!N12/Index!N11)</f>
        <v>-3.0266814682880578E-2</v>
      </c>
      <c r="R11" s="18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</row>
    <row r="12" spans="1:31">
      <c r="A12" s="15">
        <v>37701</v>
      </c>
      <c r="B12" s="28">
        <f>LN(Index!B13/Index!B12)</f>
        <v>5.9668336993280495E-2</v>
      </c>
      <c r="C12" s="28">
        <f>LN(Index!C13/Index!C12)</f>
        <v>-1.6589904338963235E-2</v>
      </c>
      <c r="D12" s="28">
        <f>LN(Index!D13/Index!D12)</f>
        <v>4.1870057988411383E-2</v>
      </c>
      <c r="E12" s="28">
        <f>LN(Index!E13/Index!E12)</f>
        <v>1.6577134945735879E-2</v>
      </c>
      <c r="F12" s="28">
        <f>LN(Index!F13/Index!F12)</f>
        <v>4.1937741730500758E-2</v>
      </c>
      <c r="G12" s="28">
        <f>LN(Index!G13/Index!G12)</f>
        <v>-7.0649419602957959E-3</v>
      </c>
      <c r="H12" s="28">
        <f>LN(Index!H13/Index!H12)</f>
        <v>4.1202405286362112E-2</v>
      </c>
      <c r="I12" s="28">
        <f>LN(Index!I13/Index!I12)</f>
        <v>3.9251813529321396E-2</v>
      </c>
      <c r="J12" s="28">
        <f>LN(Index!J13/Index!J12)</f>
        <v>2.4885421796372504E-2</v>
      </c>
      <c r="K12" s="28">
        <f>LN(Index!K13/Index!K12)</f>
        <v>2.2995945330900245E-2</v>
      </c>
      <c r="L12" s="28">
        <f>LN(Index!L13/Index!L12)</f>
        <v>0.15628774633391412</v>
      </c>
      <c r="M12" s="28">
        <f>LN(Index!M13/Index!M12)</f>
        <v>-1.4799193641323106E-2</v>
      </c>
      <c r="N12" s="28">
        <f>LN(Index!N13/Index!N12)</f>
        <v>2.2251968928354387E-2</v>
      </c>
      <c r="R12" s="18" t="s">
        <v>13</v>
      </c>
      <c r="S12" s="22">
        <v>4940.259</v>
      </c>
      <c r="T12" s="22">
        <v>25.17511</v>
      </c>
      <c r="U12" s="22">
        <v>1723.7819999999999</v>
      </c>
      <c r="V12" s="22">
        <v>7481.366</v>
      </c>
      <c r="W12" s="22">
        <v>8081.7209999999995</v>
      </c>
      <c r="X12" s="22">
        <v>10003.39</v>
      </c>
      <c r="Y12" s="22">
        <v>4651.1109999999999</v>
      </c>
      <c r="Z12" s="22">
        <v>1284.71</v>
      </c>
      <c r="AA12" s="22">
        <v>21294.63</v>
      </c>
      <c r="AB12" s="22">
        <v>10107.030000000001</v>
      </c>
      <c r="AC12" s="22">
        <v>3339.4180000000001</v>
      </c>
      <c r="AD12" s="22">
        <v>2194.5479999999998</v>
      </c>
      <c r="AE12" s="22">
        <v>6796.7740000000003</v>
      </c>
    </row>
    <row r="13" spans="1:31">
      <c r="A13" s="15">
        <v>37708</v>
      </c>
      <c r="B13" s="28">
        <f>LN(Index!B14/Index!B13)</f>
        <v>-2.9598886010263805E-2</v>
      </c>
      <c r="C13" s="28">
        <f>LN(Index!C14/Index!C13)</f>
        <v>1.2080159763777666E-2</v>
      </c>
      <c r="D13" s="28">
        <f>LN(Index!D14/Index!D13)</f>
        <v>-9.0720249510927182E-3</v>
      </c>
      <c r="E13" s="28">
        <f>LN(Index!E14/Index!E13)</f>
        <v>-4.2421037859746566E-3</v>
      </c>
      <c r="F13" s="28">
        <f>LN(Index!F14/Index!F13)</f>
        <v>-9.2314481695022713E-3</v>
      </c>
      <c r="G13" s="28">
        <f>LN(Index!G14/Index!G13)</f>
        <v>3.8130115553558823E-2</v>
      </c>
      <c r="H13" s="28">
        <f>LN(Index!H14/Index!H13)</f>
        <v>-2.6832731276666043E-2</v>
      </c>
      <c r="I13" s="28">
        <f>LN(Index!I14/Index!I13)</f>
        <v>-2.3458920345502585E-3</v>
      </c>
      <c r="J13" s="28">
        <f>LN(Index!J14/Index!J13)</f>
        <v>5.7326416198053508E-4</v>
      </c>
      <c r="K13" s="28">
        <f>LN(Index!K14/Index!K13)</f>
        <v>2.2516068380222504E-4</v>
      </c>
      <c r="L13" s="28">
        <f>LN(Index!L14/Index!L13)</f>
        <v>-7.9904067416734698E-2</v>
      </c>
      <c r="M13" s="28">
        <f>LN(Index!M14/Index!M13)</f>
        <v>4.2657235395668937E-2</v>
      </c>
      <c r="N13" s="28">
        <f>LN(Index!N14/Index!N13)</f>
        <v>1.2001786321471171E-3</v>
      </c>
      <c r="R13" s="18" t="s">
        <v>14</v>
      </c>
      <c r="S13" s="21">
        <v>0</v>
      </c>
      <c r="T13" s="21">
        <v>3.0000000000000001E-6</v>
      </c>
      <c r="U13" s="21">
        <v>0</v>
      </c>
      <c r="V13" s="21">
        <v>0</v>
      </c>
      <c r="W13" s="21">
        <v>0</v>
      </c>
      <c r="X13" s="21">
        <v>0</v>
      </c>
      <c r="Y13" s="21">
        <v>0</v>
      </c>
      <c r="Z13" s="21">
        <v>0</v>
      </c>
      <c r="AA13" s="21">
        <v>0</v>
      </c>
      <c r="AB13" s="21">
        <v>0</v>
      </c>
      <c r="AC13" s="21">
        <v>0</v>
      </c>
      <c r="AD13" s="21">
        <v>0</v>
      </c>
      <c r="AE13" s="21">
        <v>0</v>
      </c>
    </row>
    <row r="14" spans="1:31">
      <c r="A14" s="15">
        <v>37715</v>
      </c>
      <c r="B14" s="28">
        <f>LN(Index!B15/Index!B14)</f>
        <v>1.5489869536009572E-2</v>
      </c>
      <c r="C14" s="28">
        <f>LN(Index!C15/Index!C14)</f>
        <v>-4.5666271685923309E-4</v>
      </c>
      <c r="D14" s="28">
        <f>LN(Index!D15/Index!D14)</f>
        <v>-1.3264931377653203E-2</v>
      </c>
      <c r="E14" s="28">
        <f>LN(Index!E15/Index!E14)</f>
        <v>1.2642212378014859E-2</v>
      </c>
      <c r="F14" s="28">
        <f>LN(Index!F15/Index!F14)</f>
        <v>2.3578026829779306E-2</v>
      </c>
      <c r="G14" s="28">
        <f>LN(Index!G15/Index!G14)</f>
        <v>-1.0635602573286175E-2</v>
      </c>
      <c r="H14" s="28">
        <f>LN(Index!H15/Index!H14)</f>
        <v>2.97507820797763E-2</v>
      </c>
      <c r="I14" s="28">
        <f>LN(Index!I15/Index!I14)</f>
        <v>-2.5298372992352863E-2</v>
      </c>
      <c r="J14" s="28">
        <f>LN(Index!J15/Index!J14)</f>
        <v>2.3263903794727162E-2</v>
      </c>
      <c r="K14" s="28">
        <f>LN(Index!K15/Index!K14)</f>
        <v>1.5542720036775051E-3</v>
      </c>
      <c r="L14" s="28">
        <f>LN(Index!L15/Index!L14)</f>
        <v>0.10091117072020206</v>
      </c>
      <c r="M14" s="28">
        <f>LN(Index!M15/Index!M14)</f>
        <v>1.9134381338644986E-3</v>
      </c>
      <c r="N14" s="28">
        <f>LN(Index!N15/Index!N14)</f>
        <v>1.2672581629421781E-2</v>
      </c>
      <c r="R14" s="18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</row>
    <row r="15" spans="1:31">
      <c r="A15" s="15">
        <v>37722</v>
      </c>
      <c r="B15" s="28">
        <f>LN(Index!B16/Index!B15)</f>
        <v>-5.9023185148342639E-3</v>
      </c>
      <c r="C15" s="28">
        <f>LN(Index!C16/Index!C15)</f>
        <v>7.7620258217591699E-4</v>
      </c>
      <c r="D15" s="28">
        <f>LN(Index!D16/Index!D15)</f>
        <v>-1.3063871258653199E-2</v>
      </c>
      <c r="E15" s="28">
        <f>LN(Index!E16/Index!E15)</f>
        <v>6.0697444839833562E-3</v>
      </c>
      <c r="F15" s="28">
        <f>LN(Index!F16/Index!F15)</f>
        <v>2.9548037023537392E-3</v>
      </c>
      <c r="G15" s="28">
        <f>LN(Index!G16/Index!G15)</f>
        <v>4.7731484234694428E-2</v>
      </c>
      <c r="H15" s="28">
        <f>LN(Index!H16/Index!H15)</f>
        <v>3.7688213139552306E-3</v>
      </c>
      <c r="I15" s="28">
        <f>LN(Index!I16/Index!I15)</f>
        <v>-1.5330033756093229E-4</v>
      </c>
      <c r="J15" s="28">
        <f>LN(Index!J16/Index!J15)</f>
        <v>-2.6099327533258892E-3</v>
      </c>
      <c r="K15" s="28">
        <f>LN(Index!K16/Index!K15)</f>
        <v>2.1059795134467131E-2</v>
      </c>
      <c r="L15" s="28">
        <f>LN(Index!L16/Index!L15)</f>
        <v>5.0915768434377159E-2</v>
      </c>
      <c r="M15" s="28">
        <f>LN(Index!M16/Index!M15)</f>
        <v>3.5252788979209568E-2</v>
      </c>
      <c r="N15" s="28">
        <f>LN(Index!N16/Index!N15)</f>
        <v>2.7193021381622653E-3</v>
      </c>
      <c r="R15" s="18" t="s">
        <v>15</v>
      </c>
      <c r="S15" s="21">
        <v>0.77563400000000005</v>
      </c>
      <c r="T15" s="21">
        <v>0.59586300000000003</v>
      </c>
      <c r="U15" s="21">
        <v>0.78079500000000002</v>
      </c>
      <c r="V15" s="21">
        <v>1.2933300000000001</v>
      </c>
      <c r="W15" s="21">
        <v>0.92919499999999999</v>
      </c>
      <c r="X15" s="21">
        <v>0.95309900000000003</v>
      </c>
      <c r="Y15" s="21">
        <v>1.6380479999999999</v>
      </c>
      <c r="Z15" s="21">
        <v>3.1055890000000002</v>
      </c>
      <c r="AA15" s="21">
        <v>0.86456500000000003</v>
      </c>
      <c r="AB15" s="21">
        <v>1.1332439999999999</v>
      </c>
      <c r="AC15" s="21">
        <v>0.48020499999999999</v>
      </c>
      <c r="AD15" s="21">
        <v>0.86809599999999998</v>
      </c>
      <c r="AE15" s="21">
        <v>1.149627</v>
      </c>
    </row>
    <row r="16" spans="1:31">
      <c r="A16" s="15">
        <v>37729</v>
      </c>
      <c r="B16" s="28">
        <f>LN(Index!B17/Index!B16)</f>
        <v>2.8753092375800083E-2</v>
      </c>
      <c r="C16" s="28">
        <f>LN(Index!C17/Index!C16)</f>
        <v>5.5981758746765711E-3</v>
      </c>
      <c r="D16" s="28">
        <f>LN(Index!D17/Index!D16)</f>
        <v>1.4684920307444867E-2</v>
      </c>
      <c r="E16" s="28">
        <f>LN(Index!E17/Index!E16)</f>
        <v>1.0871528899595128E-2</v>
      </c>
      <c r="F16" s="28">
        <f>LN(Index!F17/Index!F16)</f>
        <v>9.0205514193128083E-3</v>
      </c>
      <c r="G16" s="28">
        <f>LN(Index!G17/Index!G16)</f>
        <v>-3.2199942505682666E-3</v>
      </c>
      <c r="H16" s="28">
        <f>LN(Index!H17/Index!H16)</f>
        <v>2.8444270616475205E-3</v>
      </c>
      <c r="I16" s="28">
        <f>LN(Index!I17/Index!I16)</f>
        <v>1.951979735851736E-2</v>
      </c>
      <c r="J16" s="28">
        <f>LN(Index!J17/Index!J16)</f>
        <v>2.7450770200360881E-3</v>
      </c>
      <c r="K16" s="28">
        <f>LN(Index!K17/Index!K16)</f>
        <v>1.2897615729336E-3</v>
      </c>
      <c r="L16" s="28">
        <f>LN(Index!L17/Index!L16)</f>
        <v>1.6155856930156878E-2</v>
      </c>
      <c r="M16" s="28">
        <f>LN(Index!M17/Index!M16)</f>
        <v>5.9141044283292962E-4</v>
      </c>
      <c r="N16" s="28">
        <f>LN(Index!N17/Index!N16)</f>
        <v>1.7819826698042194E-2</v>
      </c>
      <c r="R16" s="18" t="s">
        <v>16</v>
      </c>
      <c r="S16" s="21">
        <v>0.42157499999999998</v>
      </c>
      <c r="T16" s="21">
        <v>2.7324999999999999E-2</v>
      </c>
      <c r="U16" s="21">
        <v>0.57964400000000005</v>
      </c>
      <c r="V16" s="21">
        <v>0.384048</v>
      </c>
      <c r="W16" s="21">
        <v>0.452926</v>
      </c>
      <c r="X16" s="21">
        <v>0.58949600000000002</v>
      </c>
      <c r="Y16" s="21">
        <v>0.61496300000000004</v>
      </c>
      <c r="Z16" s="21">
        <v>0.93351700000000004</v>
      </c>
      <c r="AA16" s="21">
        <v>0.35037099999999999</v>
      </c>
      <c r="AB16" s="21">
        <v>0.38404700000000003</v>
      </c>
      <c r="AC16" s="21">
        <v>1.1536930000000001</v>
      </c>
      <c r="AD16" s="21">
        <v>0.61505799999999999</v>
      </c>
      <c r="AE16" s="21">
        <v>0.50405500000000003</v>
      </c>
    </row>
    <row r="17" spans="1:31">
      <c r="A17" s="15">
        <v>37736</v>
      </c>
      <c r="B17" s="28">
        <f>LN(Index!B18/Index!B17)</f>
        <v>2.0665590338307172E-3</v>
      </c>
      <c r="C17" s="28">
        <f>LN(Index!C18/Index!C17)</f>
        <v>5.612144171087117E-3</v>
      </c>
      <c r="D17" s="28">
        <f>LN(Index!D18/Index!D17)</f>
        <v>4.2272846738118271E-3</v>
      </c>
      <c r="E17" s="28">
        <f>LN(Index!E18/Index!E17)</f>
        <v>5.9941259362303486E-4</v>
      </c>
      <c r="F17" s="28">
        <f>LN(Index!F18/Index!F17)</f>
        <v>1.3301826096952405E-2</v>
      </c>
      <c r="G17" s="28">
        <f>LN(Index!G18/Index!G17)</f>
        <v>2.0778480369353852E-2</v>
      </c>
      <c r="H17" s="28">
        <f>LN(Index!H18/Index!H17)</f>
        <v>5.27654357179247E-3</v>
      </c>
      <c r="I17" s="28">
        <f>LN(Index!I18/Index!I17)</f>
        <v>-6.2914293167439352E-3</v>
      </c>
      <c r="J17" s="28">
        <f>LN(Index!J18/Index!J17)</f>
        <v>-1.2510361694363772E-2</v>
      </c>
      <c r="K17" s="28">
        <f>LN(Index!K18/Index!K17)</f>
        <v>-1.7823232117048275E-2</v>
      </c>
      <c r="L17" s="28">
        <f>LN(Index!L18/Index!L17)</f>
        <v>1.5469653977529509E-2</v>
      </c>
      <c r="M17" s="28">
        <f>LN(Index!M18/Index!M17)</f>
        <v>2.2011134486222432E-2</v>
      </c>
      <c r="N17" s="28">
        <f>LN(Index!N18/Index!N17)</f>
        <v>1.9075512840493615E-2</v>
      </c>
      <c r="R17" s="18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</row>
    <row r="18" spans="1:31">
      <c r="A18" s="15">
        <v>37743</v>
      </c>
      <c r="B18" s="28">
        <f>LN(Index!B19/Index!B18)</f>
        <v>3.4748781870976055E-2</v>
      </c>
      <c r="C18" s="28">
        <f>LN(Index!C19/Index!C18)</f>
        <v>5.8500751846399315E-3</v>
      </c>
      <c r="D18" s="28">
        <f>LN(Index!D19/Index!D18)</f>
        <v>2.8739367123870915E-2</v>
      </c>
      <c r="E18" s="28">
        <f>LN(Index!E19/Index!E18)</f>
        <v>2.0462740620023696E-2</v>
      </c>
      <c r="F18" s="28">
        <f>LN(Index!F19/Index!F18)</f>
        <v>1.0314184769158803E-2</v>
      </c>
      <c r="G18" s="28">
        <f>LN(Index!G19/Index!G18)</f>
        <v>3.007872184741129E-2</v>
      </c>
      <c r="H18" s="28">
        <f>LN(Index!H19/Index!H18)</f>
        <v>7.0601803086717428E-3</v>
      </c>
      <c r="I18" s="28">
        <f>LN(Index!I19/Index!I18)</f>
        <v>5.8564730255279598E-2</v>
      </c>
      <c r="J18" s="28">
        <f>LN(Index!J19/Index!J18)</f>
        <v>2.4015240711670115E-3</v>
      </c>
      <c r="K18" s="28">
        <f>LN(Index!K19/Index!K18)</f>
        <v>3.6884435074363793E-2</v>
      </c>
      <c r="L18" s="28">
        <f>LN(Index!L19/Index!L18)</f>
        <v>6.9377183252098379E-2</v>
      </c>
      <c r="M18" s="28">
        <f>LN(Index!M19/Index!M18)</f>
        <v>1.390447158092443E-2</v>
      </c>
      <c r="N18" s="28">
        <f>LN(Index!N19/Index!N18)</f>
        <v>1.3538989478251273E-2</v>
      </c>
      <c r="R18" s="18" t="s">
        <v>17</v>
      </c>
      <c r="S18" s="23">
        <v>730</v>
      </c>
      <c r="T18" s="23">
        <v>730</v>
      </c>
      <c r="U18" s="23">
        <v>730</v>
      </c>
      <c r="V18" s="23">
        <v>730</v>
      </c>
      <c r="W18" s="23">
        <v>730</v>
      </c>
      <c r="X18" s="23">
        <v>730</v>
      </c>
      <c r="Y18" s="23">
        <v>730</v>
      </c>
      <c r="Z18" s="23">
        <v>730</v>
      </c>
      <c r="AA18" s="23">
        <v>730</v>
      </c>
      <c r="AB18" s="23">
        <v>730</v>
      </c>
      <c r="AC18" s="23">
        <v>730</v>
      </c>
      <c r="AD18" s="23">
        <v>730</v>
      </c>
      <c r="AE18" s="23">
        <v>730</v>
      </c>
    </row>
    <row r="19" spans="1:31">
      <c r="A19" s="15">
        <v>37750</v>
      </c>
      <c r="B19" s="28">
        <f>LN(Index!B20/Index!B19)</f>
        <v>1.0750516201935215E-2</v>
      </c>
      <c r="C19" s="28">
        <f>LN(Index!C20/Index!C19)</f>
        <v>1.275095296366177E-2</v>
      </c>
      <c r="D19" s="28">
        <f>LN(Index!D20/Index!D19)</f>
        <v>3.004441381449342E-2</v>
      </c>
      <c r="E19" s="28">
        <f>LN(Index!E20/Index!E19)</f>
        <v>1.2553218757551922E-2</v>
      </c>
      <c r="F19" s="28">
        <f>LN(Index!F20/Index!F19)</f>
        <v>1.6494071187323035E-2</v>
      </c>
      <c r="G19" s="28">
        <f>LN(Index!G20/Index!G19)</f>
        <v>2.9734547773319249E-2</v>
      </c>
      <c r="H19" s="28">
        <f>LN(Index!H20/Index!H19)</f>
        <v>6.4363130797748108E-3</v>
      </c>
      <c r="I19" s="28">
        <f>LN(Index!I20/Index!I19)</f>
        <v>1.5483801877458672E-2</v>
      </c>
      <c r="J19" s="28">
        <f>LN(Index!J20/Index!J19)</f>
        <v>-3.7903995988536102E-3</v>
      </c>
      <c r="K19" s="28">
        <f>LN(Index!K20/Index!K19)</f>
        <v>1.1152278266907989E-2</v>
      </c>
      <c r="L19" s="28">
        <f>LN(Index!L20/Index!L19)</f>
        <v>6.1268589230693365E-2</v>
      </c>
      <c r="M19" s="28">
        <f>LN(Index!M20/Index!M19)</f>
        <v>3.4908711786519844E-2</v>
      </c>
      <c r="N19" s="28">
        <f>LN(Index!N20/Index!N19)</f>
        <v>1.9184921525314081E-2</v>
      </c>
    </row>
    <row r="20" spans="1:31">
      <c r="A20" s="15">
        <v>37757</v>
      </c>
      <c r="B20" s="28">
        <f>LN(Index!B21/Index!B20)</f>
        <v>1.5397038632616633E-2</v>
      </c>
      <c r="C20" s="28">
        <f>LN(Index!C21/Index!C20)</f>
        <v>8.8211219013001017E-3</v>
      </c>
      <c r="D20" s="28">
        <f>LN(Index!D21/Index!D20)</f>
        <v>1.7165812362006948E-2</v>
      </c>
      <c r="E20" s="28">
        <f>LN(Index!E21/Index!E20)</f>
        <v>2.3086581362149711E-2</v>
      </c>
      <c r="F20" s="28">
        <f>LN(Index!F21/Index!F20)</f>
        <v>1.8528482360781993E-2</v>
      </c>
      <c r="G20" s="28">
        <f>LN(Index!G21/Index!G20)</f>
        <v>2.1469229993009264E-2</v>
      </c>
      <c r="H20" s="28">
        <f>LN(Index!H21/Index!H20)</f>
        <v>3.7535791408216293E-2</v>
      </c>
      <c r="I20" s="28">
        <f>LN(Index!I21/Index!I20)</f>
        <v>3.1190938299417784E-2</v>
      </c>
      <c r="J20" s="28">
        <f>LN(Index!J21/Index!J20)</f>
        <v>3.1371192400477532E-2</v>
      </c>
      <c r="K20" s="28">
        <f>LN(Index!K21/Index!K20)</f>
        <v>2.5734093122840369E-2</v>
      </c>
      <c r="L20" s="28">
        <f>LN(Index!L21/Index!L20)</f>
        <v>6.1361102373731326E-3</v>
      </c>
      <c r="M20" s="28">
        <f>LN(Index!M21/Index!M20)</f>
        <v>2.88143236521549E-3</v>
      </c>
      <c r="N20" s="28">
        <f>LN(Index!N21/Index!N20)</f>
        <v>8.5229786416909422E-3</v>
      </c>
    </row>
    <row r="21" spans="1:31">
      <c r="A21" s="15">
        <v>37764</v>
      </c>
      <c r="B21" s="28">
        <f>LN(Index!B22/Index!B21)</f>
        <v>-8.7436541418800442E-3</v>
      </c>
      <c r="C21" s="28">
        <f>LN(Index!C22/Index!C21)</f>
        <v>6.3906371745291457E-3</v>
      </c>
      <c r="D21" s="28">
        <f>LN(Index!D22/Index!D21)</f>
        <v>1.8232045587427425E-2</v>
      </c>
      <c r="E21" s="28">
        <f>LN(Index!E22/Index!E21)</f>
        <v>1.023954235937076E-2</v>
      </c>
      <c r="F21" s="28">
        <f>LN(Index!F22/Index!F21)</f>
        <v>4.144395017214237E-2</v>
      </c>
      <c r="G21" s="28">
        <f>LN(Index!G22/Index!G21)</f>
        <v>3.9372282091511938E-2</v>
      </c>
      <c r="H21" s="28">
        <f>LN(Index!H22/Index!H21)</f>
        <v>3.2196609444207665E-2</v>
      </c>
      <c r="I21" s="28">
        <f>LN(Index!I22/Index!I21)</f>
        <v>-1.3530287027516609E-3</v>
      </c>
      <c r="J21" s="28">
        <f>LN(Index!J22/Index!J21)</f>
        <v>3.0969013145170227E-3</v>
      </c>
      <c r="K21" s="28">
        <f>LN(Index!K22/Index!K21)</f>
        <v>-3.4829390298236128E-3</v>
      </c>
      <c r="L21" s="28">
        <f>LN(Index!L22/Index!L21)</f>
        <v>5.9615084617420898E-2</v>
      </c>
      <c r="M21" s="28">
        <f>LN(Index!M22/Index!M21)</f>
        <v>4.9153125705348515E-2</v>
      </c>
      <c r="N21" s="28">
        <f>LN(Index!N22/Index!N21)</f>
        <v>2.8223263008266171E-2</v>
      </c>
      <c r="R21" s="18" t="s">
        <v>25</v>
      </c>
      <c r="S21" s="18"/>
      <c r="T21" s="18"/>
      <c r="U21" s="18"/>
      <c r="V21" s="18"/>
      <c r="W21" s="18"/>
      <c r="X21" s="18"/>
      <c r="Y21" s="18"/>
    </row>
    <row r="22" spans="1:31" ht="15.75" thickBot="1">
      <c r="A22" s="15">
        <v>37771</v>
      </c>
      <c r="B22" s="28">
        <f>LN(Index!B23/Index!B22)</f>
        <v>2.4443707523635085E-2</v>
      </c>
      <c r="C22" s="28">
        <f>LN(Index!C23/Index!C22)</f>
        <v>-2.4463775251798601E-3</v>
      </c>
      <c r="D22" s="28">
        <f>LN(Index!D23/Index!D22)</f>
        <v>-5.6474841959580776E-4</v>
      </c>
      <c r="E22" s="28">
        <f>LN(Index!E23/Index!E22)</f>
        <v>-1.2082495006773565E-2</v>
      </c>
      <c r="F22" s="28">
        <f>LN(Index!F23/Index!F22)</f>
        <v>1.2396945047924693E-2</v>
      </c>
      <c r="G22" s="28">
        <f>LN(Index!G23/Index!G22)</f>
        <v>-4.3888295372406273E-3</v>
      </c>
      <c r="H22" s="28">
        <f>LN(Index!H23/Index!H22)</f>
        <v>-1.537907280750056E-2</v>
      </c>
      <c r="I22" s="28">
        <f>LN(Index!I23/Index!I22)</f>
        <v>-2.4882572480181667E-2</v>
      </c>
      <c r="J22" s="28">
        <f>LN(Index!J23/Index!J22)</f>
        <v>8.5587698502764004E-3</v>
      </c>
      <c r="K22" s="28">
        <f>LN(Index!K23/Index!K22)</f>
        <v>-4.5732950183891716E-2</v>
      </c>
      <c r="L22" s="28">
        <f>LN(Index!L23/Index!L22)</f>
        <v>9.9947684243257603E-2</v>
      </c>
      <c r="M22" s="28">
        <f>LN(Index!M23/Index!M22)</f>
        <v>5.6886648896520313E-3</v>
      </c>
      <c r="N22" s="28">
        <f>LN(Index!N23/Index!N22)</f>
        <v>5.1422373356034418E-3</v>
      </c>
      <c r="R22" s="52"/>
      <c r="S22" s="52" t="s">
        <v>26</v>
      </c>
      <c r="T22" s="52" t="s">
        <v>27</v>
      </c>
      <c r="U22" s="52" t="s">
        <v>28</v>
      </c>
      <c r="V22" s="18"/>
      <c r="W22" s="18"/>
      <c r="X22" s="18"/>
      <c r="Y22" s="18"/>
    </row>
    <row r="23" spans="1:31" ht="15.75" thickTop="1">
      <c r="A23" s="15">
        <v>37778</v>
      </c>
      <c r="B23" s="28">
        <f>LN(Index!B24/Index!B23)</f>
        <v>2.9457481649236037E-2</v>
      </c>
      <c r="C23" s="28">
        <f>LN(Index!C24/Index!C23)</f>
        <v>1.3986627569687242E-3</v>
      </c>
      <c r="D23" s="28">
        <f>LN(Index!D24/Index!D23)</f>
        <v>3.1035247620137166E-2</v>
      </c>
      <c r="E23" s="28">
        <f>LN(Index!E24/Index!E23)</f>
        <v>2.1135193305373463E-2</v>
      </c>
      <c r="F23" s="28">
        <f>LN(Index!F24/Index!F23)</f>
        <v>9.555448044989855E-3</v>
      </c>
      <c r="G23" s="28">
        <f>LN(Index!G24/Index!G23)</f>
        <v>1.193021755662445E-2</v>
      </c>
      <c r="H23" s="28">
        <f>LN(Index!H24/Index!H23)</f>
        <v>8.3788301322832905E-3</v>
      </c>
      <c r="I23" s="28">
        <f>LN(Index!I24/Index!I23)</f>
        <v>3.9358971558460354E-2</v>
      </c>
      <c r="J23" s="28">
        <f>LN(Index!J24/Index!J23)</f>
        <v>7.7328638163689399E-3</v>
      </c>
      <c r="K23" s="28">
        <f>LN(Index!K24/Index!K23)</f>
        <v>8.8176020402772948E-2</v>
      </c>
      <c r="L23" s="28">
        <f>LN(Index!L24/Index!L23)</f>
        <v>-6.3878989817968261E-4</v>
      </c>
      <c r="M23" s="28">
        <f>LN(Index!M24/Index!M23)</f>
        <v>8.0302472306541701E-3</v>
      </c>
      <c r="N23" s="28">
        <f>LN(Index!N24/Index!N23)</f>
        <v>1.5020895433718715E-2</v>
      </c>
      <c r="R23" s="18" t="s">
        <v>29</v>
      </c>
      <c r="S23" s="20">
        <v>1.0629999999999999E-3</v>
      </c>
      <c r="T23" s="20">
        <v>8.1599999999999999E-4</v>
      </c>
      <c r="U23" s="20">
        <v>1.07E-3</v>
      </c>
      <c r="V23" s="18"/>
      <c r="W23" s="18"/>
      <c r="X23" s="18"/>
      <c r="Y23" s="18"/>
    </row>
    <row r="24" spans="1:31">
      <c r="A24" s="15">
        <v>37785</v>
      </c>
      <c r="B24" s="28">
        <f>LN(Index!B25/Index!B24)</f>
        <v>4.7098774062636212E-3</v>
      </c>
      <c r="C24" s="28">
        <f>LN(Index!C25/Index!C24)</f>
        <v>1.2112414465811829E-2</v>
      </c>
      <c r="D24" s="28">
        <f>LN(Index!D25/Index!D24)</f>
        <v>8.3983696988316411E-3</v>
      </c>
      <c r="E24" s="28">
        <f>LN(Index!E25/Index!E24)</f>
        <v>8.4389464771032832E-3</v>
      </c>
      <c r="F24" s="28">
        <f>LN(Index!F25/Index!F24)</f>
        <v>-8.6170211689858781E-3</v>
      </c>
      <c r="G24" s="28">
        <f>LN(Index!G25/Index!G24)</f>
        <v>4.1854442662769907E-2</v>
      </c>
      <c r="H24" s="28">
        <f>LN(Index!H25/Index!H24)</f>
        <v>-9.3769197306632999E-3</v>
      </c>
      <c r="I24" s="28">
        <f>LN(Index!I25/Index!I24)</f>
        <v>3.3450136380270166E-3</v>
      </c>
      <c r="J24" s="28">
        <f>LN(Index!J25/Index!J24)</f>
        <v>9.2601828493872121E-3</v>
      </c>
      <c r="K24" s="28">
        <f>LN(Index!K25/Index!K24)</f>
        <v>-1.9795357701441401E-2</v>
      </c>
      <c r="L24" s="28">
        <f>LN(Index!L25/Index!L24)</f>
        <v>-4.5150058824215744E-2</v>
      </c>
      <c r="M24" s="28">
        <f>LN(Index!M25/Index!M24)</f>
        <v>2.7297856462652884E-2</v>
      </c>
      <c r="N24" s="28">
        <f>LN(Index!N25/Index!N24)</f>
        <v>9.5435270227562496E-3</v>
      </c>
      <c r="R24" s="18" t="s">
        <v>30</v>
      </c>
      <c r="S24" s="21">
        <v>2.4048E-2</v>
      </c>
      <c r="T24" s="21">
        <v>6.1219999999999998E-3</v>
      </c>
      <c r="U24" s="21">
        <v>2.8198000000000001E-2</v>
      </c>
      <c r="V24" s="18"/>
      <c r="W24" s="18"/>
      <c r="X24" s="18"/>
      <c r="Y24" s="18"/>
    </row>
    <row r="25" spans="1:31">
      <c r="A25" s="15">
        <v>37792</v>
      </c>
      <c r="B25" s="28">
        <f>LN(Index!B26/Index!B25)</f>
        <v>7.5548306455179327E-3</v>
      </c>
      <c r="C25" s="28">
        <f>LN(Index!C26/Index!C25)</f>
        <v>-1.219977359926476E-2</v>
      </c>
      <c r="D25" s="28">
        <f>LN(Index!D26/Index!D25)</f>
        <v>-3.2589213258921889E-4</v>
      </c>
      <c r="E25" s="28">
        <f>LN(Index!E26/Index!E25)</f>
        <v>8.262263044725058E-4</v>
      </c>
      <c r="F25" s="28">
        <f>LN(Index!F26/Index!F25)</f>
        <v>8.6257941377146288E-3</v>
      </c>
      <c r="G25" s="28">
        <f>LN(Index!G26/Index!G25)</f>
        <v>-1.9852130089225609E-2</v>
      </c>
      <c r="H25" s="28">
        <f>LN(Index!H26/Index!H25)</f>
        <v>1.6545837463704346E-2</v>
      </c>
      <c r="I25" s="28">
        <f>LN(Index!I26/Index!I25)</f>
        <v>-5.2477443415215224E-3</v>
      </c>
      <c r="J25" s="28">
        <f>LN(Index!J26/Index!J25)</f>
        <v>6.0559184155478119E-3</v>
      </c>
      <c r="K25" s="28">
        <f>LN(Index!K26/Index!K25)</f>
        <v>1.6454845690810047E-2</v>
      </c>
      <c r="L25" s="28">
        <f>LN(Index!L26/Index!L25)</f>
        <v>-2.7803891263427369E-3</v>
      </c>
      <c r="M25" s="28">
        <f>LN(Index!M26/Index!M25)</f>
        <v>-1.6601338962534705E-2</v>
      </c>
      <c r="N25" s="28">
        <f>LN(Index!N26/Index!N25)</f>
        <v>-2.5554826256094936E-4</v>
      </c>
      <c r="R25" s="18" t="s">
        <v>31</v>
      </c>
      <c r="S25" s="21">
        <v>-1.4185570000000001</v>
      </c>
      <c r="T25" s="21">
        <v>-0.24373800000000001</v>
      </c>
      <c r="U25" s="21">
        <v>-0.81236200000000003</v>
      </c>
      <c r="V25" s="18"/>
      <c r="W25" s="18"/>
      <c r="X25" s="18"/>
      <c r="Y25" s="18"/>
    </row>
    <row r="26" spans="1:31">
      <c r="A26" s="15">
        <v>37799</v>
      </c>
      <c r="B26" s="28">
        <f>LN(Index!B27/Index!B26)</f>
        <v>-2.2631976449284816E-2</v>
      </c>
      <c r="C26" s="28">
        <f>LN(Index!C27/Index!C26)</f>
        <v>-9.0831928387550259E-3</v>
      </c>
      <c r="D26" s="28">
        <f>LN(Index!D27/Index!D26)</f>
        <v>-2.3302879021784264E-2</v>
      </c>
      <c r="E26" s="28">
        <f>LN(Index!E27/Index!E26)</f>
        <v>-2.2851666807395709E-2</v>
      </c>
      <c r="F26" s="28">
        <f>LN(Index!F27/Index!F26)</f>
        <v>-1.289121395519908E-2</v>
      </c>
      <c r="G26" s="28">
        <f>LN(Index!G27/Index!G26)</f>
        <v>8.5212562517436637E-3</v>
      </c>
      <c r="H26" s="28">
        <f>LN(Index!H27/Index!H26)</f>
        <v>-1.0351625719180899E-2</v>
      </c>
      <c r="I26" s="28">
        <f>LN(Index!I27/Index!I26)</f>
        <v>-9.539207434620162E-3</v>
      </c>
      <c r="J26" s="28">
        <f>LN(Index!J27/Index!J26)</f>
        <v>-3.0766505174274757E-2</v>
      </c>
      <c r="K26" s="28">
        <f>LN(Index!K27/Index!K26)</f>
        <v>-8.0465096979846704E-3</v>
      </c>
      <c r="L26" s="28">
        <f>LN(Index!L27/Index!L26)</f>
        <v>1.6677431117476844E-2</v>
      </c>
      <c r="M26" s="28">
        <f>LN(Index!M27/Index!M26)</f>
        <v>-2.5805544411588475E-2</v>
      </c>
      <c r="N26" s="28">
        <f>LN(Index!N27/Index!N26)</f>
        <v>-1.5185174394207796E-2</v>
      </c>
      <c r="R26" s="18" t="s">
        <v>32</v>
      </c>
      <c r="S26" s="21">
        <v>15.424580000000001</v>
      </c>
      <c r="T26" s="21">
        <v>3.7681420000000001</v>
      </c>
      <c r="U26" s="21">
        <v>10.350680000000001</v>
      </c>
      <c r="V26" s="18"/>
      <c r="W26" s="18"/>
      <c r="X26" s="18"/>
      <c r="Y26" s="18"/>
    </row>
    <row r="27" spans="1:31">
      <c r="A27" s="15">
        <v>37806</v>
      </c>
      <c r="B27" s="28">
        <f>LN(Index!B28/Index!B27)</f>
        <v>1.0786069161993561E-2</v>
      </c>
      <c r="C27" s="28">
        <f>LN(Index!C28/Index!C27)</f>
        <v>-3.527025872028105E-4</v>
      </c>
      <c r="D27" s="28">
        <f>LN(Index!D28/Index!D27)</f>
        <v>1.9601993117038138E-2</v>
      </c>
      <c r="E27" s="28">
        <f>LN(Index!E28/Index!E27)</f>
        <v>-1.3144922792495003E-4</v>
      </c>
      <c r="F27" s="28">
        <f>LN(Index!F28/Index!F27)</f>
        <v>1.5160825371415807E-2</v>
      </c>
      <c r="G27" s="28">
        <f>LN(Index!G28/Index!G27)</f>
        <v>-5.1117535113258108E-3</v>
      </c>
      <c r="H27" s="28">
        <f>LN(Index!H28/Index!H27)</f>
        <v>1.1321228510394051E-3</v>
      </c>
      <c r="I27" s="28">
        <f>LN(Index!I28/Index!I27)</f>
        <v>3.7473057323671261E-2</v>
      </c>
      <c r="J27" s="28">
        <f>LN(Index!J28/Index!J27)</f>
        <v>-5.8465014189982333E-3</v>
      </c>
      <c r="K27" s="28">
        <f>LN(Index!K28/Index!K27)</f>
        <v>6.0934732015613712E-3</v>
      </c>
      <c r="L27" s="28">
        <f>LN(Index!L28/Index!L27)</f>
        <v>0.10288471460996544</v>
      </c>
      <c r="M27" s="28">
        <f>LN(Index!M28/Index!M27)</f>
        <v>-1.1546737209932071E-2</v>
      </c>
      <c r="N27" s="28">
        <f>LN(Index!N28/Index!N27)</f>
        <v>3.0733792920114174E-3</v>
      </c>
      <c r="R27" s="45" t="s">
        <v>33</v>
      </c>
      <c r="S27" s="62">
        <v>4940.259</v>
      </c>
      <c r="T27" s="62">
        <v>25.17511</v>
      </c>
      <c r="U27" s="62">
        <v>1723.7819999999999</v>
      </c>
      <c r="V27" s="18"/>
      <c r="W27" s="18"/>
      <c r="X27" s="18"/>
      <c r="Y27" s="18"/>
    </row>
    <row r="28" spans="1:31">
      <c r="A28" s="15">
        <v>37813</v>
      </c>
      <c r="B28" s="28">
        <f>LN(Index!B29/Index!B28)</f>
        <v>6.620860080409496E-3</v>
      </c>
      <c r="C28" s="28">
        <f>LN(Index!C29/Index!C28)</f>
        <v>-7.0577859127321518E-4</v>
      </c>
      <c r="D28" s="28">
        <f>LN(Index!D29/Index!D28)</f>
        <v>9.8097996858051775E-4</v>
      </c>
      <c r="E28" s="28">
        <f>LN(Index!E29/Index!E28)</f>
        <v>-1.2310434973439203E-2</v>
      </c>
      <c r="F28" s="28">
        <f>LN(Index!F29/Index!F28)</f>
        <v>-1.1090100988938457E-2</v>
      </c>
      <c r="G28" s="28">
        <f>LN(Index!G29/Index!G28)</f>
        <v>-1.8359143706448113E-2</v>
      </c>
      <c r="H28" s="28">
        <f>LN(Index!H29/Index!H28)</f>
        <v>-3.3601548445548447E-2</v>
      </c>
      <c r="I28" s="28">
        <f>LN(Index!I29/Index!I28)</f>
        <v>-3.9739496508139592E-3</v>
      </c>
      <c r="J28" s="28">
        <f>LN(Index!J29/Index!J28)</f>
        <v>-1.2392940963462365E-2</v>
      </c>
      <c r="K28" s="28">
        <f>LN(Index!K29/Index!K28)</f>
        <v>-2.2916013977671127E-2</v>
      </c>
      <c r="L28" s="28">
        <f>LN(Index!L29/Index!L28)</f>
        <v>3.7251131933727769E-2</v>
      </c>
      <c r="M28" s="28">
        <f>LN(Index!M29/Index!M28)</f>
        <v>-6.4322674750883586E-3</v>
      </c>
      <c r="N28" s="28">
        <f>LN(Index!N29/Index!N28)</f>
        <v>-3.9954467577819584E-3</v>
      </c>
      <c r="R28" s="18"/>
      <c r="S28" s="18"/>
      <c r="T28" s="18"/>
      <c r="U28" s="18"/>
      <c r="V28" s="18"/>
      <c r="W28" s="18"/>
      <c r="X28" s="18"/>
      <c r="Y28" s="18"/>
    </row>
    <row r="29" spans="1:31">
      <c r="A29" s="15">
        <v>37820</v>
      </c>
      <c r="B29" s="28">
        <f>LN(Index!B30/Index!B29)</f>
        <v>-8.875397014490213E-3</v>
      </c>
      <c r="C29" s="28">
        <f>LN(Index!C30/Index!C29)</f>
        <v>-1.1539272368827028E-2</v>
      </c>
      <c r="D29" s="28">
        <f>LN(Index!D30/Index!D29)</f>
        <v>-1.9629232038823538E-3</v>
      </c>
      <c r="E29" s="28">
        <f>LN(Index!E30/Index!E29)</f>
        <v>-4.1923730857022827E-2</v>
      </c>
      <c r="F29" s="28">
        <f>LN(Index!F30/Index!F29)</f>
        <v>-1.5160453025325213E-2</v>
      </c>
      <c r="G29" s="28">
        <f>LN(Index!G30/Index!G29)</f>
        <v>-2.5711345585918616E-2</v>
      </c>
      <c r="H29" s="28">
        <f>LN(Index!H30/Index!H29)</f>
        <v>-3.2660044943172317E-2</v>
      </c>
      <c r="I29" s="28">
        <f>LN(Index!I30/Index!I29)</f>
        <v>-7.1886179569347869E-2</v>
      </c>
      <c r="J29" s="28">
        <f>LN(Index!J30/Index!J29)</f>
        <v>-3.9528278078753913E-2</v>
      </c>
      <c r="K29" s="28">
        <f>LN(Index!K30/Index!K29)</f>
        <v>-3.7949579263117289E-2</v>
      </c>
      <c r="L29" s="28">
        <f>LN(Index!L30/Index!L29)</f>
        <v>-2.3987695427613538E-2</v>
      </c>
      <c r="M29" s="28">
        <f>LN(Index!M30/Index!M29)</f>
        <v>-1.5055720139314218E-2</v>
      </c>
      <c r="N29" s="28">
        <f>LN(Index!N30/Index!N29)</f>
        <v>-1.4669925031381141E-2</v>
      </c>
      <c r="R29" s="60" t="s">
        <v>37</v>
      </c>
      <c r="S29" s="60"/>
      <c r="T29" s="60"/>
      <c r="U29" s="60"/>
      <c r="V29" s="18"/>
      <c r="W29" s="18"/>
      <c r="X29" s="18"/>
      <c r="Y29" s="18"/>
    </row>
    <row r="30" spans="1:31" ht="15.75" thickBot="1">
      <c r="A30" s="15">
        <v>37827</v>
      </c>
      <c r="B30" s="28">
        <f>LN(Index!B31/Index!B30)</f>
        <v>1.4570032780985082E-2</v>
      </c>
      <c r="C30" s="28">
        <f>LN(Index!C31/Index!C30)</f>
        <v>-1.0272214565301364E-3</v>
      </c>
      <c r="D30" s="28">
        <f>LN(Index!D31/Index!D30)</f>
        <v>1.6670661020480298E-2</v>
      </c>
      <c r="E30" s="28">
        <f>LN(Index!E31/Index!E30)</f>
        <v>3.2506458150272623E-2</v>
      </c>
      <c r="F30" s="28">
        <f>LN(Index!F31/Index!F30)</f>
        <v>7.9031983714869403E-3</v>
      </c>
      <c r="G30" s="28">
        <f>LN(Index!G31/Index!G30)</f>
        <v>1.7224709375813212E-2</v>
      </c>
      <c r="H30" s="28">
        <f>LN(Index!H31/Index!H30)</f>
        <v>2.2125194276884131E-2</v>
      </c>
      <c r="I30" s="28">
        <f>LN(Index!I31/Index!I30)</f>
        <v>4.4438161399728948E-2</v>
      </c>
      <c r="J30" s="28">
        <f>LN(Index!J31/Index!J30)</f>
        <v>1.8967923604325931E-2</v>
      </c>
      <c r="K30" s="28">
        <f>LN(Index!K31/Index!K30)</f>
        <v>1.3395059319111401E-2</v>
      </c>
      <c r="L30" s="28">
        <f>LN(Index!L31/Index!L30)</f>
        <v>3.3417889233926523E-2</v>
      </c>
      <c r="M30" s="28">
        <f>LN(Index!M31/Index!M30)</f>
        <v>1.7733587234424593E-2</v>
      </c>
      <c r="N30" s="28">
        <f>LN(Index!N31/Index!N30)</f>
        <v>1.3083412739265228E-2</v>
      </c>
      <c r="R30" s="52"/>
      <c r="S30" s="52" t="s">
        <v>34</v>
      </c>
      <c r="T30" s="52" t="s">
        <v>35</v>
      </c>
      <c r="U30" s="52" t="s">
        <v>36</v>
      </c>
      <c r="V30" s="18"/>
      <c r="W30" s="18"/>
      <c r="X30" s="18"/>
      <c r="Y30" s="18"/>
    </row>
    <row r="31" spans="1:31" ht="15.75" thickTop="1">
      <c r="A31" s="15">
        <v>37834</v>
      </c>
      <c r="B31" s="28">
        <f>LN(Index!B32/Index!B31)</f>
        <v>-1.5568637087611897E-2</v>
      </c>
      <c r="C31" s="28">
        <f>LN(Index!C32/Index!C31)</f>
        <v>-1.7353330244274937E-2</v>
      </c>
      <c r="D31" s="28">
        <f>LN(Index!D32/Index!D31)</f>
        <v>7.806273935225292E-3</v>
      </c>
      <c r="E31" s="28">
        <f>LN(Index!E32/Index!E31)</f>
        <v>-3.8172984233135816E-2</v>
      </c>
      <c r="F31" s="28">
        <f>LN(Index!F32/Index!F31)</f>
        <v>-1.4086573489486517E-2</v>
      </c>
      <c r="G31" s="28">
        <f>LN(Index!G32/Index!G31)</f>
        <v>-3.1365288090168088E-3</v>
      </c>
      <c r="H31" s="28">
        <f>LN(Index!H32/Index!H31)</f>
        <v>-2.7392288265020343E-2</v>
      </c>
      <c r="I31" s="28">
        <f>LN(Index!I32/Index!I31)</f>
        <v>-6.3951820693068012E-2</v>
      </c>
      <c r="J31" s="28">
        <f>LN(Index!J32/Index!J31)</f>
        <v>-3.0282835087807148E-2</v>
      </c>
      <c r="K31" s="28">
        <f>LN(Index!K32/Index!K31)</f>
        <v>-1.6701426109037701E-2</v>
      </c>
      <c r="L31" s="28">
        <f>LN(Index!L32/Index!L31)</f>
        <v>-3.1306971491205149E-2</v>
      </c>
      <c r="M31" s="28">
        <f>LN(Index!M32/Index!M31)</f>
        <v>-1.0834981851839426E-2</v>
      </c>
      <c r="N31" s="28">
        <f>LN(Index!N32/Index!N31)</f>
        <v>-1.6278609012644194E-2</v>
      </c>
      <c r="R31" s="18" t="s">
        <v>29</v>
      </c>
      <c r="S31" s="20">
        <v>1.7719999999999999E-3</v>
      </c>
      <c r="T31" s="20">
        <v>1.273E-3</v>
      </c>
      <c r="U31" s="20">
        <v>1.3060000000000001E-3</v>
      </c>
      <c r="V31" s="18"/>
      <c r="W31" s="18"/>
      <c r="X31" s="18"/>
      <c r="Y31" s="18"/>
    </row>
    <row r="32" spans="1:31">
      <c r="A32" s="15">
        <v>37841</v>
      </c>
      <c r="B32" s="28">
        <f>LN(Index!B33/Index!B32)</f>
        <v>-2.7171612735866031E-3</v>
      </c>
      <c r="C32" s="28">
        <f>LN(Index!C33/Index!C32)</f>
        <v>1.1617262533787918E-2</v>
      </c>
      <c r="D32" s="28">
        <f>LN(Index!D33/Index!D32)</f>
        <v>-1.2217492019508034E-2</v>
      </c>
      <c r="E32" s="28">
        <f>LN(Index!E33/Index!E32)</f>
        <v>7.0633057921562778E-3</v>
      </c>
      <c r="F32" s="28">
        <f>LN(Index!F33/Index!F32)</f>
        <v>7.3418792506971392E-3</v>
      </c>
      <c r="G32" s="28">
        <f>LN(Index!G33/Index!G32)</f>
        <v>1.4002258395879609E-2</v>
      </c>
      <c r="H32" s="28">
        <f>LN(Index!H33/Index!H32)</f>
        <v>2.0735396819562754E-2</v>
      </c>
      <c r="I32" s="28">
        <f>LN(Index!I33/Index!I32)</f>
        <v>2.7243778252935183E-2</v>
      </c>
      <c r="J32" s="28">
        <f>LN(Index!J33/Index!J32)</f>
        <v>-1.315600618071929E-2</v>
      </c>
      <c r="K32" s="28">
        <f>LN(Index!K33/Index!K32)</f>
        <v>1.1621056195544486E-2</v>
      </c>
      <c r="L32" s="28">
        <f>LN(Index!L33/Index!L32)</f>
        <v>1.6056559138023358E-2</v>
      </c>
      <c r="M32" s="28">
        <f>LN(Index!M33/Index!M32)</f>
        <v>3.7073111639202546E-3</v>
      </c>
      <c r="N32" s="28">
        <f>LN(Index!N33/Index!N32)</f>
        <v>4.193254391434343E-4</v>
      </c>
      <c r="R32" s="18" t="s">
        <v>30</v>
      </c>
      <c r="S32" s="21">
        <v>2.2952E-2</v>
      </c>
      <c r="T32" s="21">
        <v>2.4926E-2</v>
      </c>
      <c r="U32" s="21">
        <v>2.8437E-2</v>
      </c>
      <c r="V32" s="18"/>
      <c r="W32" s="18"/>
      <c r="X32" s="18"/>
      <c r="Y32" s="18"/>
    </row>
    <row r="33" spans="1:25">
      <c r="A33" s="15">
        <v>37848</v>
      </c>
      <c r="B33" s="28">
        <f>LN(Index!B34/Index!B33)</f>
        <v>1.9012108125119012E-2</v>
      </c>
      <c r="C33" s="28">
        <f>LN(Index!C34/Index!C33)</f>
        <v>-1.1981064265858533E-2</v>
      </c>
      <c r="D33" s="28">
        <f>LN(Index!D34/Index!D33)</f>
        <v>2.0280340706816578E-2</v>
      </c>
      <c r="E33" s="28">
        <f>LN(Index!E34/Index!E33)</f>
        <v>-2.4481272169428843E-3</v>
      </c>
      <c r="F33" s="28">
        <f>LN(Index!F34/Index!F33)</f>
        <v>9.3623103208424381E-3</v>
      </c>
      <c r="G33" s="28">
        <f>LN(Index!G34/Index!G33)</f>
        <v>2.4282123064784519E-3</v>
      </c>
      <c r="H33" s="28">
        <f>LN(Index!H34/Index!H33)</f>
        <v>-7.6140084217305058E-3</v>
      </c>
      <c r="I33" s="28">
        <f>LN(Index!I34/Index!I33)</f>
        <v>-1.0488797150737155E-2</v>
      </c>
      <c r="J33" s="28">
        <f>LN(Index!J34/Index!J33)</f>
        <v>-9.6477690756941285E-3</v>
      </c>
      <c r="K33" s="28">
        <f>LN(Index!K34/Index!K33)</f>
        <v>2.2496391078409724E-2</v>
      </c>
      <c r="L33" s="28">
        <f>LN(Index!L34/Index!L33)</f>
        <v>3.480240672942312E-2</v>
      </c>
      <c r="M33" s="28">
        <f>LN(Index!M34/Index!M33)</f>
        <v>3.3511560923846595E-3</v>
      </c>
      <c r="N33" s="28">
        <f>LN(Index!N34/Index!N33)</f>
        <v>1.5195249091096354E-2</v>
      </c>
      <c r="R33" s="18" t="s">
        <v>31</v>
      </c>
      <c r="S33" s="21">
        <v>-1.4435549999999999</v>
      </c>
      <c r="T33" s="21">
        <v>-1.852989</v>
      </c>
      <c r="U33" s="21">
        <v>-2.0713900000000001</v>
      </c>
      <c r="V33" s="18"/>
      <c r="W33" s="18"/>
      <c r="X33" s="18"/>
      <c r="Y33" s="18"/>
    </row>
    <row r="34" spans="1:25">
      <c r="A34" s="15">
        <v>37855</v>
      </c>
      <c r="B34" s="28">
        <f>LN(Index!B35/Index!B34)</f>
        <v>2.766315205260939E-3</v>
      </c>
      <c r="C34" s="28">
        <f>LN(Index!C35/Index!C34)</f>
        <v>-2.2744331073552417E-4</v>
      </c>
      <c r="D34" s="28">
        <f>LN(Index!D35/Index!D34)</f>
        <v>2.586710764105677E-2</v>
      </c>
      <c r="E34" s="28">
        <f>LN(Index!E35/Index!E34)</f>
        <v>-2.5763196376687003E-2</v>
      </c>
      <c r="F34" s="28">
        <f>LN(Index!F35/Index!F34)</f>
        <v>3.5947156504586124E-3</v>
      </c>
      <c r="G34" s="28">
        <f>LN(Index!G35/Index!G34)</f>
        <v>-1.0420160579056658E-2</v>
      </c>
      <c r="H34" s="28">
        <f>LN(Index!H35/Index!H34)</f>
        <v>3.2324587922630582E-3</v>
      </c>
      <c r="I34" s="28">
        <f>LN(Index!I35/Index!I34)</f>
        <v>-2.0569536693098942E-2</v>
      </c>
      <c r="J34" s="28">
        <f>LN(Index!J35/Index!J34)</f>
        <v>-2.3367752645407913E-2</v>
      </c>
      <c r="K34" s="28">
        <f>LN(Index!K35/Index!K34)</f>
        <v>-1.8834773859350559E-2</v>
      </c>
      <c r="L34" s="28">
        <f>LN(Index!L35/Index!L34)</f>
        <v>5.4376191949229082E-2</v>
      </c>
      <c r="M34" s="28">
        <f>LN(Index!M35/Index!M34)</f>
        <v>-3.4745161109836852E-2</v>
      </c>
      <c r="N34" s="28">
        <f>LN(Index!N35/Index!N34)</f>
        <v>-1.2037730077324419E-2</v>
      </c>
      <c r="R34" s="18" t="s">
        <v>32</v>
      </c>
      <c r="S34" s="21">
        <v>18.41517</v>
      </c>
      <c r="T34" s="21">
        <v>18.873439999999999</v>
      </c>
      <c r="U34" s="21">
        <v>20.655480000000001</v>
      </c>
      <c r="V34" s="18"/>
      <c r="W34" s="18"/>
      <c r="X34" s="18"/>
      <c r="Y34" s="18"/>
    </row>
    <row r="35" spans="1:25">
      <c r="A35" s="15">
        <v>37862</v>
      </c>
      <c r="B35" s="28">
        <f>LN(Index!B36/Index!B35)</f>
        <v>8.4079782758788094E-3</v>
      </c>
      <c r="C35" s="28">
        <f>LN(Index!C36/Index!C35)</f>
        <v>2.7712804234136224E-3</v>
      </c>
      <c r="D35" s="28">
        <f>LN(Index!D36/Index!D35)</f>
        <v>5.442330011499923E-3</v>
      </c>
      <c r="E35" s="28">
        <f>LN(Index!E36/Index!E35)</f>
        <v>-8.0049090494058277E-3</v>
      </c>
      <c r="F35" s="28">
        <f>LN(Index!F36/Index!F35)</f>
        <v>1.1381978858348109E-2</v>
      </c>
      <c r="G35" s="28">
        <f>LN(Index!G36/Index!G35)</f>
        <v>-1.6065626684193646E-2</v>
      </c>
      <c r="H35" s="28">
        <f>LN(Index!H36/Index!H35)</f>
        <v>-6.3689073979672235E-3</v>
      </c>
      <c r="I35" s="28">
        <f>LN(Index!I36/Index!I35)</f>
        <v>-1.5531301310872244E-2</v>
      </c>
      <c r="J35" s="28">
        <f>LN(Index!J36/Index!J35)</f>
        <v>-2.6328097080008371E-3</v>
      </c>
      <c r="K35" s="28">
        <f>LN(Index!K36/Index!K35)</f>
        <v>1.5128219018554196E-2</v>
      </c>
      <c r="L35" s="28">
        <f>LN(Index!L36/Index!L35)</f>
        <v>3.9457131581475513E-2</v>
      </c>
      <c r="M35" s="28">
        <f>LN(Index!M36/Index!M35)</f>
        <v>-8.2232061681263933E-3</v>
      </c>
      <c r="N35" s="28">
        <f>LN(Index!N36/Index!N35)</f>
        <v>8.3506092254121804E-3</v>
      </c>
      <c r="R35" s="45" t="s">
        <v>33</v>
      </c>
      <c r="S35" s="62">
        <v>7481.366</v>
      </c>
      <c r="T35" s="62">
        <v>8081.7209999999995</v>
      </c>
      <c r="U35" s="62">
        <v>10003.39</v>
      </c>
      <c r="V35" s="18"/>
      <c r="W35" s="18"/>
      <c r="X35" s="18"/>
      <c r="Y35" s="18"/>
    </row>
    <row r="36" spans="1:25">
      <c r="A36" s="15">
        <v>37869</v>
      </c>
      <c r="B36" s="28">
        <f>LN(Index!B37/Index!B36)</f>
        <v>1.9199907151306195E-2</v>
      </c>
      <c r="C36" s="28">
        <f>LN(Index!C37/Index!C36)</f>
        <v>-2.5438371126780229E-3</v>
      </c>
      <c r="D36" s="28">
        <f>LN(Index!D37/Index!D36)</f>
        <v>1.4941579998199141E-2</v>
      </c>
      <c r="E36" s="28">
        <f>LN(Index!E37/Index!E36)</f>
        <v>1.2201493929761794E-2</v>
      </c>
      <c r="F36" s="28">
        <f>LN(Index!F37/Index!F36)</f>
        <v>1.1669556793267397E-2</v>
      </c>
      <c r="G36" s="28">
        <f>LN(Index!G37/Index!G36)</f>
        <v>9.9041972837501466E-3</v>
      </c>
      <c r="H36" s="28">
        <f>LN(Index!H37/Index!H36)</f>
        <v>4.3034584349410532E-3</v>
      </c>
      <c r="I36" s="28">
        <f>LN(Index!I37/Index!I36)</f>
        <v>3.7647847680502625E-2</v>
      </c>
      <c r="J36" s="28">
        <f>LN(Index!J37/Index!J36)</f>
        <v>6.611314130477856E-3</v>
      </c>
      <c r="K36" s="28">
        <f>LN(Index!K37/Index!K36)</f>
        <v>3.917274047153365E-2</v>
      </c>
      <c r="L36" s="28">
        <f>LN(Index!L37/Index!L36)</f>
        <v>1.7150288635101091E-3</v>
      </c>
      <c r="M36" s="28">
        <f>LN(Index!M37/Index!M36)</f>
        <v>1.0348728050560432E-2</v>
      </c>
      <c r="N36" s="28">
        <f>LN(Index!N37/Index!N36)</f>
        <v>1.1475175971130781E-2</v>
      </c>
      <c r="R36" s="18"/>
      <c r="S36" s="18"/>
      <c r="T36" s="18"/>
      <c r="U36" s="18"/>
      <c r="V36" s="18"/>
      <c r="W36" s="18"/>
      <c r="X36" s="18"/>
      <c r="Y36" s="18"/>
    </row>
    <row r="37" spans="1:25">
      <c r="A37" s="15">
        <v>37876</v>
      </c>
      <c r="B37" s="28">
        <f>LN(Index!B38/Index!B37)</f>
        <v>1.3002069514376913E-4</v>
      </c>
      <c r="C37" s="28">
        <f>LN(Index!C38/Index!C37)</f>
        <v>1.1621465214921174E-2</v>
      </c>
      <c r="D37" s="28">
        <f>LN(Index!D38/Index!D37)</f>
        <v>1.008369552015781E-3</v>
      </c>
      <c r="E37" s="28">
        <f>LN(Index!E38/Index!E37)</f>
        <v>1.6452833973801137E-2</v>
      </c>
      <c r="F37" s="28">
        <f>LN(Index!F38/Index!F37)</f>
        <v>1.2027396220996749E-3</v>
      </c>
      <c r="G37" s="28">
        <f>LN(Index!G38/Index!G37)</f>
        <v>1.92458309775866E-2</v>
      </c>
      <c r="H37" s="28">
        <f>LN(Index!H38/Index!H37)</f>
        <v>1.6864196128563536E-2</v>
      </c>
      <c r="I37" s="28">
        <f>LN(Index!I38/Index!I37)</f>
        <v>2.3198911343593722E-2</v>
      </c>
      <c r="J37" s="28">
        <f>LN(Index!J38/Index!J37)</f>
        <v>1.8083372634449844E-2</v>
      </c>
      <c r="K37" s="28">
        <f>LN(Index!K38/Index!K37)</f>
        <v>2.3677129716427454E-2</v>
      </c>
      <c r="L37" s="28">
        <f>LN(Index!L38/Index!L37)</f>
        <v>-4.6773033720288647E-2</v>
      </c>
      <c r="M37" s="28">
        <f>LN(Index!M38/Index!M37)</f>
        <v>1.4939975901363702E-2</v>
      </c>
      <c r="N37" s="28">
        <f>LN(Index!N38/Index!N37)</f>
        <v>7.1251714524450078E-5</v>
      </c>
      <c r="R37" s="60" t="s">
        <v>38</v>
      </c>
      <c r="S37" s="60"/>
      <c r="T37" s="60"/>
      <c r="U37" s="60"/>
      <c r="V37" s="60"/>
      <c r="W37" s="60"/>
      <c r="X37" s="60"/>
      <c r="Y37" s="60"/>
    </row>
    <row r="38" spans="1:25" ht="15.75" thickBot="1">
      <c r="A38" s="15">
        <v>37883</v>
      </c>
      <c r="B38" s="28">
        <f>LN(Index!B39/Index!B38)</f>
        <v>2.0896298729888879E-2</v>
      </c>
      <c r="C38" s="28">
        <f>LN(Index!C39/Index!C38)</f>
        <v>9.6195457787538238E-3</v>
      </c>
      <c r="D38" s="28">
        <f>LN(Index!D39/Index!D38)</f>
        <v>1.3613823870915876E-2</v>
      </c>
      <c r="E38" s="28">
        <f>LN(Index!E39/Index!E38)</f>
        <v>2.8205232868351061E-2</v>
      </c>
      <c r="F38" s="28">
        <f>LN(Index!F39/Index!F38)</f>
        <v>7.1432875792773673E-3</v>
      </c>
      <c r="G38" s="28">
        <f>LN(Index!G39/Index!G38)</f>
        <v>1.5876482488900726E-2</v>
      </c>
      <c r="H38" s="28">
        <f>LN(Index!H39/Index!H38)</f>
        <v>2.65936183736699E-2</v>
      </c>
      <c r="I38" s="28">
        <f>LN(Index!I39/Index!I38)</f>
        <v>4.1297301090092116E-2</v>
      </c>
      <c r="J38" s="28">
        <f>LN(Index!J39/Index!J38)</f>
        <v>2.1270957575389427E-2</v>
      </c>
      <c r="K38" s="28">
        <f>LN(Index!K39/Index!K38)</f>
        <v>3.7872762187805206E-2</v>
      </c>
      <c r="L38" s="28">
        <f>LN(Index!L39/Index!L38)</f>
        <v>-2.8521173419254035E-2</v>
      </c>
      <c r="M38" s="28">
        <f>LN(Index!M39/Index!M38)</f>
        <v>3.0842609883962049E-3</v>
      </c>
      <c r="N38" s="28">
        <f>LN(Index!N39/Index!N38)</f>
        <v>1.2804861456558686E-2</v>
      </c>
      <c r="R38" s="52"/>
      <c r="S38" s="52" t="s">
        <v>20</v>
      </c>
      <c r="T38" s="52" t="s">
        <v>23</v>
      </c>
      <c r="U38" s="52" t="s">
        <v>19</v>
      </c>
      <c r="V38" s="52" t="s">
        <v>18</v>
      </c>
      <c r="W38" s="52" t="s">
        <v>22</v>
      </c>
      <c r="X38" s="52" t="s">
        <v>24</v>
      </c>
      <c r="Y38" s="52" t="s">
        <v>21</v>
      </c>
    </row>
    <row r="39" spans="1:25" ht="15.75" thickTop="1">
      <c r="A39" s="15">
        <v>37890</v>
      </c>
      <c r="B39" s="28">
        <f>LN(Index!B40/Index!B39)</f>
        <v>-3.266639722857434E-2</v>
      </c>
      <c r="C39" s="28">
        <f>LN(Index!C40/Index!C39)</f>
        <v>1.0541799356203228E-2</v>
      </c>
      <c r="D39" s="28">
        <f>LN(Index!D40/Index!D39)</f>
        <v>5.453387170260361E-3</v>
      </c>
      <c r="E39" s="28">
        <f>LN(Index!E40/Index!E39)</f>
        <v>7.467876132961856E-3</v>
      </c>
      <c r="F39" s="28">
        <f>LN(Index!F40/Index!F39)</f>
        <v>-1.4137658139454697E-2</v>
      </c>
      <c r="G39" s="28">
        <f>LN(Index!G40/Index!G39)</f>
        <v>1.1491702489521891E-2</v>
      </c>
      <c r="H39" s="28">
        <f>LN(Index!H40/Index!H39)</f>
        <v>5.1743021046524564E-3</v>
      </c>
      <c r="I39" s="28">
        <f>LN(Index!I40/Index!I39)</f>
        <v>-9.6513351006676049E-3</v>
      </c>
      <c r="J39" s="28">
        <f>LN(Index!J40/Index!J39)</f>
        <v>1.3973410142319573E-2</v>
      </c>
      <c r="K39" s="28">
        <f>LN(Index!K40/Index!K39)</f>
        <v>6.302345055407753E-3</v>
      </c>
      <c r="L39" s="28">
        <f>LN(Index!L40/Index!L39)</f>
        <v>-5.8216464935084755E-2</v>
      </c>
      <c r="M39" s="28">
        <f>LN(Index!M40/Index!M39)</f>
        <v>1.4404209933771735E-2</v>
      </c>
      <c r="N39" s="28">
        <f>LN(Index!N40/Index!N39)</f>
        <v>-1.2885019992372307E-2</v>
      </c>
      <c r="R39" s="24" t="s">
        <v>29</v>
      </c>
      <c r="S39" s="20">
        <v>2.2439999999999999E-3</v>
      </c>
      <c r="T39" s="20">
        <v>4.254E-3</v>
      </c>
      <c r="U39" s="20">
        <v>1.1839999999999999E-3</v>
      </c>
      <c r="V39" s="20">
        <v>1.552E-3</v>
      </c>
      <c r="W39" s="20">
        <v>6.5799999999999995E-4</v>
      </c>
      <c r="X39" s="20">
        <v>1.189E-3</v>
      </c>
      <c r="Y39" s="20">
        <v>1.575E-3</v>
      </c>
    </row>
    <row r="40" spans="1:25">
      <c r="A40" s="15">
        <v>37897</v>
      </c>
      <c r="B40" s="28">
        <f>LN(Index!B41/Index!B40)</f>
        <v>3.4521478827612098E-2</v>
      </c>
      <c r="C40" s="28">
        <f>LN(Index!C41/Index!C40)</f>
        <v>6.018160446813932E-3</v>
      </c>
      <c r="D40" s="28">
        <f>LN(Index!D41/Index!D40)</f>
        <v>4.6466078202301614E-2</v>
      </c>
      <c r="E40" s="28">
        <f>LN(Index!E41/Index!E40)</f>
        <v>-3.1767271314163138E-4</v>
      </c>
      <c r="F40" s="28">
        <f>LN(Index!F41/Index!F40)</f>
        <v>2.4311711311319081E-2</v>
      </c>
      <c r="G40" s="28">
        <f>LN(Index!G41/Index!G40)</f>
        <v>3.5712621691576282E-2</v>
      </c>
      <c r="H40" s="28">
        <f>LN(Index!H41/Index!H40)</f>
        <v>5.6097597549045414E-3</v>
      </c>
      <c r="I40" s="28">
        <f>LN(Index!I41/Index!I40)</f>
        <v>-2.6431986581891983E-3</v>
      </c>
      <c r="J40" s="28">
        <f>LN(Index!J41/Index!J40)</f>
        <v>-2.044478117659081E-3</v>
      </c>
      <c r="K40" s="28">
        <f>LN(Index!K41/Index!K40)</f>
        <v>-6.8407352816751968E-3</v>
      </c>
      <c r="L40" s="28">
        <f>LN(Index!L41/Index!L40)</f>
        <v>9.3434567694431314E-2</v>
      </c>
      <c r="M40" s="28">
        <f>LN(Index!M41/Index!M40)</f>
        <v>2.1704176826244686E-2</v>
      </c>
      <c r="N40" s="28">
        <f>LN(Index!N41/Index!N40)</f>
        <v>1.9414317562674401E-2</v>
      </c>
      <c r="R40" s="24" t="s">
        <v>30</v>
      </c>
      <c r="S40" s="21">
        <v>2.9044E-2</v>
      </c>
      <c r="T40" s="21">
        <v>3.5784999999999997E-2</v>
      </c>
      <c r="U40" s="21">
        <v>2.1923000000000002E-2</v>
      </c>
      <c r="V40" s="21">
        <v>2.2952E-2</v>
      </c>
      <c r="W40" s="21">
        <v>3.9781999999999998E-2</v>
      </c>
      <c r="X40" s="21">
        <v>2.9047E-2</v>
      </c>
      <c r="Y40" s="21">
        <v>2.6294999999999999E-2</v>
      </c>
    </row>
    <row r="41" spans="1:25">
      <c r="A41" s="15">
        <v>37904</v>
      </c>
      <c r="B41" s="28">
        <f>LN(Index!B42/Index!B41)</f>
        <v>1.267051941780749E-2</v>
      </c>
      <c r="C41" s="28">
        <f>LN(Index!C42/Index!C41)</f>
        <v>-6.3266324113621366E-3</v>
      </c>
      <c r="D41" s="28">
        <f>LN(Index!D42/Index!D41)</f>
        <v>1.6383833224408995E-2</v>
      </c>
      <c r="E41" s="28">
        <f>LN(Index!E42/Index!E41)</f>
        <v>8.9714208289894057E-3</v>
      </c>
      <c r="F41" s="28">
        <f>LN(Index!F42/Index!F41)</f>
        <v>1.2265221123182136E-2</v>
      </c>
      <c r="G41" s="28">
        <f>LN(Index!G42/Index!G41)</f>
        <v>2.1337389715412006E-2</v>
      </c>
      <c r="H41" s="28">
        <f>LN(Index!H42/Index!H41)</f>
        <v>-5.9532079784106549E-3</v>
      </c>
      <c r="I41" s="28">
        <f>LN(Index!I42/Index!I41)</f>
        <v>2.2313231635681805E-2</v>
      </c>
      <c r="J41" s="28">
        <f>LN(Index!J42/Index!J41)</f>
        <v>-4.3147781819844171E-4</v>
      </c>
      <c r="K41" s="28">
        <f>LN(Index!K42/Index!K41)</f>
        <v>-1.8807759110946453E-4</v>
      </c>
      <c r="L41" s="28">
        <f>LN(Index!L42/Index!L41)</f>
        <v>4.8784646749557958E-2</v>
      </c>
      <c r="M41" s="28">
        <f>LN(Index!M42/Index!M41)</f>
        <v>3.3787722791556993E-2</v>
      </c>
      <c r="N41" s="28">
        <f>LN(Index!N42/Index!N41)</f>
        <v>1.1672270500564467E-2</v>
      </c>
      <c r="R41" s="24" t="s">
        <v>31</v>
      </c>
      <c r="S41" s="21">
        <v>-1.4956130000000001</v>
      </c>
      <c r="T41" s="21">
        <v>-0.18718199999999999</v>
      </c>
      <c r="U41" s="21">
        <v>-2.2514240000000001</v>
      </c>
      <c r="V41" s="21">
        <v>-1.895313</v>
      </c>
      <c r="W41" s="21">
        <v>-0.88318700000000006</v>
      </c>
      <c r="X41" s="21">
        <v>-1.2728470000000001</v>
      </c>
      <c r="Y41" s="21">
        <v>-1.084014</v>
      </c>
    </row>
    <row r="42" spans="1:25">
      <c r="A42" s="15">
        <v>37911</v>
      </c>
      <c r="B42" s="28">
        <f>LN(Index!B43/Index!B42)</f>
        <v>3.299058167837154E-3</v>
      </c>
      <c r="C42" s="28">
        <f>LN(Index!C43/Index!C42)</f>
        <v>-4.7713808214974616E-3</v>
      </c>
      <c r="D42" s="28">
        <f>LN(Index!D43/Index!D42)</f>
        <v>-2.4172566623384397E-3</v>
      </c>
      <c r="E42" s="28">
        <f>LN(Index!E43/Index!E42)</f>
        <v>5.1869063921516686E-3</v>
      </c>
      <c r="F42" s="28">
        <f>LN(Index!F43/Index!F42)</f>
        <v>-3.1027592339278108E-3</v>
      </c>
      <c r="G42" s="28">
        <f>LN(Index!G43/Index!G42)</f>
        <v>-1.9763617938805118E-2</v>
      </c>
      <c r="H42" s="28">
        <f>LN(Index!H43/Index!H42)</f>
        <v>-5.7652815106882015E-3</v>
      </c>
      <c r="I42" s="28">
        <f>LN(Index!I43/Index!I42)</f>
        <v>2.1733029631484236E-3</v>
      </c>
      <c r="J42" s="28">
        <f>LN(Index!J43/Index!J42)</f>
        <v>1.762843844061647E-2</v>
      </c>
      <c r="K42" s="28">
        <f>LN(Index!K43/Index!K42)</f>
        <v>2.4817306563789884E-2</v>
      </c>
      <c r="L42" s="28">
        <f>LN(Index!L43/Index!L42)</f>
        <v>3.9946590836336801E-3</v>
      </c>
      <c r="M42" s="28">
        <f>LN(Index!M43/Index!M42)</f>
        <v>-9.998719850062298E-3</v>
      </c>
      <c r="N42" s="28">
        <f>LN(Index!N43/Index!N42)</f>
        <v>-2.5503491373936034E-3</v>
      </c>
      <c r="R42" s="24" t="s">
        <v>32</v>
      </c>
      <c r="S42" s="21">
        <v>14.998570000000001</v>
      </c>
      <c r="T42" s="21">
        <v>9.4882120000000008</v>
      </c>
      <c r="U42" s="21">
        <v>29.073399999999999</v>
      </c>
      <c r="V42" s="21">
        <v>20.83023</v>
      </c>
      <c r="W42" s="21">
        <v>13.32807</v>
      </c>
      <c r="X42" s="21">
        <v>11.10364</v>
      </c>
      <c r="Y42" s="21">
        <v>17.790379999999999</v>
      </c>
    </row>
    <row r="43" spans="1:25">
      <c r="A43" s="15">
        <v>37918</v>
      </c>
      <c r="B43" s="28">
        <f>LN(Index!B44/Index!B43)</f>
        <v>-1.3980516760787489E-2</v>
      </c>
      <c r="C43" s="28">
        <f>LN(Index!C44/Index!C43)</f>
        <v>5.6084405879751279E-3</v>
      </c>
      <c r="D43" s="28">
        <f>LN(Index!D44/Index!D43)</f>
        <v>-2.173691794215071E-2</v>
      </c>
      <c r="E43" s="28">
        <f>LN(Index!E44/Index!E43)</f>
        <v>9.1468949817418137E-3</v>
      </c>
      <c r="F43" s="28">
        <f>LN(Index!F44/Index!F43)</f>
        <v>-3.915286412448587E-3</v>
      </c>
      <c r="G43" s="28">
        <f>LN(Index!G44/Index!G43)</f>
        <v>2.0107765638921648E-2</v>
      </c>
      <c r="H43" s="28">
        <f>LN(Index!H44/Index!H43)</f>
        <v>1.2932977169806069E-2</v>
      </c>
      <c r="I43" s="28">
        <f>LN(Index!I44/Index!I43)</f>
        <v>-1.778085568034484E-4</v>
      </c>
      <c r="J43" s="28">
        <f>LN(Index!J44/Index!J43)</f>
        <v>1.6615300456958564E-2</v>
      </c>
      <c r="K43" s="28">
        <f>LN(Index!K44/Index!K43)</f>
        <v>9.2481025733653962E-3</v>
      </c>
      <c r="L43" s="28">
        <f>LN(Index!L44/Index!L43)</f>
        <v>-1.9200708229026538E-2</v>
      </c>
      <c r="M43" s="28">
        <f>LN(Index!M44/Index!M43)</f>
        <v>1.23926323282623E-2</v>
      </c>
      <c r="N43" s="28">
        <f>LN(Index!N44/Index!N43)</f>
        <v>-8.0305660973226441E-3</v>
      </c>
      <c r="R43" s="61" t="s">
        <v>33</v>
      </c>
      <c r="S43" s="62">
        <v>4651.1109999999999</v>
      </c>
      <c r="T43" s="62">
        <v>1284.71</v>
      </c>
      <c r="U43" s="62">
        <v>21294.63</v>
      </c>
      <c r="V43" s="62">
        <v>10107.030000000001</v>
      </c>
      <c r="W43" s="62">
        <v>3339.4180000000001</v>
      </c>
      <c r="X43" s="62">
        <v>2194.5479999999998</v>
      </c>
      <c r="Y43" s="62">
        <v>6796.7740000000003</v>
      </c>
    </row>
    <row r="44" spans="1:25">
      <c r="A44" s="15">
        <v>37925</v>
      </c>
      <c r="B44" s="28">
        <f>LN(Index!B45/Index!B44)</f>
        <v>1.739338282017109E-2</v>
      </c>
      <c r="C44" s="28">
        <f>LN(Index!C45/Index!C44)</f>
        <v>-1.321207585653275E-4</v>
      </c>
      <c r="D44" s="28">
        <f>LN(Index!D45/Index!D44)</f>
        <v>6.3534422623828775E-3</v>
      </c>
      <c r="E44" s="28">
        <f>LN(Index!E45/Index!E44)</f>
        <v>-3.9300928493655237E-3</v>
      </c>
      <c r="F44" s="28">
        <f>LN(Index!F45/Index!F44)</f>
        <v>1.5877942621167644E-2</v>
      </c>
      <c r="G44" s="28">
        <f>LN(Index!G45/Index!G44)</f>
        <v>-2.4905719295360848E-3</v>
      </c>
      <c r="H44" s="28">
        <f>LN(Index!H45/Index!H44)</f>
        <v>-9.1093849315156405E-3</v>
      </c>
      <c r="I44" s="28">
        <f>LN(Index!I45/Index!I44)</f>
        <v>-6.4599183053961479E-4</v>
      </c>
      <c r="J44" s="28">
        <f>LN(Index!J45/Index!J44)</f>
        <v>8.1427303385529833E-3</v>
      </c>
      <c r="K44" s="28">
        <f>LN(Index!K45/Index!K44)</f>
        <v>1.7115021714261044E-2</v>
      </c>
      <c r="L44" s="28">
        <f>LN(Index!L45/Index!L44)</f>
        <v>9.9588454553772826E-2</v>
      </c>
      <c r="M44" s="28">
        <f>LN(Index!M45/Index!M44)</f>
        <v>-1.1532757603916357E-2</v>
      </c>
      <c r="N44" s="28">
        <f>LN(Index!N45/Index!N44)</f>
        <v>1.0744952272920232E-2</v>
      </c>
    </row>
    <row r="45" spans="1:25">
      <c r="A45" s="15">
        <v>37932</v>
      </c>
      <c r="B45" s="28">
        <f>LN(Index!B46/Index!B45)</f>
        <v>4.7874746887770023E-3</v>
      </c>
      <c r="C45" s="28">
        <f>LN(Index!C46/Index!C45)</f>
        <v>-7.7817963549087687E-3</v>
      </c>
      <c r="D45" s="28">
        <f>LN(Index!D46/Index!D45)</f>
        <v>6.8767639470481362E-3</v>
      </c>
      <c r="E45" s="28">
        <f>LN(Index!E46/Index!E45)</f>
        <v>1.0576940392751614E-2</v>
      </c>
      <c r="F45" s="28">
        <f>LN(Index!F46/Index!F45)</f>
        <v>7.1227203174492014E-3</v>
      </c>
      <c r="G45" s="28">
        <f>LN(Index!G46/Index!G45)</f>
        <v>-1.604589479916603E-2</v>
      </c>
      <c r="H45" s="28">
        <f>LN(Index!H46/Index!H45)</f>
        <v>9.5506513733433634E-3</v>
      </c>
      <c r="I45" s="28">
        <f>LN(Index!I46/Index!I45)</f>
        <v>1.1305237509165768E-2</v>
      </c>
      <c r="J45" s="28">
        <f>LN(Index!J46/Index!J45)</f>
        <v>9.4978022825572099E-3</v>
      </c>
      <c r="K45" s="28">
        <f>LN(Index!K46/Index!K45)</f>
        <v>1.6523442567367468E-2</v>
      </c>
      <c r="L45" s="28">
        <f>LN(Index!L46/Index!L45)</f>
        <v>4.2168986597860151E-3</v>
      </c>
      <c r="M45" s="28">
        <f>LN(Index!M46/Index!M45)</f>
        <v>-6.9074489353893121E-3</v>
      </c>
      <c r="N45" s="28">
        <f>LN(Index!N46/Index!N45)</f>
        <v>7.8851266920763798E-3</v>
      </c>
    </row>
    <row r="46" spans="1:25">
      <c r="A46" s="15">
        <v>37939</v>
      </c>
      <c r="B46" s="28">
        <f>LN(Index!B47/Index!B46)</f>
        <v>2.7769909708634374E-3</v>
      </c>
      <c r="C46" s="28">
        <f>LN(Index!C47/Index!C46)</f>
        <v>1.1299056520840187E-2</v>
      </c>
      <c r="D46" s="28">
        <f>LN(Index!D47/Index!D46)</f>
        <v>-1.1271840381873871E-3</v>
      </c>
      <c r="E46" s="28">
        <f>LN(Index!E47/Index!E46)</f>
        <v>1.0734353696019085E-2</v>
      </c>
      <c r="F46" s="28">
        <f>LN(Index!F47/Index!F46)</f>
        <v>-7.8219686540094372E-3</v>
      </c>
      <c r="G46" s="28">
        <f>LN(Index!G47/Index!G46)</f>
        <v>2.1206752632660822E-2</v>
      </c>
      <c r="H46" s="28">
        <f>LN(Index!H47/Index!H46)</f>
        <v>-6.9928595862420876E-3</v>
      </c>
      <c r="I46" s="28">
        <f>LN(Index!I47/Index!I46)</f>
        <v>2.0711504445460115E-2</v>
      </c>
      <c r="J46" s="28">
        <f>LN(Index!J47/Index!J46)</f>
        <v>5.5685039600394722E-3</v>
      </c>
      <c r="K46" s="28">
        <f>LN(Index!K47/Index!K46)</f>
        <v>-6.5975620796370083E-3</v>
      </c>
      <c r="L46" s="28">
        <f>LN(Index!L47/Index!L46)</f>
        <v>-7.7806797561679478E-2</v>
      </c>
      <c r="M46" s="28">
        <f>LN(Index!M47/Index!M46)</f>
        <v>2.136083733892603E-2</v>
      </c>
      <c r="N46" s="28">
        <f>LN(Index!N47/Index!N46)</f>
        <v>1.0284904157051439E-2</v>
      </c>
    </row>
    <row r="47" spans="1:25">
      <c r="A47" s="15">
        <v>37946</v>
      </c>
      <c r="B47" s="28">
        <f>LN(Index!B48/Index!B47)</f>
        <v>-1.4579697511097521E-2</v>
      </c>
      <c r="C47" s="28">
        <f>LN(Index!C48/Index!C47)</f>
        <v>7.7382509557744616E-3</v>
      </c>
      <c r="D47" s="28">
        <f>LN(Index!D48/Index!D47)</f>
        <v>-1.8497088904969199E-2</v>
      </c>
      <c r="E47" s="28">
        <f>LN(Index!E48/Index!E47)</f>
        <v>1.5046569548838963E-2</v>
      </c>
      <c r="F47" s="28">
        <f>LN(Index!F48/Index!F47)</f>
        <v>-7.3382249597838184E-3</v>
      </c>
      <c r="G47" s="28">
        <f>LN(Index!G48/Index!G47)</f>
        <v>2.5370354647615608E-2</v>
      </c>
      <c r="H47" s="28">
        <f>LN(Index!H48/Index!H47)</f>
        <v>1.4564264395755682E-2</v>
      </c>
      <c r="I47" s="28">
        <f>LN(Index!I48/Index!I47)</f>
        <v>-2.0572614913340944E-2</v>
      </c>
      <c r="J47" s="28">
        <f>LN(Index!J48/Index!J47)</f>
        <v>2.0215405288601836E-2</v>
      </c>
      <c r="K47" s="28">
        <f>LN(Index!K48/Index!K47)</f>
        <v>-1.8500569146360086E-4</v>
      </c>
      <c r="L47" s="28">
        <f>LN(Index!L48/Index!L47)</f>
        <v>-2.4608732119707774E-3</v>
      </c>
      <c r="M47" s="28">
        <f>LN(Index!M48/Index!M47)</f>
        <v>2.0906736523414883E-2</v>
      </c>
      <c r="N47" s="28">
        <f>LN(Index!N48/Index!N47)</f>
        <v>-3.1075438072747227E-3</v>
      </c>
    </row>
    <row r="48" spans="1:25">
      <c r="A48" s="15">
        <v>37953</v>
      </c>
      <c r="B48" s="28">
        <f>LN(Index!B49/Index!B48)</f>
        <v>2.074608567594461E-2</v>
      </c>
      <c r="C48" s="28">
        <f>LN(Index!C49/Index!C48)</f>
        <v>-2.3544811400092974E-3</v>
      </c>
      <c r="D48" s="28">
        <f>LN(Index!D49/Index!D48)</f>
        <v>2.6081039865573582E-2</v>
      </c>
      <c r="E48" s="28">
        <f>LN(Index!E49/Index!E48)</f>
        <v>1.262294561420594E-2</v>
      </c>
      <c r="F48" s="28">
        <f>LN(Index!F49/Index!F48)</f>
        <v>2.0795775216687875E-2</v>
      </c>
      <c r="G48" s="28">
        <f>LN(Index!G49/Index!G48)</f>
        <v>1.4636543292775051E-4</v>
      </c>
      <c r="H48" s="28">
        <f>LN(Index!H49/Index!H48)</f>
        <v>1.360941726993342E-2</v>
      </c>
      <c r="I48" s="28">
        <f>LN(Index!I49/Index!I48)</f>
        <v>1.0206332092318157E-2</v>
      </c>
      <c r="J48" s="28">
        <f>LN(Index!J49/Index!J48)</f>
        <v>2.3223131258118763E-2</v>
      </c>
      <c r="K48" s="28">
        <f>LN(Index!K49/Index!K48)</f>
        <v>-9.2554221244289618E-4</v>
      </c>
      <c r="L48" s="28">
        <f>LN(Index!L49/Index!L48)</f>
        <v>5.3498426110754324E-2</v>
      </c>
      <c r="M48" s="28">
        <f>LN(Index!M49/Index!M48)</f>
        <v>1.6420610636063097E-2</v>
      </c>
      <c r="N48" s="28">
        <f>LN(Index!N49/Index!N48)</f>
        <v>9.3275099428897206E-3</v>
      </c>
    </row>
    <row r="49" spans="1:14">
      <c r="A49" s="15">
        <v>37960</v>
      </c>
      <c r="B49" s="28">
        <f>LN(Index!B50/Index!B49)</f>
        <v>1.2017416908705036E-2</v>
      </c>
      <c r="C49" s="28">
        <f>LN(Index!C50/Index!C49)</f>
        <v>-7.4237432174305642E-4</v>
      </c>
      <c r="D49" s="28">
        <f>LN(Index!D50/Index!D49)</f>
        <v>1.5273125137905628E-2</v>
      </c>
      <c r="E49" s="28">
        <f>LN(Index!E50/Index!E49)</f>
        <v>8.6307768013262655E-3</v>
      </c>
      <c r="F49" s="28">
        <f>LN(Index!F50/Index!F49)</f>
        <v>8.951412498164141E-4</v>
      </c>
      <c r="G49" s="28">
        <f>LN(Index!G50/Index!G49)</f>
        <v>3.9311309591509663E-2</v>
      </c>
      <c r="H49" s="28">
        <f>LN(Index!H50/Index!H49)</f>
        <v>-1.601360024290341E-3</v>
      </c>
      <c r="I49" s="28">
        <f>LN(Index!I50/Index!I49)</f>
        <v>3.6591542451956576E-3</v>
      </c>
      <c r="J49" s="28">
        <f>LN(Index!J50/Index!J49)</f>
        <v>9.4908987321119034E-3</v>
      </c>
      <c r="K49" s="28">
        <f>LN(Index!K50/Index!K49)</f>
        <v>2.4426667522369879E-2</v>
      </c>
      <c r="L49" s="28">
        <f>LN(Index!L50/Index!L49)</f>
        <v>-1.2436901196249558E-2</v>
      </c>
      <c r="M49" s="28">
        <f>LN(Index!M50/Index!M49)</f>
        <v>2.900652130519327E-2</v>
      </c>
      <c r="N49" s="28">
        <f>LN(Index!N50/Index!N49)</f>
        <v>6.7088705112513776E-3</v>
      </c>
    </row>
    <row r="50" spans="1:14">
      <c r="A50" s="15">
        <v>37967</v>
      </c>
      <c r="B50" s="28">
        <f>LN(Index!B51/Index!B50)</f>
        <v>7.463323330884215E-3</v>
      </c>
      <c r="C50" s="28">
        <f>LN(Index!C51/Index!C50)</f>
        <v>7.6158515938790526E-3</v>
      </c>
      <c r="D50" s="28">
        <f>LN(Index!D51/Index!D50)</f>
        <v>9.9630639947162168E-3</v>
      </c>
      <c r="E50" s="28">
        <f>LN(Index!E51/Index!E50)</f>
        <v>1.7540666301202809E-2</v>
      </c>
      <c r="F50" s="28">
        <f>LN(Index!F51/Index!F50)</f>
        <v>2.7788611443195941E-3</v>
      </c>
      <c r="G50" s="28">
        <f>LN(Index!G51/Index!G50)</f>
        <v>-1.2470919569700532E-3</v>
      </c>
      <c r="H50" s="28">
        <f>LN(Index!H51/Index!H50)</f>
        <v>5.7842164366983034E-3</v>
      </c>
      <c r="I50" s="28">
        <f>LN(Index!I51/Index!I50)</f>
        <v>1.7227368156680065E-2</v>
      </c>
      <c r="J50" s="28">
        <f>LN(Index!J51/Index!J50)</f>
        <v>3.003930700061553E-2</v>
      </c>
      <c r="K50" s="28">
        <f>LN(Index!K51/Index!K50)</f>
        <v>1.0602164619845672E-3</v>
      </c>
      <c r="L50" s="28">
        <f>LN(Index!L51/Index!L50)</f>
        <v>-2.9725082766849435E-2</v>
      </c>
      <c r="M50" s="28">
        <f>LN(Index!M51/Index!M50)</f>
        <v>1.1079012717118684E-3</v>
      </c>
      <c r="N50" s="28">
        <f>LN(Index!N51/Index!N50)</f>
        <v>1.3168586145526434E-2</v>
      </c>
    </row>
    <row r="51" spans="1:14">
      <c r="A51" s="15">
        <v>37974</v>
      </c>
      <c r="B51" s="28">
        <f>LN(Index!B52/Index!B51)</f>
        <v>1.3275370384440802E-2</v>
      </c>
      <c r="C51" s="28">
        <f>LN(Index!C52/Index!C51)</f>
        <v>8.074484163737199E-3</v>
      </c>
      <c r="D51" s="28">
        <f>LN(Index!D52/Index!D51)</f>
        <v>7.2733888105103238E-4</v>
      </c>
      <c r="E51" s="28">
        <f>LN(Index!E52/Index!E51)</f>
        <v>1.679047501603206E-2</v>
      </c>
      <c r="F51" s="28">
        <f>LN(Index!F52/Index!F51)</f>
        <v>-1.0647273256603066E-3</v>
      </c>
      <c r="G51" s="28">
        <f>LN(Index!G52/Index!G51)</f>
        <v>5.3995414126154721E-3</v>
      </c>
      <c r="H51" s="28">
        <f>LN(Index!H52/Index!H51)</f>
        <v>2.322832191487301E-2</v>
      </c>
      <c r="I51" s="28">
        <f>LN(Index!I52/Index!I51)</f>
        <v>1.6353019166092202E-2</v>
      </c>
      <c r="J51" s="28">
        <f>LN(Index!J52/Index!J51)</f>
        <v>6.0161391281099159E-4</v>
      </c>
      <c r="K51" s="28">
        <f>LN(Index!K52/Index!K51)</f>
        <v>2.8452420208720558E-3</v>
      </c>
      <c r="L51" s="28">
        <f>LN(Index!L52/Index!L51)</f>
        <v>-6.7627959615166433E-2</v>
      </c>
      <c r="M51" s="28">
        <f>LN(Index!M52/Index!M51)</f>
        <v>7.4985689421710701E-3</v>
      </c>
      <c r="N51" s="28">
        <f>LN(Index!N52/Index!N51)</f>
        <v>6.8151777438902189E-3</v>
      </c>
    </row>
    <row r="52" spans="1:14">
      <c r="A52" s="15">
        <v>37981</v>
      </c>
      <c r="B52" s="28">
        <f>LN(Index!B53/Index!B52)</f>
        <v>9.6604807876701799E-3</v>
      </c>
      <c r="C52" s="28">
        <f>LN(Index!C53/Index!C52)</f>
        <v>1.0745525523005678E-3</v>
      </c>
      <c r="D52" s="28">
        <f>LN(Index!D53/Index!D52)</f>
        <v>8.3265934967815709E-3</v>
      </c>
      <c r="E52" s="28">
        <f>LN(Index!E53/Index!E52)</f>
        <v>1.3407400683449028E-2</v>
      </c>
      <c r="F52" s="28">
        <f>LN(Index!F53/Index!F52)</f>
        <v>2.0592529058893146E-2</v>
      </c>
      <c r="G52" s="28">
        <f>LN(Index!G53/Index!G52)</f>
        <v>2.1863031538156682E-3</v>
      </c>
      <c r="H52" s="28">
        <f>LN(Index!H53/Index!H52)</f>
        <v>1.3103711025891956E-2</v>
      </c>
      <c r="I52" s="28">
        <f>LN(Index!I53/Index!I52)</f>
        <v>2.0779469129385723E-2</v>
      </c>
      <c r="J52" s="28">
        <f>LN(Index!J53/Index!J52)</f>
        <v>4.9300375049325818E-3</v>
      </c>
      <c r="K52" s="28">
        <f>LN(Index!K53/Index!K52)</f>
        <v>3.1305886043353194E-2</v>
      </c>
      <c r="L52" s="28">
        <f>LN(Index!L53/Index!L52)</f>
        <v>3.8684492357835318E-2</v>
      </c>
      <c r="M52" s="28">
        <f>LN(Index!M53/Index!M52)</f>
        <v>4.7187902001673068E-3</v>
      </c>
      <c r="N52" s="28">
        <f>LN(Index!N53/Index!N52)</f>
        <v>2.1296049093737484E-2</v>
      </c>
    </row>
    <row r="53" spans="1:14">
      <c r="A53" s="15">
        <v>37988</v>
      </c>
      <c r="B53" s="28">
        <f>LN(Index!B54/Index!B53)</f>
        <v>1.9209196105368479E-2</v>
      </c>
      <c r="C53" s="28">
        <f>LN(Index!C54/Index!C53)</f>
        <v>1.0304852779648938E-3</v>
      </c>
      <c r="D53" s="28">
        <f>LN(Index!D54/Index!D53)</f>
        <v>1.875054934537581E-2</v>
      </c>
      <c r="E53" s="28">
        <f>LN(Index!E54/Index!E53)</f>
        <v>2.6494226245299433E-2</v>
      </c>
      <c r="F53" s="28">
        <f>LN(Index!F54/Index!F53)</f>
        <v>6.7045614776053818E-3</v>
      </c>
      <c r="G53" s="28">
        <f>LN(Index!G54/Index!G53)</f>
        <v>3.7865347817887293E-2</v>
      </c>
      <c r="H53" s="28">
        <f>LN(Index!H54/Index!H53)</f>
        <v>1.5935399956023128E-2</v>
      </c>
      <c r="I53" s="28">
        <f>LN(Index!I54/Index!I53)</f>
        <v>2.0356457831585045E-2</v>
      </c>
      <c r="J53" s="28">
        <f>LN(Index!J54/Index!J53)</f>
        <v>2.4131212660503189E-2</v>
      </c>
      <c r="K53" s="28">
        <f>LN(Index!K54/Index!K53)</f>
        <v>3.0252474239085281E-2</v>
      </c>
      <c r="L53" s="28">
        <f>LN(Index!L54/Index!L53)</f>
        <v>6.6939157267367063E-3</v>
      </c>
      <c r="M53" s="28">
        <f>LN(Index!M54/Index!M53)</f>
        <v>3.593485988976905E-2</v>
      </c>
      <c r="N53" s="28">
        <f>LN(Index!N54/Index!N53)</f>
        <v>1.1409624238427073E-2</v>
      </c>
    </row>
    <row r="54" spans="1:14">
      <c r="A54" s="15">
        <v>37995</v>
      </c>
      <c r="B54" s="28">
        <f>LN(Index!B55/Index!B54)</f>
        <v>1.7872962448773299E-2</v>
      </c>
      <c r="C54" s="28">
        <f>LN(Index!C55/Index!C54)</f>
        <v>4.3677541282402524E-3</v>
      </c>
      <c r="D54" s="28">
        <f>LN(Index!D55/Index!D54)</f>
        <v>3.6478208602409877E-2</v>
      </c>
      <c r="E54" s="28">
        <f>LN(Index!E55/Index!E54)</f>
        <v>8.7187096890778068E-3</v>
      </c>
      <c r="F54" s="28">
        <f>LN(Index!F55/Index!F54)</f>
        <v>1.1921416383448902E-2</v>
      </c>
      <c r="G54" s="28">
        <f>LN(Index!G55/Index!G54)</f>
        <v>-1.0537097832137396E-2</v>
      </c>
      <c r="H54" s="28">
        <f>LN(Index!H55/Index!H54)</f>
        <v>3.2049231297295536E-3</v>
      </c>
      <c r="I54" s="28">
        <f>LN(Index!I55/Index!I54)</f>
        <v>1.9426885519585699E-2</v>
      </c>
      <c r="J54" s="28">
        <f>LN(Index!J55/Index!J54)</f>
        <v>-5.1951255609379949E-3</v>
      </c>
      <c r="K54" s="28">
        <f>LN(Index!K55/Index!K54)</f>
        <v>2.5676713211317197E-2</v>
      </c>
      <c r="L54" s="28">
        <f>LN(Index!L55/Index!L54)</f>
        <v>0.15961997799051694</v>
      </c>
      <c r="M54" s="28">
        <f>LN(Index!M55/Index!M54)</f>
        <v>-3.0434297165713941E-3</v>
      </c>
      <c r="N54" s="28">
        <f>LN(Index!N55/Index!N54)</f>
        <v>-3.8657996885754302E-3</v>
      </c>
    </row>
    <row r="55" spans="1:14">
      <c r="A55" s="15">
        <v>38002</v>
      </c>
      <c r="B55" s="28">
        <f>LN(Index!B56/Index!B55)</f>
        <v>2.6932415956437243E-3</v>
      </c>
      <c r="C55" s="28">
        <f>LN(Index!C56/Index!C55)</f>
        <v>8.7634031714319757E-3</v>
      </c>
      <c r="D55" s="28">
        <f>LN(Index!D56/Index!D55)</f>
        <v>-1.450945502703607E-3</v>
      </c>
      <c r="E55" s="28">
        <f>LN(Index!E56/Index!E55)</f>
        <v>-1.4171389984459557E-2</v>
      </c>
      <c r="F55" s="28">
        <f>LN(Index!F56/Index!F55)</f>
        <v>-4.5567879708684408E-3</v>
      </c>
      <c r="G55" s="28">
        <f>LN(Index!G56/Index!G55)</f>
        <v>-4.2721512052121512E-3</v>
      </c>
      <c r="H55" s="28">
        <f>LN(Index!H56/Index!H55)</f>
        <v>-6.4480737771900843E-3</v>
      </c>
      <c r="I55" s="28">
        <f>LN(Index!I56/Index!I55)</f>
        <v>2.0523284885037071E-2</v>
      </c>
      <c r="J55" s="28">
        <f>LN(Index!J56/Index!J55)</f>
        <v>-3.4909568770184286E-2</v>
      </c>
      <c r="K55" s="28">
        <f>LN(Index!K56/Index!K55)</f>
        <v>-5.971498527983181E-3</v>
      </c>
      <c r="L55" s="28">
        <f>LN(Index!L56/Index!L55)</f>
        <v>-4.1411259937046356E-2</v>
      </c>
      <c r="M55" s="28">
        <f>LN(Index!M56/Index!M55)</f>
        <v>-1.2775957094202954E-2</v>
      </c>
      <c r="N55" s="28">
        <f>LN(Index!N56/Index!N55)</f>
        <v>-5.0976491865340661E-3</v>
      </c>
    </row>
    <row r="56" spans="1:14">
      <c r="A56" s="15">
        <v>38009</v>
      </c>
      <c r="B56" s="28">
        <f>LN(Index!B57/Index!B56)</f>
        <v>1.1317051138026961E-2</v>
      </c>
      <c r="C56" s="28">
        <f>LN(Index!C57/Index!C56)</f>
        <v>-1.8653558062725931E-3</v>
      </c>
      <c r="D56" s="28">
        <f>LN(Index!D57/Index!D56)</f>
        <v>3.0533512889350568E-2</v>
      </c>
      <c r="E56" s="28">
        <f>LN(Index!E57/Index!E56)</f>
        <v>1.7807757627843306E-2</v>
      </c>
      <c r="F56" s="28">
        <f>LN(Index!F57/Index!F56)</f>
        <v>1.4869891215783665E-3</v>
      </c>
      <c r="G56" s="28">
        <f>LN(Index!G57/Index!G56)</f>
        <v>1.7555738428605808E-2</v>
      </c>
      <c r="H56" s="28">
        <f>LN(Index!H57/Index!H56)</f>
        <v>5.7357274912796441E-3</v>
      </c>
      <c r="I56" s="28">
        <f>LN(Index!I57/Index!I56)</f>
        <v>1.7369703106416477E-2</v>
      </c>
      <c r="J56" s="28">
        <f>LN(Index!J57/Index!J56)</f>
        <v>2.0732593518928706E-2</v>
      </c>
      <c r="K56" s="28">
        <f>LN(Index!K57/Index!K56)</f>
        <v>3.2635623377250136E-3</v>
      </c>
      <c r="L56" s="28">
        <f>LN(Index!L57/Index!L56)</f>
        <v>-3.3977667289480373E-2</v>
      </c>
      <c r="M56" s="28">
        <f>LN(Index!M57/Index!M56)</f>
        <v>2.584708165461401E-2</v>
      </c>
      <c r="N56" s="28">
        <f>LN(Index!N57/Index!N56)</f>
        <v>8.5425951711422202E-3</v>
      </c>
    </row>
    <row r="57" spans="1:14">
      <c r="A57" s="15">
        <v>38016</v>
      </c>
      <c r="B57" s="28">
        <f>LN(Index!B58/Index!B57)</f>
        <v>-1.8268099997760169E-2</v>
      </c>
      <c r="C57" s="28">
        <f>LN(Index!C58/Index!C57)</f>
        <v>-7.5391689223921173E-3</v>
      </c>
      <c r="D57" s="28">
        <f>LN(Index!D58/Index!D57)</f>
        <v>-1.712871388253847E-2</v>
      </c>
      <c r="E57" s="28">
        <f>LN(Index!E58/Index!E57)</f>
        <v>-9.5861944806875828E-3</v>
      </c>
      <c r="F57" s="28">
        <f>LN(Index!F58/Index!F57)</f>
        <v>-1.2526359444884866E-2</v>
      </c>
      <c r="G57" s="28">
        <f>LN(Index!G58/Index!G57)</f>
        <v>-3.567030843370253E-2</v>
      </c>
      <c r="H57" s="28">
        <f>LN(Index!H58/Index!H57)</f>
        <v>1.943265895784872E-4</v>
      </c>
      <c r="I57" s="28">
        <f>LN(Index!I58/Index!I57)</f>
        <v>-8.4534481724865725E-3</v>
      </c>
      <c r="J57" s="28">
        <f>LN(Index!J58/Index!J57)</f>
        <v>-1.1503810213099397E-2</v>
      </c>
      <c r="K57" s="28">
        <f>LN(Index!K58/Index!K57)</f>
        <v>9.413804983412908E-3</v>
      </c>
      <c r="L57" s="28">
        <f>LN(Index!L58/Index!L57)</f>
        <v>-2.1782928463106362E-2</v>
      </c>
      <c r="M57" s="28">
        <f>LN(Index!M58/Index!M57)</f>
        <v>-3.1883721247886729E-2</v>
      </c>
      <c r="N57" s="28">
        <f>LN(Index!N58/Index!N57)</f>
        <v>-1.9172683108854002E-2</v>
      </c>
    </row>
    <row r="58" spans="1:14">
      <c r="A58" s="15">
        <v>38023</v>
      </c>
      <c r="B58" s="28">
        <f>LN(Index!B59/Index!B58)</f>
        <v>1.1254601454099263E-2</v>
      </c>
      <c r="C58" s="28">
        <f>LN(Index!C59/Index!C58)</f>
        <v>5.1600361832211733E-3</v>
      </c>
      <c r="D58" s="28">
        <f>LN(Index!D59/Index!D58)</f>
        <v>1.9445636722889365E-2</v>
      </c>
      <c r="E58" s="28">
        <f>LN(Index!E59/Index!E58)</f>
        <v>3.0578799194298206E-2</v>
      </c>
      <c r="F58" s="28">
        <f>LN(Index!F59/Index!F58)</f>
        <v>-2.925466854617594E-3</v>
      </c>
      <c r="G58" s="28">
        <f>LN(Index!G59/Index!G58)</f>
        <v>-1.352507316782928E-3</v>
      </c>
      <c r="H58" s="28">
        <f>LN(Index!H59/Index!H58)</f>
        <v>1.0868221805073963E-2</v>
      </c>
      <c r="I58" s="28">
        <f>LN(Index!I59/Index!I58)</f>
        <v>2.8762252779719846E-2</v>
      </c>
      <c r="J58" s="28">
        <f>LN(Index!J59/Index!J58)</f>
        <v>1.3857675560428157E-2</v>
      </c>
      <c r="K58" s="28">
        <f>LN(Index!K59/Index!K58)</f>
        <v>1.7754202116484794E-2</v>
      </c>
      <c r="L58" s="28">
        <f>LN(Index!L59/Index!L58)</f>
        <v>3.6178313605724544E-2</v>
      </c>
      <c r="M58" s="28">
        <f>LN(Index!M59/Index!M58)</f>
        <v>1.3102134411158475E-2</v>
      </c>
      <c r="N58" s="28">
        <f>LN(Index!N59/Index!N58)</f>
        <v>8.1437614455397954E-3</v>
      </c>
    </row>
    <row r="59" spans="1:14">
      <c r="A59" s="15">
        <v>38030</v>
      </c>
      <c r="B59" s="28">
        <f>LN(Index!B60/Index!B59)</f>
        <v>9.4645601106508378E-3</v>
      </c>
      <c r="C59" s="28">
        <f>LN(Index!C60/Index!C59)</f>
        <v>8.5132129328621686E-3</v>
      </c>
      <c r="D59" s="28">
        <f>LN(Index!D60/Index!D59)</f>
        <v>1.3871441692664445E-2</v>
      </c>
      <c r="E59" s="28">
        <f>LN(Index!E60/Index!E59)</f>
        <v>2.4177601530272687E-2</v>
      </c>
      <c r="F59" s="28">
        <f>LN(Index!F60/Index!F59)</f>
        <v>7.8831848078350589E-3</v>
      </c>
      <c r="G59" s="28">
        <f>LN(Index!G60/Index!G59)</f>
        <v>1.4405228597066116E-2</v>
      </c>
      <c r="H59" s="28">
        <f>LN(Index!H60/Index!H59)</f>
        <v>1.8184875248217314E-2</v>
      </c>
      <c r="I59" s="28">
        <f>LN(Index!I60/Index!I59)</f>
        <v>2.1525056477129326E-2</v>
      </c>
      <c r="J59" s="28">
        <f>LN(Index!J60/Index!J59)</f>
        <v>3.423449657637636E-2</v>
      </c>
      <c r="K59" s="28">
        <f>LN(Index!K60/Index!K59)</f>
        <v>8.4661864889028053E-4</v>
      </c>
      <c r="L59" s="28">
        <f>LN(Index!L60/Index!L59)</f>
        <v>-3.0301117491907592E-3</v>
      </c>
      <c r="M59" s="28">
        <f>LN(Index!M60/Index!M59)</f>
        <v>1.4932587229027612E-2</v>
      </c>
      <c r="N59" s="28">
        <f>LN(Index!N60/Index!N59)</f>
        <v>1.1846644865926315E-2</v>
      </c>
    </row>
    <row r="60" spans="1:14">
      <c r="A60" s="15">
        <v>38037</v>
      </c>
      <c r="B60" s="28">
        <f>LN(Index!B61/Index!B60)</f>
        <v>-3.3472444482657198E-3</v>
      </c>
      <c r="C60" s="28">
        <f>LN(Index!C61/Index!C60)</f>
        <v>1.3486747102651395E-3</v>
      </c>
      <c r="D60" s="28">
        <f>LN(Index!D61/Index!D60)</f>
        <v>-6.2962716689960261E-3</v>
      </c>
      <c r="E60" s="28">
        <f>LN(Index!E61/Index!E60)</f>
        <v>4.3196611445163796E-3</v>
      </c>
      <c r="F60" s="28">
        <f>LN(Index!F61/Index!F60)</f>
        <v>-6.9525193148817525E-3</v>
      </c>
      <c r="G60" s="28">
        <f>LN(Index!G61/Index!G60)</f>
        <v>-6.7255926779907155E-3</v>
      </c>
      <c r="H60" s="28">
        <f>LN(Index!H61/Index!H60)</f>
        <v>9.303890626954062E-3</v>
      </c>
      <c r="I60" s="28">
        <f>LN(Index!I61/Index!I60)</f>
        <v>-1.2494081586591052E-2</v>
      </c>
      <c r="J60" s="28">
        <f>LN(Index!J61/Index!J60)</f>
        <v>1.1435694043899816E-2</v>
      </c>
      <c r="K60" s="28">
        <f>LN(Index!K61/Index!K60)</f>
        <v>8.9331379059871402E-3</v>
      </c>
      <c r="L60" s="28">
        <f>LN(Index!L61/Index!L60)</f>
        <v>-4.0409098579967086E-2</v>
      </c>
      <c r="M60" s="28">
        <f>LN(Index!M61/Index!M60)</f>
        <v>-1.2419927940384126E-3</v>
      </c>
      <c r="N60" s="28">
        <f>LN(Index!N61/Index!N60)</f>
        <v>-7.0559670928330214E-3</v>
      </c>
    </row>
    <row r="61" spans="1:14">
      <c r="A61" s="15">
        <v>38044</v>
      </c>
      <c r="B61" s="28">
        <f>LN(Index!B62/Index!B61)</f>
        <v>-1.9444892028342999E-3</v>
      </c>
      <c r="C61" s="28">
        <f>LN(Index!C62/Index!C61)</f>
        <v>-7.2281832194385099E-3</v>
      </c>
      <c r="D61" s="28">
        <f>LN(Index!D62/Index!D61)</f>
        <v>5.1544397204537412E-3</v>
      </c>
      <c r="E61" s="28">
        <f>LN(Index!E62/Index!E61)</f>
        <v>4.6961015586913174E-3</v>
      </c>
      <c r="F61" s="28">
        <f>LN(Index!F62/Index!F61)</f>
        <v>1.0664661952182304E-2</v>
      </c>
      <c r="G61" s="28">
        <f>LN(Index!G62/Index!G61)</f>
        <v>5.1876191617473777E-3</v>
      </c>
      <c r="H61" s="28">
        <f>LN(Index!H62/Index!H61)</f>
        <v>1.2969616045581216E-2</v>
      </c>
      <c r="I61" s="28">
        <f>LN(Index!I62/Index!I61)</f>
        <v>-1.268363851987183E-2</v>
      </c>
      <c r="J61" s="28">
        <f>LN(Index!J62/Index!J61)</f>
        <v>-1.5633678266063612E-4</v>
      </c>
      <c r="K61" s="28">
        <f>LN(Index!K62/Index!K61)</f>
        <v>2.8939806109607457E-2</v>
      </c>
      <c r="L61" s="28">
        <f>LN(Index!L62/Index!L61)</f>
        <v>3.4257547304344498E-4</v>
      </c>
      <c r="M61" s="28">
        <f>LN(Index!M62/Index!M61)</f>
        <v>8.2927062368277783E-3</v>
      </c>
      <c r="N61" s="28">
        <f>LN(Index!N62/Index!N61)</f>
        <v>1.0233176280028953E-2</v>
      </c>
    </row>
    <row r="62" spans="1:14">
      <c r="A62" s="15">
        <v>38051</v>
      </c>
      <c r="B62" s="28">
        <f>LN(Index!B63/Index!B62)</f>
        <v>1.2562874159118782E-2</v>
      </c>
      <c r="C62" s="28">
        <f>LN(Index!C63/Index!C62)</f>
        <v>-3.2719344208879436E-3</v>
      </c>
      <c r="D62" s="28">
        <f>LN(Index!D63/Index!D62)</f>
        <v>1.9876230004792644E-2</v>
      </c>
      <c r="E62" s="28">
        <f>LN(Index!E63/Index!E62)</f>
        <v>8.7586623253875107E-3</v>
      </c>
      <c r="F62" s="28">
        <f>LN(Index!F63/Index!F62)</f>
        <v>3.0227899444651679E-2</v>
      </c>
      <c r="G62" s="28">
        <f>LN(Index!G63/Index!G62)</f>
        <v>-2.6495467332764869E-3</v>
      </c>
      <c r="H62" s="28">
        <f>LN(Index!H63/Index!H62)</f>
        <v>1.1440182451465084E-2</v>
      </c>
      <c r="I62" s="28">
        <f>LN(Index!I63/Index!I62)</f>
        <v>2.313437907180153E-2</v>
      </c>
      <c r="J62" s="28">
        <f>LN(Index!J63/Index!J62)</f>
        <v>2.391745922082235E-3</v>
      </c>
      <c r="K62" s="28">
        <f>LN(Index!K63/Index!K62)</f>
        <v>1.4022342838312071E-2</v>
      </c>
      <c r="L62" s="28">
        <f>LN(Index!L63/Index!L62)</f>
        <v>8.360472739907153E-2</v>
      </c>
      <c r="M62" s="28">
        <f>LN(Index!M63/Index!M62)</f>
        <v>4.7735926057075953E-3</v>
      </c>
      <c r="N62" s="28">
        <f>LN(Index!N63/Index!N62)</f>
        <v>2.2140202006259071E-2</v>
      </c>
    </row>
    <row r="63" spans="1:14">
      <c r="A63" s="15">
        <v>38058</v>
      </c>
      <c r="B63" s="28">
        <f>LN(Index!B64/Index!B63)</f>
        <v>-3.7884281227081984E-2</v>
      </c>
      <c r="C63" s="28">
        <f>LN(Index!C64/Index!C63)</f>
        <v>1.1005402084105623E-2</v>
      </c>
      <c r="D63" s="28">
        <f>LN(Index!D64/Index!D63)</f>
        <v>-3.5337064289685416E-2</v>
      </c>
      <c r="E63" s="28">
        <f>LN(Index!E64/Index!E63)</f>
        <v>-3.8611390809826229E-2</v>
      </c>
      <c r="F63" s="28">
        <f>LN(Index!F64/Index!F63)</f>
        <v>-2.5399725242969618E-2</v>
      </c>
      <c r="G63" s="28">
        <f>LN(Index!G64/Index!G63)</f>
        <v>-4.3609454489613064E-2</v>
      </c>
      <c r="H63" s="28">
        <f>LN(Index!H64/Index!H63)</f>
        <v>-3.9383052424289598E-2</v>
      </c>
      <c r="I63" s="28">
        <f>LN(Index!I64/Index!I63)</f>
        <v>-5.3584175587441434E-2</v>
      </c>
      <c r="J63" s="28">
        <f>LN(Index!J64/Index!J63)</f>
        <v>-2.4094748428880364E-2</v>
      </c>
      <c r="K63" s="28">
        <f>LN(Index!K64/Index!K63)</f>
        <v>-3.821138193132062E-2</v>
      </c>
      <c r="L63" s="28">
        <f>LN(Index!L64/Index!L63)</f>
        <v>-6.9130817438612782E-2</v>
      </c>
      <c r="M63" s="28">
        <f>LN(Index!M64/Index!M63)</f>
        <v>-2.7720807247010617E-2</v>
      </c>
      <c r="N63" s="28">
        <f>LN(Index!N64/Index!N63)</f>
        <v>-2.2377549412770575E-2</v>
      </c>
    </row>
    <row r="64" spans="1:14">
      <c r="A64" s="15">
        <v>38065</v>
      </c>
      <c r="B64" s="28">
        <f>LN(Index!B65/Index!B64)</f>
        <v>1.9464119784755479E-3</v>
      </c>
      <c r="C64" s="28">
        <f>LN(Index!C65/Index!C64)</f>
        <v>5.6250673045327316E-3</v>
      </c>
      <c r="D64" s="28">
        <f>LN(Index!D65/Index!D64)</f>
        <v>2.657882261578589E-2</v>
      </c>
      <c r="E64" s="28">
        <f>LN(Index!E65/Index!E64)</f>
        <v>1.815313560667145E-2</v>
      </c>
      <c r="F64" s="28">
        <f>LN(Index!F65/Index!F64)</f>
        <v>5.6140332562176999E-3</v>
      </c>
      <c r="G64" s="28">
        <f>LN(Index!G65/Index!G64)</f>
        <v>2.7049068350379197E-2</v>
      </c>
      <c r="H64" s="28">
        <f>LN(Index!H65/Index!H64)</f>
        <v>2.6104108550850748E-2</v>
      </c>
      <c r="I64" s="28">
        <f>LN(Index!I65/Index!I64)</f>
        <v>-2.1907138163435808E-4</v>
      </c>
      <c r="J64" s="28">
        <f>LN(Index!J65/Index!J64)</f>
        <v>1.713377165496487E-2</v>
      </c>
      <c r="K64" s="28">
        <f>LN(Index!K65/Index!K64)</f>
        <v>2.925359941528546E-2</v>
      </c>
      <c r="L64" s="28">
        <f>LN(Index!L65/Index!L64)</f>
        <v>1.3657058774022931E-2</v>
      </c>
      <c r="M64" s="28">
        <f>LN(Index!M65/Index!M64)</f>
        <v>1.2525588226568497E-2</v>
      </c>
      <c r="N64" s="28">
        <f>LN(Index!N65/Index!N64)</f>
        <v>5.2165453206748213E-3</v>
      </c>
    </row>
    <row r="65" spans="1:14">
      <c r="A65" s="15">
        <v>38072</v>
      </c>
      <c r="B65" s="28">
        <f>LN(Index!B66/Index!B65)</f>
        <v>-3.8196923510580819E-3</v>
      </c>
      <c r="C65" s="28">
        <f>LN(Index!C66/Index!C65)</f>
        <v>-4.6056902022091655E-4</v>
      </c>
      <c r="D65" s="28">
        <f>LN(Index!D66/Index!D65)</f>
        <v>-3.8813018725641401E-3</v>
      </c>
      <c r="E65" s="28">
        <f>LN(Index!E66/Index!E65)</f>
        <v>-2.5142839680526836E-2</v>
      </c>
      <c r="F65" s="28">
        <f>LN(Index!F66/Index!F65)</f>
        <v>-1.498291656335504E-2</v>
      </c>
      <c r="G65" s="28">
        <f>LN(Index!G66/Index!G65)</f>
        <v>-4.215152667211528E-3</v>
      </c>
      <c r="H65" s="28">
        <f>LN(Index!H66/Index!H65)</f>
        <v>-1.8459382757855081E-2</v>
      </c>
      <c r="I65" s="28">
        <f>LN(Index!I66/Index!I65)</f>
        <v>-2.1539369966841797E-2</v>
      </c>
      <c r="J65" s="28">
        <f>LN(Index!J66/Index!J65)</f>
        <v>-2.8789644787973957E-2</v>
      </c>
      <c r="K65" s="28">
        <f>LN(Index!K66/Index!K65)</f>
        <v>-2.7392646484142275E-2</v>
      </c>
      <c r="L65" s="28">
        <f>LN(Index!L66/Index!L65)</f>
        <v>-3.8309035761036135E-2</v>
      </c>
      <c r="M65" s="28">
        <f>LN(Index!M66/Index!M65)</f>
        <v>-9.8652867508903352E-3</v>
      </c>
      <c r="N65" s="28">
        <f>LN(Index!N66/Index!N65)</f>
        <v>-1.5939911512569363E-2</v>
      </c>
    </row>
    <row r="66" spans="1:14">
      <c r="A66" s="15">
        <v>38079</v>
      </c>
      <c r="B66" s="28">
        <f>LN(Index!B67/Index!B66)</f>
        <v>3.1564483094185844E-2</v>
      </c>
      <c r="C66" s="28">
        <f>LN(Index!C67/Index!C66)</f>
        <v>-7.5411625342648974E-4</v>
      </c>
      <c r="D66" s="28">
        <f>LN(Index!D67/Index!D66)</f>
        <v>2.4409999145379262E-2</v>
      </c>
      <c r="E66" s="28">
        <f>LN(Index!E67/Index!E66)</f>
        <v>3.3708971012515035E-2</v>
      </c>
      <c r="F66" s="28">
        <f>LN(Index!F67/Index!F66)</f>
        <v>2.3691743699793651E-2</v>
      </c>
      <c r="G66" s="28">
        <f>LN(Index!G67/Index!G66)</f>
        <v>1.7282378486694106E-2</v>
      </c>
      <c r="H66" s="28">
        <f>LN(Index!H67/Index!H66)</f>
        <v>2.2194944776630001E-2</v>
      </c>
      <c r="I66" s="28">
        <f>LN(Index!I67/Index!I66)</f>
        <v>3.3653886800370562E-2</v>
      </c>
      <c r="J66" s="28">
        <f>LN(Index!J67/Index!J66)</f>
        <v>4.396705723443263E-2</v>
      </c>
      <c r="K66" s="28">
        <f>LN(Index!K67/Index!K66)</f>
        <v>2.4520951486592311E-2</v>
      </c>
      <c r="L66" s="28">
        <f>LN(Index!L67/Index!L66)</f>
        <v>6.3886516048664369E-2</v>
      </c>
      <c r="M66" s="28">
        <f>LN(Index!M67/Index!M66)</f>
        <v>2.073499498758994E-2</v>
      </c>
      <c r="N66" s="28">
        <f>LN(Index!N67/Index!N66)</f>
        <v>2.3335182620727975E-2</v>
      </c>
    </row>
    <row r="67" spans="1:14">
      <c r="A67" s="15">
        <v>38086</v>
      </c>
      <c r="B67" s="28">
        <f>LN(Index!B68/Index!B67)</f>
        <v>-1.5384546696199227E-3</v>
      </c>
      <c r="C67" s="28">
        <f>LN(Index!C68/Index!C67)</f>
        <v>-1.3969713771130968E-2</v>
      </c>
      <c r="D67" s="28">
        <f>LN(Index!D68/Index!D67)</f>
        <v>-2.3924011771485586E-2</v>
      </c>
      <c r="E67" s="28">
        <f>LN(Index!E68/Index!E67)</f>
        <v>6.7742281950467801E-3</v>
      </c>
      <c r="F67" s="28">
        <f>LN(Index!F68/Index!F67)</f>
        <v>-2.4080529406441892E-3</v>
      </c>
      <c r="G67" s="28">
        <f>LN(Index!G68/Index!G67)</f>
        <v>-4.3985726046154045E-3</v>
      </c>
      <c r="H67" s="28">
        <f>LN(Index!H68/Index!H67)</f>
        <v>-1.0938325777986374E-2</v>
      </c>
      <c r="I67" s="28">
        <f>LN(Index!I68/Index!I67)</f>
        <v>4.9502082364135712E-3</v>
      </c>
      <c r="J67" s="28">
        <f>LN(Index!J68/Index!J67)</f>
        <v>2.4802507601701012E-3</v>
      </c>
      <c r="K67" s="28">
        <f>LN(Index!K68/Index!K67)</f>
        <v>5.7752508803105059E-3</v>
      </c>
      <c r="L67" s="28">
        <f>LN(Index!L68/Index!L67)</f>
        <v>6.1488626957015582E-2</v>
      </c>
      <c r="M67" s="28">
        <f>LN(Index!M68/Index!M67)</f>
        <v>1.6471844627837809E-2</v>
      </c>
      <c r="N67" s="28">
        <f>LN(Index!N68/Index!N67)</f>
        <v>-5.9008317166207875E-3</v>
      </c>
    </row>
    <row r="68" spans="1:14">
      <c r="A68" s="15">
        <v>38093</v>
      </c>
      <c r="B68" s="28">
        <f>LN(Index!B69/Index!B68)</f>
        <v>-8.5181865122556863E-3</v>
      </c>
      <c r="C68" s="28">
        <f>LN(Index!C69/Index!C68)</f>
        <v>-1.2014596070712034E-2</v>
      </c>
      <c r="D68" s="28">
        <f>LN(Index!D69/Index!D68)</f>
        <v>-3.728882064129635E-2</v>
      </c>
      <c r="E68" s="28">
        <f>LN(Index!E69/Index!E68)</f>
        <v>-8.2279484583666056E-3</v>
      </c>
      <c r="F68" s="28">
        <f>LN(Index!F69/Index!F68)</f>
        <v>-2.5933189848144685E-2</v>
      </c>
      <c r="G68" s="28">
        <f>LN(Index!G69/Index!G68)</f>
        <v>-2.6289067607682539E-2</v>
      </c>
      <c r="H68" s="28">
        <f>LN(Index!H69/Index!H68)</f>
        <v>-1.5517491101870815E-2</v>
      </c>
      <c r="I68" s="28">
        <f>LN(Index!I69/Index!I68)</f>
        <v>-2.4337484399022113E-2</v>
      </c>
      <c r="J68" s="28">
        <f>LN(Index!J69/Index!J68)</f>
        <v>-6.7231115870429901E-3</v>
      </c>
      <c r="K68" s="28">
        <f>LN(Index!K69/Index!K68)</f>
        <v>-2.1124907506032454E-2</v>
      </c>
      <c r="L68" s="28">
        <f>LN(Index!L69/Index!L68)</f>
        <v>3.7560366377311215E-2</v>
      </c>
      <c r="M68" s="28">
        <f>LN(Index!M69/Index!M68)</f>
        <v>-1.7157227546456117E-2</v>
      </c>
      <c r="N68" s="28">
        <f>LN(Index!N69/Index!N68)</f>
        <v>-2.957648648930114E-2</v>
      </c>
    </row>
    <row r="69" spans="1:14">
      <c r="A69" s="15">
        <v>38100</v>
      </c>
      <c r="B69" s="28">
        <f>LN(Index!B70/Index!B69)</f>
        <v>1.0346709729041248E-3</v>
      </c>
      <c r="C69" s="28">
        <f>LN(Index!C70/Index!C69)</f>
        <v>-7.7456004560924098E-4</v>
      </c>
      <c r="D69" s="28">
        <f>LN(Index!D70/Index!D69)</f>
        <v>-2.3472461253652373E-2</v>
      </c>
      <c r="E69" s="28">
        <f>LN(Index!E70/Index!E69)</f>
        <v>-1.7714441723312106E-2</v>
      </c>
      <c r="F69" s="28">
        <f>LN(Index!F70/Index!F69)</f>
        <v>4.1631933685077113E-3</v>
      </c>
      <c r="G69" s="28">
        <f>LN(Index!G70/Index!G69)</f>
        <v>-9.2846106620157569E-3</v>
      </c>
      <c r="H69" s="28">
        <f>LN(Index!H70/Index!H69)</f>
        <v>-1.2217600811436842E-2</v>
      </c>
      <c r="I69" s="28">
        <f>LN(Index!I70/Index!I69)</f>
        <v>1.3162839303755669E-2</v>
      </c>
      <c r="J69" s="28">
        <f>LN(Index!J70/Index!J69)</f>
        <v>-4.7701880499822578E-3</v>
      </c>
      <c r="K69" s="28">
        <f>LN(Index!K70/Index!K69)</f>
        <v>-5.8841533833180734E-2</v>
      </c>
      <c r="L69" s="28">
        <f>LN(Index!L70/Index!L69)</f>
        <v>4.5391655459119981E-2</v>
      </c>
      <c r="M69" s="28">
        <f>LN(Index!M70/Index!M69)</f>
        <v>-2.4816229217459792E-2</v>
      </c>
      <c r="N69" s="28">
        <f>LN(Index!N70/Index!N69)</f>
        <v>-7.589953385972961E-3</v>
      </c>
    </row>
    <row r="70" spans="1:14">
      <c r="A70" s="15">
        <v>38107</v>
      </c>
      <c r="B70" s="28">
        <f>LN(Index!B71/Index!B70)</f>
        <v>-2.670509043983537E-2</v>
      </c>
      <c r="C70" s="28">
        <f>LN(Index!C71/Index!C70)</f>
        <v>-5.6119292545699856E-3</v>
      </c>
      <c r="D70" s="28">
        <f>LN(Index!D71/Index!D70)</f>
        <v>-1.87619505043853E-2</v>
      </c>
      <c r="E70" s="28">
        <f>LN(Index!E71/Index!E70)</f>
        <v>-2.981833656589983E-3</v>
      </c>
      <c r="F70" s="28">
        <f>LN(Index!F71/Index!F70)</f>
        <v>-2.6773640907624713E-2</v>
      </c>
      <c r="G70" s="28">
        <f>LN(Index!G71/Index!G70)</f>
        <v>-4.2931843286578827E-2</v>
      </c>
      <c r="H70" s="28">
        <f>LN(Index!H71/Index!H70)</f>
        <v>-1.139054309489077E-2</v>
      </c>
      <c r="I70" s="28">
        <f>LN(Index!I71/Index!I70)</f>
        <v>-1.7184286955027342E-2</v>
      </c>
      <c r="J70" s="28">
        <f>LN(Index!J71/Index!J70)</f>
        <v>-9.410124990966124E-3</v>
      </c>
      <c r="K70" s="28">
        <f>LN(Index!K71/Index!K70)</f>
        <v>-9.9710279591994806E-3</v>
      </c>
      <c r="L70" s="28">
        <f>LN(Index!L71/Index!L70)</f>
        <v>-8.3571188017508832E-2</v>
      </c>
      <c r="M70" s="28">
        <f>LN(Index!M71/Index!M70)</f>
        <v>-1.2341848115769025E-2</v>
      </c>
      <c r="N70" s="28">
        <f>LN(Index!N71/Index!N70)</f>
        <v>-1.4692491716409609E-2</v>
      </c>
    </row>
    <row r="71" spans="1:14">
      <c r="A71" s="15">
        <v>38114</v>
      </c>
      <c r="B71" s="28">
        <f>LN(Index!B72/Index!B71)</f>
        <v>-1.0219470828003258E-2</v>
      </c>
      <c r="C71" s="28">
        <f>LN(Index!C72/Index!C71)</f>
        <v>1.9461569554859697E-3</v>
      </c>
      <c r="D71" s="28">
        <f>LN(Index!D72/Index!D71)</f>
        <v>-2.1805508532787187E-2</v>
      </c>
      <c r="E71" s="28">
        <f>LN(Index!E72/Index!E71)</f>
        <v>1.2337308836863197E-2</v>
      </c>
      <c r="F71" s="28">
        <f>LN(Index!F72/Index!F71)</f>
        <v>-7.4648071852214575E-3</v>
      </c>
      <c r="G71" s="28">
        <f>LN(Index!G72/Index!G71)</f>
        <v>2.5399065914365752E-2</v>
      </c>
      <c r="H71" s="28">
        <f>LN(Index!H72/Index!H71)</f>
        <v>-1.5129837697557621E-2</v>
      </c>
      <c r="I71" s="28">
        <f>LN(Index!I72/Index!I71)</f>
        <v>1.803870610493156E-3</v>
      </c>
      <c r="J71" s="28">
        <f>LN(Index!J72/Index!J71)</f>
        <v>3.5745145091114011E-2</v>
      </c>
      <c r="K71" s="28">
        <f>LN(Index!K72/Index!K71)</f>
        <v>1.9972587430476078E-2</v>
      </c>
      <c r="L71" s="28">
        <f>LN(Index!L72/Index!L71)</f>
        <v>3.438579680138866E-2</v>
      </c>
      <c r="M71" s="28">
        <f>LN(Index!M72/Index!M71)</f>
        <v>1.7155546085220859E-2</v>
      </c>
      <c r="N71" s="28">
        <f>LN(Index!N72/Index!N71)</f>
        <v>-2.6192563360265663E-3</v>
      </c>
    </row>
    <row r="72" spans="1:14">
      <c r="A72" s="15">
        <v>38121</v>
      </c>
      <c r="B72" s="28">
        <f>LN(Index!B73/Index!B72)</f>
        <v>-1.7903404774783079E-2</v>
      </c>
      <c r="C72" s="28">
        <f>LN(Index!C73/Index!C72)</f>
        <v>-1.9193609933319256E-2</v>
      </c>
      <c r="D72" s="28">
        <f>LN(Index!D73/Index!D72)</f>
        <v>-3.0110975451509394E-2</v>
      </c>
      <c r="E72" s="28">
        <f>LN(Index!E73/Index!E72)</f>
        <v>-1.7241738218334052E-2</v>
      </c>
      <c r="F72" s="28">
        <f>LN(Index!F73/Index!F72)</f>
        <v>-1.9397375384332557E-2</v>
      </c>
      <c r="G72" s="28">
        <f>LN(Index!G73/Index!G72)</f>
        <v>-4.6278070769225119E-2</v>
      </c>
      <c r="H72" s="28">
        <f>LN(Index!H73/Index!H72)</f>
        <v>-2.2385602595169134E-2</v>
      </c>
      <c r="I72" s="28">
        <f>LN(Index!I73/Index!I72)</f>
        <v>-1.0052818287180134E-2</v>
      </c>
      <c r="J72" s="28">
        <f>LN(Index!J73/Index!J72)</f>
        <v>-1.8405452317454562E-2</v>
      </c>
      <c r="K72" s="28">
        <f>LN(Index!K73/Index!K72)</f>
        <v>-3.0472355088199812E-2</v>
      </c>
      <c r="L72" s="28">
        <f>LN(Index!L73/Index!L72)</f>
        <v>-3.7121497682608681E-2</v>
      </c>
      <c r="M72" s="28">
        <f>LN(Index!M73/Index!M72)</f>
        <v>-3.1704440024930301E-2</v>
      </c>
      <c r="N72" s="28">
        <f>LN(Index!N73/Index!N72)</f>
        <v>-1.3595533354890102E-2</v>
      </c>
    </row>
    <row r="73" spans="1:14">
      <c r="A73" s="15">
        <v>38128</v>
      </c>
      <c r="B73" s="28">
        <f>LN(Index!B74/Index!B73)</f>
        <v>9.2722311547950367E-3</v>
      </c>
      <c r="C73" s="28">
        <f>LN(Index!C74/Index!C73)</f>
        <v>7.1533888518103836E-3</v>
      </c>
      <c r="D73" s="28">
        <f>LN(Index!D74/Index!D73)</f>
        <v>3.413548564580729E-2</v>
      </c>
      <c r="E73" s="28">
        <f>LN(Index!E74/Index!E73)</f>
        <v>1.5490802433908487E-2</v>
      </c>
      <c r="F73" s="28">
        <f>LN(Index!F74/Index!F73)</f>
        <v>-3.3373254862326816E-3</v>
      </c>
      <c r="G73" s="28">
        <f>LN(Index!G74/Index!G73)</f>
        <v>3.8197544355259926E-2</v>
      </c>
      <c r="H73" s="28">
        <f>LN(Index!H74/Index!H73)</f>
        <v>4.1474405561018309E-3</v>
      </c>
      <c r="I73" s="28">
        <f>LN(Index!I74/Index!I73)</f>
        <v>3.0285835622941237E-2</v>
      </c>
      <c r="J73" s="28">
        <f>LN(Index!J74/Index!J73)</f>
        <v>1.042748787778092E-2</v>
      </c>
      <c r="K73" s="28">
        <f>LN(Index!K74/Index!K73)</f>
        <v>1.5304962712683187E-2</v>
      </c>
      <c r="L73" s="28">
        <f>LN(Index!L74/Index!L73)</f>
        <v>1.9509211160591778E-2</v>
      </c>
      <c r="M73" s="28">
        <f>LN(Index!M74/Index!M73)</f>
        <v>2.2922617236243087E-2</v>
      </c>
      <c r="N73" s="28">
        <f>LN(Index!N74/Index!N73)</f>
        <v>-2.6452590338784704E-3</v>
      </c>
    </row>
    <row r="74" spans="1:14">
      <c r="A74" s="15">
        <v>38135</v>
      </c>
      <c r="B74" s="28">
        <f>LN(Index!B75/Index!B74)</f>
        <v>2.4809718837547588E-2</v>
      </c>
      <c r="C74" s="28">
        <f>LN(Index!C75/Index!C74)</f>
        <v>1.329240717314583E-2</v>
      </c>
      <c r="D74" s="28">
        <f>LN(Index!D75/Index!D74)</f>
        <v>5.1659168183021381E-2</v>
      </c>
      <c r="E74" s="28">
        <f>LN(Index!E75/Index!E74)</f>
        <v>2.7752973669200109E-2</v>
      </c>
      <c r="F74" s="28">
        <f>LN(Index!F75/Index!F74)</f>
        <v>3.0125790435194283E-2</v>
      </c>
      <c r="G74" s="28">
        <f>LN(Index!G75/Index!G74)</f>
        <v>3.5353097599330613E-2</v>
      </c>
      <c r="H74" s="28">
        <f>LN(Index!H75/Index!H74)</f>
        <v>3.8639182868426034E-2</v>
      </c>
      <c r="I74" s="28">
        <f>LN(Index!I75/Index!I74)</f>
        <v>3.6456520954740591E-2</v>
      </c>
      <c r="J74" s="28">
        <f>LN(Index!J75/Index!J74)</f>
        <v>2.8382147878513616E-2</v>
      </c>
      <c r="K74" s="28">
        <f>LN(Index!K75/Index!K74)</f>
        <v>1.5575694524775384E-2</v>
      </c>
      <c r="L74" s="28">
        <f>LN(Index!L75/Index!L74)</f>
        <v>5.5032959300583544E-2</v>
      </c>
      <c r="M74" s="28">
        <f>LN(Index!M75/Index!M74)</f>
        <v>2.9245721141495588E-2</v>
      </c>
      <c r="N74" s="28">
        <f>LN(Index!N75/Index!N74)</f>
        <v>1.6224192949829363E-2</v>
      </c>
    </row>
    <row r="75" spans="1:14">
      <c r="A75" s="15">
        <v>38142</v>
      </c>
      <c r="B75" s="28">
        <f>LN(Index!B76/Index!B75)</f>
        <v>1.5153843151597202E-3</v>
      </c>
      <c r="C75" s="28">
        <f>LN(Index!C76/Index!C75)</f>
        <v>-5.4085760212630131E-3</v>
      </c>
      <c r="D75" s="28">
        <f>LN(Index!D76/Index!D75)</f>
        <v>-1.3740348454943678E-2</v>
      </c>
      <c r="E75" s="28">
        <f>LN(Index!E76/Index!E75)</f>
        <v>8.6985856867661231E-3</v>
      </c>
      <c r="F75" s="28">
        <f>LN(Index!F76/Index!F75)</f>
        <v>-1.7134171278693734E-3</v>
      </c>
      <c r="G75" s="28">
        <f>LN(Index!G76/Index!G75)</f>
        <v>-1.9069878101519947E-2</v>
      </c>
      <c r="H75" s="28">
        <f>LN(Index!H76/Index!H75)</f>
        <v>-6.0924171512062733E-3</v>
      </c>
      <c r="I75" s="28">
        <f>LN(Index!I76/Index!I75)</f>
        <v>8.9466230311150505E-3</v>
      </c>
      <c r="J75" s="28">
        <f>LN(Index!J76/Index!J75)</f>
        <v>1.4833649424149371E-2</v>
      </c>
      <c r="K75" s="28">
        <f>LN(Index!K76/Index!K75)</f>
        <v>7.7830842359369792E-3</v>
      </c>
      <c r="L75" s="28">
        <f>LN(Index!L76/Index!L75)</f>
        <v>2.2689786846132689E-3</v>
      </c>
      <c r="M75" s="28">
        <f>LN(Index!M76/Index!M75)</f>
        <v>-1.3319532224954998E-3</v>
      </c>
      <c r="N75" s="28">
        <f>LN(Index!N76/Index!N75)</f>
        <v>1.9651177309807015E-3</v>
      </c>
    </row>
    <row r="76" spans="1:14">
      <c r="A76" s="15">
        <v>38149</v>
      </c>
      <c r="B76" s="28">
        <f>LN(Index!B77/Index!B76)</f>
        <v>8.3508389914925107E-3</v>
      </c>
      <c r="C76" s="28">
        <f>LN(Index!C77/Index!C76)</f>
        <v>-2.9981121329979714E-3</v>
      </c>
      <c r="D76" s="28">
        <f>LN(Index!D77/Index!D76)</f>
        <v>1.1449202304403732E-2</v>
      </c>
      <c r="E76" s="28">
        <f>LN(Index!E77/Index!E76)</f>
        <v>-1.7643154812257766E-2</v>
      </c>
      <c r="F76" s="28">
        <f>LN(Index!F77/Index!F76)</f>
        <v>5.5150658153661344E-3</v>
      </c>
      <c r="G76" s="28">
        <f>LN(Index!G77/Index!G76)</f>
        <v>3.0019915740012712E-2</v>
      </c>
      <c r="H76" s="28">
        <f>LN(Index!H77/Index!H76)</f>
        <v>-4.3758887505234547E-3</v>
      </c>
      <c r="I76" s="28">
        <f>LN(Index!I77/Index!I76)</f>
        <v>-1.8075555895556775E-2</v>
      </c>
      <c r="J76" s="28">
        <f>LN(Index!J77/Index!J76)</f>
        <v>-8.7989394499282045E-3</v>
      </c>
      <c r="K76" s="28">
        <f>LN(Index!K77/Index!K76)</f>
        <v>-4.9439103371411936E-3</v>
      </c>
      <c r="L76" s="28">
        <f>LN(Index!L77/Index!L76)</f>
        <v>2.7837878331365196E-2</v>
      </c>
      <c r="M76" s="28">
        <f>LN(Index!M77/Index!M76)</f>
        <v>-1.3535509664575104E-3</v>
      </c>
      <c r="N76" s="28">
        <f>LN(Index!N77/Index!N76)</f>
        <v>-3.2607236494218042E-3</v>
      </c>
    </row>
    <row r="77" spans="1:14">
      <c r="A77" s="15">
        <v>38156</v>
      </c>
      <c r="B77" s="28">
        <f>LN(Index!B78/Index!B77)</f>
        <v>4.258251449512117E-3</v>
      </c>
      <c r="C77" s="28">
        <f>LN(Index!C78/Index!C77)</f>
        <v>2.8245537518619243E-3</v>
      </c>
      <c r="D77" s="28">
        <f>LN(Index!D78/Index!D77)</f>
        <v>-1.6154405587673422E-3</v>
      </c>
      <c r="E77" s="28">
        <f>LN(Index!E78/Index!E77)</f>
        <v>1.6604524497781895E-2</v>
      </c>
      <c r="F77" s="28">
        <f>LN(Index!F78/Index!F77)</f>
        <v>1.5497658460343849E-2</v>
      </c>
      <c r="G77" s="28">
        <f>LN(Index!G78/Index!G77)</f>
        <v>-9.7078309670160772E-3</v>
      </c>
      <c r="H77" s="28">
        <f>LN(Index!H78/Index!H77)</f>
        <v>1.9119566415010055E-2</v>
      </c>
      <c r="I77" s="28">
        <f>LN(Index!I78/Index!I77)</f>
        <v>2.6600613446345636E-2</v>
      </c>
      <c r="J77" s="28">
        <f>LN(Index!J78/Index!J77)</f>
        <v>3.8966453784896384E-5</v>
      </c>
      <c r="K77" s="28">
        <f>LN(Index!K78/Index!K77)</f>
        <v>-1.0416274792535318E-2</v>
      </c>
      <c r="L77" s="28">
        <f>LN(Index!L78/Index!L77)</f>
        <v>2.0214302844986685E-2</v>
      </c>
      <c r="M77" s="28">
        <f>LN(Index!M78/Index!M77)</f>
        <v>4.6669607794757829E-3</v>
      </c>
      <c r="N77" s="28">
        <f>LN(Index!N78/Index!N77)</f>
        <v>1.7554788113783994E-2</v>
      </c>
    </row>
    <row r="78" spans="1:14">
      <c r="A78" s="15">
        <v>38163</v>
      </c>
      <c r="B78" s="28">
        <f>LN(Index!B79/Index!B78)</f>
        <v>2.8162111302096724E-3</v>
      </c>
      <c r="C78" s="28">
        <f>LN(Index!C79/Index!C78)</f>
        <v>7.220560155890344E-3</v>
      </c>
      <c r="D78" s="28">
        <f>LN(Index!D79/Index!D78)</f>
        <v>7.2067801001804597E-3</v>
      </c>
      <c r="E78" s="28">
        <f>LN(Index!E79/Index!E78)</f>
        <v>-5.6975009880353969E-3</v>
      </c>
      <c r="F78" s="28">
        <f>LN(Index!F79/Index!F78)</f>
        <v>1.1169729666933487E-2</v>
      </c>
      <c r="G78" s="28">
        <f>LN(Index!G79/Index!G78)</f>
        <v>1.6823964611855841E-2</v>
      </c>
      <c r="H78" s="28">
        <f>LN(Index!H79/Index!H78)</f>
        <v>3.4686629589532566E-3</v>
      </c>
      <c r="I78" s="28">
        <f>LN(Index!I79/Index!I78)</f>
        <v>-1.1190650341125234E-2</v>
      </c>
      <c r="J78" s="28">
        <f>LN(Index!J79/Index!J78)</f>
        <v>-5.9952733420204031E-3</v>
      </c>
      <c r="K78" s="28">
        <f>LN(Index!K79/Index!K78)</f>
        <v>-3.1484061567700096E-2</v>
      </c>
      <c r="L78" s="28">
        <f>LN(Index!L79/Index!L78)</f>
        <v>3.0977716518015806E-2</v>
      </c>
      <c r="M78" s="28">
        <f>LN(Index!M79/Index!M78)</f>
        <v>1.8872602225288707E-2</v>
      </c>
      <c r="N78" s="28">
        <f>LN(Index!N79/Index!N78)</f>
        <v>2.3082925221719103E-3</v>
      </c>
    </row>
    <row r="79" spans="1:14">
      <c r="A79" s="15">
        <v>38170</v>
      </c>
      <c r="B79" s="28">
        <f>LN(Index!B80/Index!B79)</f>
        <v>-4.6348928981350722E-3</v>
      </c>
      <c r="C79" s="28">
        <f>LN(Index!C80/Index!C79)</f>
        <v>3.445899413835453E-4</v>
      </c>
      <c r="D79" s="28">
        <f>LN(Index!D80/Index!D79)</f>
        <v>1.6339548235727447E-2</v>
      </c>
      <c r="E79" s="28">
        <f>LN(Index!E80/Index!E79)</f>
        <v>2.2935527722486048E-3</v>
      </c>
      <c r="F79" s="28">
        <f>LN(Index!F80/Index!F79)</f>
        <v>-3.781174279558409E-3</v>
      </c>
      <c r="G79" s="28">
        <f>LN(Index!G80/Index!G79)</f>
        <v>4.7992229795088562E-2</v>
      </c>
      <c r="H79" s="28">
        <f>LN(Index!H80/Index!H79)</f>
        <v>-9.4718376625665159E-3</v>
      </c>
      <c r="I79" s="28">
        <f>LN(Index!I80/Index!I79)</f>
        <v>2.8803349754444554E-2</v>
      </c>
      <c r="J79" s="28">
        <f>LN(Index!J80/Index!J79)</f>
        <v>-1.8036894038324858E-2</v>
      </c>
      <c r="K79" s="28">
        <f>LN(Index!K80/Index!K79)</f>
        <v>-5.2340308316448673E-3</v>
      </c>
      <c r="L79" s="28">
        <f>LN(Index!L80/Index!L79)</f>
        <v>-3.704328624870009E-2</v>
      </c>
      <c r="M79" s="28">
        <f>LN(Index!M80/Index!M79)</f>
        <v>3.2170100129053622E-2</v>
      </c>
      <c r="N79" s="28">
        <f>LN(Index!N80/Index!N79)</f>
        <v>7.2004954468552641E-3</v>
      </c>
    </row>
    <row r="80" spans="1:14">
      <c r="A80" s="15">
        <v>38177</v>
      </c>
      <c r="B80" s="28">
        <f>LN(Index!B81/Index!B80)</f>
        <v>-6.6778529044808389E-3</v>
      </c>
      <c r="C80" s="28">
        <f>LN(Index!C81/Index!C80)</f>
        <v>9.8991616365576712E-3</v>
      </c>
      <c r="D80" s="28">
        <f>LN(Index!D81/Index!D80)</f>
        <v>6.6269294876090783E-3</v>
      </c>
      <c r="E80" s="28">
        <f>LN(Index!E81/Index!E80)</f>
        <v>1.6538285439559024E-2</v>
      </c>
      <c r="F80" s="28">
        <f>LN(Index!F81/Index!F80)</f>
        <v>2.5966178925125958E-3</v>
      </c>
      <c r="G80" s="28">
        <f>LN(Index!G81/Index!G80)</f>
        <v>2.8456771600314158E-2</v>
      </c>
      <c r="H80" s="28">
        <f>LN(Index!H81/Index!H80)</f>
        <v>9.3539917052261785E-3</v>
      </c>
      <c r="I80" s="28">
        <f>LN(Index!I81/Index!I80)</f>
        <v>8.7802756157352117E-3</v>
      </c>
      <c r="J80" s="28">
        <f>LN(Index!J81/Index!J80)</f>
        <v>2.2698651888248746E-2</v>
      </c>
      <c r="K80" s="28">
        <f>LN(Index!K81/Index!K80)</f>
        <v>-4.1108176743356222E-3</v>
      </c>
      <c r="L80" s="28">
        <f>LN(Index!L81/Index!L80)</f>
        <v>5.1189936108843089E-3</v>
      </c>
      <c r="M80" s="28">
        <f>LN(Index!M81/Index!M80)</f>
        <v>2.186858971487305E-2</v>
      </c>
      <c r="N80" s="28">
        <f>LN(Index!N81/Index!N80)</f>
        <v>6.78755699382596E-3</v>
      </c>
    </row>
    <row r="81" spans="1:14">
      <c r="A81" s="15">
        <v>38184</v>
      </c>
      <c r="B81" s="28">
        <f>LN(Index!B82/Index!B81)</f>
        <v>-8.174732743577405E-3</v>
      </c>
      <c r="C81" s="28">
        <f>LN(Index!C82/Index!C81)</f>
        <v>-1.749856403483598E-3</v>
      </c>
      <c r="D81" s="28">
        <f>LN(Index!D82/Index!D81)</f>
        <v>1.0430877705108471E-2</v>
      </c>
      <c r="E81" s="28">
        <f>LN(Index!E82/Index!E81)</f>
        <v>1.0752071178569297E-2</v>
      </c>
      <c r="F81" s="28">
        <f>LN(Index!F82/Index!F81)</f>
        <v>-4.7739913860919469E-4</v>
      </c>
      <c r="G81" s="28">
        <f>LN(Index!G82/Index!G81)</f>
        <v>9.8208475439856319E-4</v>
      </c>
      <c r="H81" s="28">
        <f>LN(Index!H82/Index!H81)</f>
        <v>1.2952102235679785E-2</v>
      </c>
      <c r="I81" s="28">
        <f>LN(Index!I82/Index!I81)</f>
        <v>1.6560513651981693E-2</v>
      </c>
      <c r="J81" s="28">
        <f>LN(Index!J82/Index!J81)</f>
        <v>9.4830138059109267E-3</v>
      </c>
      <c r="K81" s="28">
        <f>LN(Index!K82/Index!K81)</f>
        <v>1.8167759154166904E-2</v>
      </c>
      <c r="L81" s="28">
        <f>LN(Index!L82/Index!L81)</f>
        <v>-1.7519699827464871E-2</v>
      </c>
      <c r="M81" s="28">
        <f>LN(Index!M82/Index!M81)</f>
        <v>9.533238722958979E-4</v>
      </c>
      <c r="N81" s="28">
        <f>LN(Index!N82/Index!N81)</f>
        <v>-3.0333897024056871E-3</v>
      </c>
    </row>
    <row r="82" spans="1:14">
      <c r="A82" s="15">
        <v>38191</v>
      </c>
      <c r="B82" s="28">
        <f>LN(Index!B83/Index!B82)</f>
        <v>-2.181041522612796E-2</v>
      </c>
      <c r="C82" s="28">
        <f>LN(Index!C83/Index!C82)</f>
        <v>5.5516410795344797E-4</v>
      </c>
      <c r="D82" s="28">
        <f>LN(Index!D83/Index!D82)</f>
        <v>-2.5152314609408057E-2</v>
      </c>
      <c r="E82" s="28">
        <f>LN(Index!E83/Index!E82)</f>
        <v>-3.009515099368618E-2</v>
      </c>
      <c r="F82" s="28">
        <f>LN(Index!F83/Index!F82)</f>
        <v>-1.564894317469032E-2</v>
      </c>
      <c r="G82" s="28">
        <f>LN(Index!G83/Index!G82)</f>
        <v>-2.0369030418165346E-2</v>
      </c>
      <c r="H82" s="28">
        <f>LN(Index!H83/Index!H82)</f>
        <v>-1.7176520166453241E-2</v>
      </c>
      <c r="I82" s="28">
        <f>LN(Index!I83/Index!I82)</f>
        <v>-2.9077123998827819E-2</v>
      </c>
      <c r="J82" s="28">
        <f>LN(Index!J83/Index!J82)</f>
        <v>-3.5323795571473457E-2</v>
      </c>
      <c r="K82" s="28">
        <f>LN(Index!K83/Index!K82)</f>
        <v>-3.2659669095016136E-2</v>
      </c>
      <c r="L82" s="28">
        <f>LN(Index!L83/Index!L82)</f>
        <v>-4.8461442768436058E-2</v>
      </c>
      <c r="M82" s="28">
        <f>LN(Index!M83/Index!M82)</f>
        <v>-2.8851729839748323E-2</v>
      </c>
      <c r="N82" s="28">
        <f>LN(Index!N83/Index!N82)</f>
        <v>-1.2038815065960377E-2</v>
      </c>
    </row>
    <row r="83" spans="1:14">
      <c r="A83" s="15">
        <v>38198</v>
      </c>
      <c r="B83" s="28">
        <f>LN(Index!B84/Index!B83)</f>
        <v>9.9914226525457707E-3</v>
      </c>
      <c r="C83" s="28">
        <f>LN(Index!C84/Index!C83)</f>
        <v>-7.6283904682247607E-3</v>
      </c>
      <c r="D83" s="28">
        <f>LN(Index!D84/Index!D83)</f>
        <v>-3.3520489713003776E-4</v>
      </c>
      <c r="E83" s="28">
        <f>LN(Index!E84/Index!E83)</f>
        <v>-1.0461889516018049E-3</v>
      </c>
      <c r="F83" s="28">
        <f>LN(Index!F84/Index!F83)</f>
        <v>8.7329770055185277E-3</v>
      </c>
      <c r="G83" s="28">
        <f>LN(Index!G84/Index!G83)</f>
        <v>4.4007514567641747E-3</v>
      </c>
      <c r="H83" s="28">
        <f>LN(Index!H84/Index!H83)</f>
        <v>7.9886172810761519E-3</v>
      </c>
      <c r="I83" s="28">
        <f>LN(Index!I84/Index!I83)</f>
        <v>1.0685074051313999E-2</v>
      </c>
      <c r="J83" s="28">
        <f>LN(Index!J84/Index!J83)</f>
        <v>-5.95146627456721E-3</v>
      </c>
      <c r="K83" s="28">
        <f>LN(Index!K84/Index!K83)</f>
        <v>7.0298925715859585E-3</v>
      </c>
      <c r="L83" s="28">
        <f>LN(Index!L84/Index!L83)</f>
        <v>2.9549006646893413E-2</v>
      </c>
      <c r="M83" s="28">
        <f>LN(Index!M84/Index!M83)</f>
        <v>-2.246958583613973E-3</v>
      </c>
      <c r="N83" s="28">
        <f>LN(Index!N84/Index!N83)</f>
        <v>-1.3629706704494195E-3</v>
      </c>
    </row>
    <row r="84" spans="1:14">
      <c r="A84" s="15">
        <v>38205</v>
      </c>
      <c r="B84" s="28">
        <f>LN(Index!B85/Index!B84)</f>
        <v>-2.2829433467742893E-2</v>
      </c>
      <c r="C84" s="28">
        <f>LN(Index!C85/Index!C84)</f>
        <v>8.0552301537219553E-3</v>
      </c>
      <c r="D84" s="28">
        <f>LN(Index!D85/Index!D84)</f>
        <v>1.3900094791059265E-2</v>
      </c>
      <c r="E84" s="28">
        <f>LN(Index!E85/Index!E84)</f>
        <v>2.823390837641462E-2</v>
      </c>
      <c r="F84" s="28">
        <f>LN(Index!F85/Index!F84)</f>
        <v>-7.7763930275542316E-4</v>
      </c>
      <c r="G84" s="28">
        <f>LN(Index!G85/Index!G84)</f>
        <v>1.2449315309565043E-2</v>
      </c>
      <c r="H84" s="28">
        <f>LN(Index!H85/Index!H84)</f>
        <v>2.1886034540572172E-2</v>
      </c>
      <c r="I84" s="28">
        <f>LN(Index!I85/Index!I84)</f>
        <v>1.3102539897756943E-2</v>
      </c>
      <c r="J84" s="28">
        <f>LN(Index!J85/Index!J84)</f>
        <v>3.3258238118728897E-2</v>
      </c>
      <c r="K84" s="28">
        <f>LN(Index!K85/Index!K84)</f>
        <v>3.1045436380931237E-4</v>
      </c>
      <c r="L84" s="28">
        <f>LN(Index!L85/Index!L84)</f>
        <v>-5.6200400811733039E-2</v>
      </c>
      <c r="M84" s="28">
        <f>LN(Index!M85/Index!M84)</f>
        <v>2.3926507688781445E-2</v>
      </c>
      <c r="N84" s="28">
        <f>LN(Index!N85/Index!N84)</f>
        <v>1.0359166577279918E-2</v>
      </c>
    </row>
    <row r="85" spans="1:14">
      <c r="A85" s="15">
        <v>38212</v>
      </c>
      <c r="B85" s="28">
        <f>LN(Index!B86/Index!B85)</f>
        <v>-4.4829916377918527E-3</v>
      </c>
      <c r="C85" s="28">
        <f>LN(Index!C86/Index!C85)</f>
        <v>8.794907241627483E-3</v>
      </c>
      <c r="D85" s="28">
        <f>LN(Index!D86/Index!D85)</f>
        <v>-6.1354972340492246E-3</v>
      </c>
      <c r="E85" s="28">
        <f>LN(Index!E86/Index!E85)</f>
        <v>2.7222607853310001E-3</v>
      </c>
      <c r="F85" s="28">
        <f>LN(Index!F86/Index!F85)</f>
        <v>3.2828130336316529E-3</v>
      </c>
      <c r="G85" s="28">
        <f>LN(Index!G86/Index!G85)</f>
        <v>-2.4563788225221324E-3</v>
      </c>
      <c r="H85" s="28">
        <f>LN(Index!H86/Index!H85)</f>
        <v>-9.9188750818355684E-3</v>
      </c>
      <c r="I85" s="28">
        <f>LN(Index!I86/Index!I85)</f>
        <v>-1.0663704140497676E-2</v>
      </c>
      <c r="J85" s="28">
        <f>LN(Index!J86/Index!J85)</f>
        <v>2.2840748760419558E-2</v>
      </c>
      <c r="K85" s="28">
        <f>LN(Index!K86/Index!K85)</f>
        <v>1.2272493112616592E-2</v>
      </c>
      <c r="L85" s="28">
        <f>LN(Index!L86/Index!L85)</f>
        <v>3.6398760874269701E-2</v>
      </c>
      <c r="M85" s="28">
        <f>LN(Index!M86/Index!M85)</f>
        <v>-4.8411013830819893E-3</v>
      </c>
      <c r="N85" s="28">
        <f>LN(Index!N86/Index!N85)</f>
        <v>7.336541904668167E-3</v>
      </c>
    </row>
    <row r="86" spans="1:14">
      <c r="A86" s="15">
        <v>38219</v>
      </c>
      <c r="B86" s="28">
        <f>LN(Index!B87/Index!B86)</f>
        <v>2.3752018872620465E-2</v>
      </c>
      <c r="C86" s="28">
        <f>LN(Index!C87/Index!C86)</f>
        <v>6.1569797671560981E-3</v>
      </c>
      <c r="D86" s="28">
        <f>LN(Index!D87/Index!D86)</f>
        <v>2.5941366026568526E-2</v>
      </c>
      <c r="E86" s="28">
        <f>LN(Index!E87/Index!E86)</f>
        <v>-4.0303929445495729E-3</v>
      </c>
      <c r="F86" s="28">
        <f>LN(Index!F87/Index!F86)</f>
        <v>1.1619073884506925E-2</v>
      </c>
      <c r="G86" s="28">
        <f>LN(Index!G87/Index!G86)</f>
        <v>3.1459669498880079E-2</v>
      </c>
      <c r="H86" s="28">
        <f>LN(Index!H87/Index!H86)</f>
        <v>1.1772891604335978E-3</v>
      </c>
      <c r="I86" s="28">
        <f>LN(Index!I87/Index!I86)</f>
        <v>-4.4893870040048356E-3</v>
      </c>
      <c r="J86" s="28">
        <f>LN(Index!J87/Index!J86)</f>
        <v>-1.0689065188659912E-2</v>
      </c>
      <c r="K86" s="28">
        <f>LN(Index!K87/Index!K86)</f>
        <v>1.3880602065566554E-2</v>
      </c>
      <c r="L86" s="28">
        <f>LN(Index!L87/Index!L86)</f>
        <v>2.1201151245785987E-2</v>
      </c>
      <c r="M86" s="28">
        <f>LN(Index!M87/Index!M86)</f>
        <v>2.0146697193149404E-2</v>
      </c>
      <c r="N86" s="28">
        <f>LN(Index!N87/Index!N86)</f>
        <v>8.453365348825766E-3</v>
      </c>
    </row>
    <row r="87" spans="1:14">
      <c r="A87" s="15">
        <v>38226</v>
      </c>
      <c r="B87" s="28">
        <f>LN(Index!B88/Index!B87)</f>
        <v>9.0081058956553751E-3</v>
      </c>
      <c r="C87" s="28">
        <f>LN(Index!C88/Index!C87)</f>
        <v>-3.1159231913771897E-3</v>
      </c>
      <c r="D87" s="28">
        <f>LN(Index!D88/Index!D87)</f>
        <v>1.5120120771205395E-2</v>
      </c>
      <c r="E87" s="28">
        <f>LN(Index!E88/Index!E87)</f>
        <v>5.3258689539998037E-3</v>
      </c>
      <c r="F87" s="28">
        <f>LN(Index!F88/Index!F87)</f>
        <v>4.8186871195189933E-4</v>
      </c>
      <c r="G87" s="28">
        <f>LN(Index!G88/Index!G87)</f>
        <v>6.3590930045807148E-3</v>
      </c>
      <c r="H87" s="28">
        <f>LN(Index!H88/Index!H87)</f>
        <v>5.1299717308928381E-3</v>
      </c>
      <c r="I87" s="28">
        <f>LN(Index!I88/Index!I87)</f>
        <v>1.566573139945315E-2</v>
      </c>
      <c r="J87" s="28">
        <f>LN(Index!J88/Index!J87)</f>
        <v>1.2766114548210236E-2</v>
      </c>
      <c r="K87" s="28">
        <f>LN(Index!K88/Index!K87)</f>
        <v>4.3787901363367228E-3</v>
      </c>
      <c r="L87" s="28">
        <f>LN(Index!L88/Index!L87)</f>
        <v>2.5734750973328478E-2</v>
      </c>
      <c r="M87" s="28">
        <f>LN(Index!M88/Index!M87)</f>
        <v>-2.9123936781771859E-3</v>
      </c>
      <c r="N87" s="28">
        <f>LN(Index!N88/Index!N87)</f>
        <v>-6.986084245623506E-3</v>
      </c>
    </row>
    <row r="88" spans="1:14">
      <c r="A88" s="15">
        <v>38233</v>
      </c>
      <c r="B88" s="28">
        <f>LN(Index!B89/Index!B88)</f>
        <v>3.5188837764518828E-3</v>
      </c>
      <c r="C88" s="28">
        <f>LN(Index!C89/Index!C88)</f>
        <v>3.4942254593973107E-3</v>
      </c>
      <c r="D88" s="28">
        <f>LN(Index!D89/Index!D88)</f>
        <v>1.2217526029392566E-2</v>
      </c>
      <c r="E88" s="28">
        <f>LN(Index!E89/Index!E88)</f>
        <v>7.3413218247192352E-3</v>
      </c>
      <c r="F88" s="28">
        <f>LN(Index!F89/Index!F88)</f>
        <v>1.6736300804523565E-2</v>
      </c>
      <c r="G88" s="28">
        <f>LN(Index!G89/Index!G88)</f>
        <v>-2.4260194629634083E-2</v>
      </c>
      <c r="H88" s="28">
        <f>LN(Index!H89/Index!H88)</f>
        <v>1.3494316509081856E-2</v>
      </c>
      <c r="I88" s="28">
        <f>LN(Index!I89/Index!I88)</f>
        <v>-1.8607731473231571E-2</v>
      </c>
      <c r="J88" s="28">
        <f>LN(Index!J89/Index!J88)</f>
        <v>5.2002906846688552E-3</v>
      </c>
      <c r="K88" s="28">
        <f>LN(Index!K89/Index!K88)</f>
        <v>-8.2277927711747083E-4</v>
      </c>
      <c r="L88" s="28">
        <f>LN(Index!L89/Index!L88)</f>
        <v>-5.2126895629563937E-3</v>
      </c>
      <c r="M88" s="28">
        <f>LN(Index!M89/Index!M88)</f>
        <v>1.1172490420347967E-2</v>
      </c>
      <c r="N88" s="28">
        <f>LN(Index!N89/Index!N88)</f>
        <v>1.666956866307661E-2</v>
      </c>
    </row>
    <row r="89" spans="1:14">
      <c r="A89" s="15">
        <v>38240</v>
      </c>
      <c r="B89" s="28">
        <f>LN(Index!B90/Index!B89)</f>
        <v>1.2734139550774227E-2</v>
      </c>
      <c r="C89" s="28">
        <f>LN(Index!C90/Index!C89)</f>
        <v>2.521220283966691E-4</v>
      </c>
      <c r="D89" s="28">
        <f>LN(Index!D90/Index!D89)</f>
        <v>1.019856646907198E-2</v>
      </c>
      <c r="E89" s="28">
        <f>LN(Index!E90/Index!E89)</f>
        <v>1.5644161158873803E-2</v>
      </c>
      <c r="F89" s="28">
        <f>LN(Index!F90/Index!F89)</f>
        <v>1.0168845738614986E-2</v>
      </c>
      <c r="G89" s="28">
        <f>LN(Index!G90/Index!G89)</f>
        <v>1.1046941024088335E-2</v>
      </c>
      <c r="H89" s="28">
        <f>LN(Index!H90/Index!H89)</f>
        <v>-2.6545083066957065E-3</v>
      </c>
      <c r="I89" s="28">
        <f>LN(Index!I90/Index!I89)</f>
        <v>1.3005722718533425E-2</v>
      </c>
      <c r="J89" s="28">
        <f>LN(Index!J90/Index!J89)</f>
        <v>7.1802975727997106E-4</v>
      </c>
      <c r="K89" s="28">
        <f>LN(Index!K90/Index!K89)</f>
        <v>4.0486811798432318E-2</v>
      </c>
      <c r="L89" s="28">
        <f>LN(Index!L90/Index!L89)</f>
        <v>2.5478765555732443E-2</v>
      </c>
      <c r="M89" s="28">
        <f>LN(Index!M90/Index!M89)</f>
        <v>2.8877998652287247E-2</v>
      </c>
      <c r="N89" s="28">
        <f>LN(Index!N90/Index!N89)</f>
        <v>1.7790533955917377E-2</v>
      </c>
    </row>
    <row r="90" spans="1:14">
      <c r="A90" s="15">
        <v>38247</v>
      </c>
      <c r="B90" s="28">
        <f>LN(Index!B91/Index!B90)</f>
        <v>1.9989155403645981E-3</v>
      </c>
      <c r="C90" s="28">
        <f>LN(Index!C91/Index!C90)</f>
        <v>5.2381371472421546E-3</v>
      </c>
      <c r="D90" s="28">
        <f>LN(Index!D91/Index!D90)</f>
        <v>-2.8920956571436307E-3</v>
      </c>
      <c r="E90" s="28">
        <f>LN(Index!E91/Index!E90)</f>
        <v>-1.2443031338505266E-3</v>
      </c>
      <c r="F90" s="28">
        <f>LN(Index!F91/Index!F90)</f>
        <v>6.5287588226127747E-3</v>
      </c>
      <c r="G90" s="28">
        <f>LN(Index!G91/Index!G90)</f>
        <v>2.0400201996671492E-3</v>
      </c>
      <c r="H90" s="28">
        <f>LN(Index!H91/Index!H90)</f>
        <v>6.3834283164816621E-3</v>
      </c>
      <c r="I90" s="28">
        <f>LN(Index!I91/Index!I90)</f>
        <v>-2.8681941572705847E-3</v>
      </c>
      <c r="J90" s="28">
        <f>LN(Index!J91/Index!J90)</f>
        <v>7.5554665689458671E-6</v>
      </c>
      <c r="K90" s="28">
        <f>LN(Index!K91/Index!K90)</f>
        <v>-3.1243619418643131E-3</v>
      </c>
      <c r="L90" s="28">
        <f>LN(Index!L91/Index!L90)</f>
        <v>3.9989616930652576E-3</v>
      </c>
      <c r="M90" s="28">
        <f>LN(Index!M91/Index!M90)</f>
        <v>-3.0988196670726311E-3</v>
      </c>
      <c r="N90" s="28">
        <f>LN(Index!N91/Index!N90)</f>
        <v>5.1112303307670384E-3</v>
      </c>
    </row>
    <row r="91" spans="1:14">
      <c r="A91" s="15">
        <v>38254</v>
      </c>
      <c r="B91" s="28">
        <f>LN(Index!B92/Index!B91)</f>
        <v>-9.6410464182202851E-3</v>
      </c>
      <c r="C91" s="28">
        <f>LN(Index!C92/Index!C91)</f>
        <v>3.2130887873842605E-3</v>
      </c>
      <c r="D91" s="28">
        <f>LN(Index!D92/Index!D91)</f>
        <v>-1.1731956144334256E-2</v>
      </c>
      <c r="E91" s="28">
        <f>LN(Index!E92/Index!E91)</f>
        <v>6.565727523863531E-3</v>
      </c>
      <c r="F91" s="28">
        <f>LN(Index!F92/Index!F91)</f>
        <v>-1.4114696075006769E-2</v>
      </c>
      <c r="G91" s="28">
        <f>LN(Index!G92/Index!G91)</f>
        <v>3.5553518792090531E-2</v>
      </c>
      <c r="H91" s="28">
        <f>LN(Index!H92/Index!H91)</f>
        <v>-1.1960648364514817E-2</v>
      </c>
      <c r="I91" s="28">
        <f>LN(Index!I92/Index!I91)</f>
        <v>4.5381287411115773E-3</v>
      </c>
      <c r="J91" s="28">
        <f>LN(Index!J92/Index!J91)</f>
        <v>1.1971423913740948E-2</v>
      </c>
      <c r="K91" s="28">
        <f>LN(Index!K92/Index!K91)</f>
        <v>4.7956302732015824E-3</v>
      </c>
      <c r="L91" s="28">
        <f>LN(Index!L92/Index!L91)</f>
        <v>-7.8870995923026668E-3</v>
      </c>
      <c r="M91" s="28">
        <f>LN(Index!M92/Index!M91)</f>
        <v>1.7518747056133502E-2</v>
      </c>
      <c r="N91" s="28">
        <f>LN(Index!N92/Index!N91)</f>
        <v>-2.1972523922135345E-3</v>
      </c>
    </row>
    <row r="92" spans="1:14">
      <c r="A92" s="15">
        <v>38261</v>
      </c>
      <c r="B92" s="28">
        <f>LN(Index!B93/Index!B92)</f>
        <v>2.0263193424215172E-2</v>
      </c>
      <c r="C92" s="28">
        <f>LN(Index!C93/Index!C92)</f>
        <v>-8.7527357885515281E-4</v>
      </c>
      <c r="D92" s="28">
        <f>LN(Index!D93/Index!D92)</f>
        <v>1.1810230967277487E-2</v>
      </c>
      <c r="E92" s="28">
        <f>LN(Index!E93/Index!E92)</f>
        <v>1.69425481354777E-2</v>
      </c>
      <c r="F92" s="28">
        <f>LN(Index!F93/Index!F92)</f>
        <v>2.669128238253687E-2</v>
      </c>
      <c r="G92" s="28">
        <f>LN(Index!G93/Index!G92)</f>
        <v>9.7973099380077103E-3</v>
      </c>
      <c r="H92" s="28">
        <f>LN(Index!H93/Index!H92)</f>
        <v>2.2900898785184729E-2</v>
      </c>
      <c r="I92" s="28">
        <f>LN(Index!I93/Index!I92)</f>
        <v>1.9096595496286551E-2</v>
      </c>
      <c r="J92" s="28">
        <f>LN(Index!J93/Index!J92)</f>
        <v>1.8389180243573111E-2</v>
      </c>
      <c r="K92" s="28">
        <f>LN(Index!K93/Index!K92)</f>
        <v>2.8214122250013528E-3</v>
      </c>
      <c r="L92" s="28">
        <f>LN(Index!L93/Index!L92)</f>
        <v>3.272152966910432E-2</v>
      </c>
      <c r="M92" s="28">
        <f>LN(Index!M93/Index!M92)</f>
        <v>1.0378329196238208E-2</v>
      </c>
      <c r="N92" s="28">
        <f>LN(Index!N93/Index!N92)</f>
        <v>2.3863039829241168E-2</v>
      </c>
    </row>
    <row r="93" spans="1:14">
      <c r="A93" s="15">
        <v>38268</v>
      </c>
      <c r="B93" s="28">
        <f>LN(Index!B94/Index!B93)</f>
        <v>1.1753921285513284E-3</v>
      </c>
      <c r="C93" s="28">
        <f>LN(Index!C94/Index!C93)</f>
        <v>-5.9806539485883665E-3</v>
      </c>
      <c r="D93" s="28">
        <f>LN(Index!D94/Index!D93)</f>
        <v>1.0743583291563845E-2</v>
      </c>
      <c r="E93" s="28">
        <f>LN(Index!E94/Index!E93)</f>
        <v>1.2930899227273371E-3</v>
      </c>
      <c r="F93" s="28">
        <f>LN(Index!F94/Index!F93)</f>
        <v>2.3203789312204446E-3</v>
      </c>
      <c r="G93" s="28">
        <f>LN(Index!G94/Index!G93)</f>
        <v>1.7143506188923227E-2</v>
      </c>
      <c r="H93" s="28">
        <f>LN(Index!H94/Index!H93)</f>
        <v>3.0474443150059084E-3</v>
      </c>
      <c r="I93" s="28">
        <f>LN(Index!I94/Index!I93)</f>
        <v>9.0101460333029111E-4</v>
      </c>
      <c r="J93" s="28">
        <f>LN(Index!J94/Index!J93)</f>
        <v>-5.5491386905401029E-3</v>
      </c>
      <c r="K93" s="28">
        <f>LN(Index!K94/Index!K93)</f>
        <v>2.1560618057144397E-2</v>
      </c>
      <c r="L93" s="28">
        <f>LN(Index!L94/Index!L93)</f>
        <v>2.677202177586413E-2</v>
      </c>
      <c r="M93" s="28">
        <f>LN(Index!M94/Index!M93)</f>
        <v>9.1776267235272168E-3</v>
      </c>
      <c r="N93" s="28">
        <f>LN(Index!N94/Index!N93)</f>
        <v>-1.8480598750829896E-3</v>
      </c>
    </row>
    <row r="94" spans="1:14">
      <c r="A94" s="15">
        <v>38275</v>
      </c>
      <c r="B94" s="28">
        <f>LN(Index!B95/Index!B94)</f>
        <v>-1.2177977023139016E-2</v>
      </c>
      <c r="C94" s="28">
        <f>LN(Index!C95/Index!C94)</f>
        <v>1.2588744823452415E-2</v>
      </c>
      <c r="D94" s="28">
        <f>LN(Index!D95/Index!D94)</f>
        <v>2.9382221710590106E-3</v>
      </c>
      <c r="E94" s="28">
        <f>LN(Index!E95/Index!E94)</f>
        <v>3.4823100183755816E-3</v>
      </c>
      <c r="F94" s="28">
        <f>LN(Index!F95/Index!F94)</f>
        <v>2.8328950148442558E-3</v>
      </c>
      <c r="G94" s="28">
        <f>LN(Index!G95/Index!G94)</f>
        <v>2.1157672804253406E-2</v>
      </c>
      <c r="H94" s="28">
        <f>LN(Index!H95/Index!H94)</f>
        <v>4.3912383164084095E-3</v>
      </c>
      <c r="I94" s="28">
        <f>LN(Index!I95/Index!I94)</f>
        <v>9.5939472757892216E-3</v>
      </c>
      <c r="J94" s="28">
        <f>LN(Index!J95/Index!J94)</f>
        <v>1.2269643184212205E-2</v>
      </c>
      <c r="K94" s="28">
        <f>LN(Index!K95/Index!K94)</f>
        <v>9.723596101555574E-3</v>
      </c>
      <c r="L94" s="28">
        <f>LN(Index!L95/Index!L94)</f>
        <v>1.7947680848335291E-2</v>
      </c>
      <c r="M94" s="28">
        <f>LN(Index!M95/Index!M94)</f>
        <v>4.3748468624083244E-3</v>
      </c>
      <c r="N94" s="28">
        <f>LN(Index!N95/Index!N94)</f>
        <v>-2.138957412822445E-3</v>
      </c>
    </row>
    <row r="95" spans="1:14">
      <c r="A95" s="15">
        <v>38282</v>
      </c>
      <c r="B95" s="28">
        <f>LN(Index!B96/Index!B95)</f>
        <v>-1.3326735399633591E-3</v>
      </c>
      <c r="C95" s="28">
        <f>LN(Index!C96/Index!C95)</f>
        <v>5.576568141503313E-3</v>
      </c>
      <c r="D95" s="28">
        <f>LN(Index!D96/Index!D95)</f>
        <v>-6.1785605919825173E-4</v>
      </c>
      <c r="E95" s="28">
        <f>LN(Index!E96/Index!E95)</f>
        <v>1.6699212578975525E-2</v>
      </c>
      <c r="F95" s="28">
        <f>LN(Index!F96/Index!F95)</f>
        <v>-3.126411685311544E-3</v>
      </c>
      <c r="G95" s="28">
        <f>LN(Index!G96/Index!G95)</f>
        <v>1.5475520362326236E-2</v>
      </c>
      <c r="H95" s="28">
        <f>LN(Index!H96/Index!H95)</f>
        <v>-1.4473207827596871E-3</v>
      </c>
      <c r="I95" s="28">
        <f>LN(Index!I96/Index!I95)</f>
        <v>1.2269831515760738E-2</v>
      </c>
      <c r="J95" s="28">
        <f>LN(Index!J96/Index!J95)</f>
        <v>2.0950416501501118E-2</v>
      </c>
      <c r="K95" s="28">
        <f>LN(Index!K96/Index!K95)</f>
        <v>3.2717110975288025E-2</v>
      </c>
      <c r="L95" s="28">
        <f>LN(Index!L96/Index!L95)</f>
        <v>2.2284452082167693E-3</v>
      </c>
      <c r="M95" s="28">
        <f>LN(Index!M96/Index!M95)</f>
        <v>1.8596203952139009E-2</v>
      </c>
      <c r="N95" s="28">
        <f>LN(Index!N96/Index!N95)</f>
        <v>5.5156838431065476E-3</v>
      </c>
    </row>
    <row r="96" spans="1:14">
      <c r="A96" s="15">
        <v>38289</v>
      </c>
      <c r="B96" s="28">
        <f>LN(Index!B97/Index!B96)</f>
        <v>2.1560113718800296E-2</v>
      </c>
      <c r="C96" s="28">
        <f>LN(Index!C97/Index!C96)</f>
        <v>1.0704435128113662E-3</v>
      </c>
      <c r="D96" s="28">
        <f>LN(Index!D97/Index!D96)</f>
        <v>1.2819212201128935E-2</v>
      </c>
      <c r="E96" s="28">
        <f>LN(Index!E97/Index!E96)</f>
        <v>1.2666840613341801E-2</v>
      </c>
      <c r="F96" s="28">
        <f>LN(Index!F97/Index!F96)</f>
        <v>2.112977572552659E-2</v>
      </c>
      <c r="G96" s="28">
        <f>LN(Index!G97/Index!G96)</f>
        <v>5.7394059379575982E-3</v>
      </c>
      <c r="H96" s="28">
        <f>LN(Index!H97/Index!H96)</f>
        <v>1.1791403924066857E-2</v>
      </c>
      <c r="I96" s="28">
        <f>LN(Index!I97/Index!I96)</f>
        <v>2.392500269593674E-2</v>
      </c>
      <c r="J96" s="28">
        <f>LN(Index!J97/Index!J96)</f>
        <v>2.2035010926311133E-2</v>
      </c>
      <c r="K96" s="28">
        <f>LN(Index!K97/Index!K96)</f>
        <v>-6.1969307399483016E-4</v>
      </c>
      <c r="L96" s="28">
        <f>LN(Index!L97/Index!L96)</f>
        <v>2.6385654442163595E-2</v>
      </c>
      <c r="M96" s="28">
        <f>LN(Index!M97/Index!M96)</f>
        <v>-6.9004908247766198E-3</v>
      </c>
      <c r="N96" s="28">
        <f>LN(Index!N97/Index!N96)</f>
        <v>2.6772200304492857E-2</v>
      </c>
    </row>
    <row r="97" spans="1:14">
      <c r="A97" s="15">
        <v>38296</v>
      </c>
      <c r="B97" s="28">
        <f>LN(Index!B98/Index!B97)</f>
        <v>3.282891545298261E-2</v>
      </c>
      <c r="C97" s="28">
        <f>LN(Index!C98/Index!C97)</f>
        <v>2.178515772086026E-3</v>
      </c>
      <c r="D97" s="28">
        <f>LN(Index!D98/Index!D97)</f>
        <v>2.4188347257974689E-2</v>
      </c>
      <c r="E97" s="28">
        <f>LN(Index!E98/Index!E97)</f>
        <v>2.3528272609675206E-2</v>
      </c>
      <c r="F97" s="28">
        <f>LN(Index!F98/Index!F97)</f>
        <v>1.9898141047161776E-2</v>
      </c>
      <c r="G97" s="28">
        <f>LN(Index!G98/Index!G97)</f>
        <v>2.1024821180429764E-2</v>
      </c>
      <c r="H97" s="28">
        <f>LN(Index!H98/Index!H97)</f>
        <v>2.901584969411004E-2</v>
      </c>
      <c r="I97" s="28">
        <f>LN(Index!I98/Index!I97)</f>
        <v>2.8643357290717483E-2</v>
      </c>
      <c r="J97" s="28">
        <f>LN(Index!J98/Index!J97)</f>
        <v>1.5473714687980497E-2</v>
      </c>
      <c r="K97" s="28">
        <f>LN(Index!K98/Index!K97)</f>
        <v>2.6338119386396498E-2</v>
      </c>
      <c r="L97" s="28">
        <f>LN(Index!L98/Index!L97)</f>
        <v>2.5849039071675923E-2</v>
      </c>
      <c r="M97" s="28">
        <f>LN(Index!M98/Index!M97)</f>
        <v>2.7931151936635531E-2</v>
      </c>
      <c r="N97" s="28">
        <f>LN(Index!N98/Index!N97)</f>
        <v>9.9138460222764936E-3</v>
      </c>
    </row>
    <row r="98" spans="1:14">
      <c r="A98" s="15">
        <v>38303</v>
      </c>
      <c r="B98" s="28">
        <f>LN(Index!B99/Index!B98)</f>
        <v>1.2853440019455735E-2</v>
      </c>
      <c r="C98" s="28">
        <f>LN(Index!C99/Index!C98)</f>
        <v>-3.5785571784545593E-3</v>
      </c>
      <c r="D98" s="28">
        <f>LN(Index!D99/Index!D98)</f>
        <v>2.5650912117768099E-2</v>
      </c>
      <c r="E98" s="28">
        <f>LN(Index!E99/Index!E98)</f>
        <v>-1.1019875955082133E-2</v>
      </c>
      <c r="F98" s="28">
        <f>LN(Index!F99/Index!F98)</f>
        <v>2.4471268693660096E-2</v>
      </c>
      <c r="G98" s="28">
        <f>LN(Index!G99/Index!G98)</f>
        <v>1.4829670180449457E-2</v>
      </c>
      <c r="H98" s="28">
        <f>LN(Index!H99/Index!H98)</f>
        <v>-8.4689902660921475E-3</v>
      </c>
      <c r="I98" s="28">
        <f>LN(Index!I99/Index!I98)</f>
        <v>9.5449914951280836E-3</v>
      </c>
      <c r="J98" s="28">
        <f>LN(Index!J99/Index!J98)</f>
        <v>-3.1417365085116514E-2</v>
      </c>
      <c r="K98" s="28">
        <f>LN(Index!K99/Index!K98)</f>
        <v>3.0215613766988555E-2</v>
      </c>
      <c r="L98" s="28">
        <f>LN(Index!L99/Index!L98)</f>
        <v>5.5524182414922595E-2</v>
      </c>
      <c r="M98" s="28">
        <f>LN(Index!M99/Index!M98)</f>
        <v>1.0827289737997233E-2</v>
      </c>
      <c r="N98" s="28">
        <f>LN(Index!N99/Index!N98)</f>
        <v>1.7094802185223336E-2</v>
      </c>
    </row>
    <row r="99" spans="1:14">
      <c r="A99" s="15">
        <v>38310</v>
      </c>
      <c r="B99" s="28">
        <f>LN(Index!B100/Index!B99)</f>
        <v>-1.4616497851885183E-3</v>
      </c>
      <c r="C99" s="28">
        <f>LN(Index!C100/Index!C99)</f>
        <v>8.616144880095199E-3</v>
      </c>
      <c r="D99" s="28">
        <f>LN(Index!D100/Index!D99)</f>
        <v>-1.5249993878102943E-3</v>
      </c>
      <c r="E99" s="28">
        <f>LN(Index!E100/Index!E99)</f>
        <v>1.2713740437492713E-2</v>
      </c>
      <c r="F99" s="28">
        <f>LN(Index!F100/Index!F99)</f>
        <v>-1.4135890819091133E-2</v>
      </c>
      <c r="G99" s="28">
        <f>LN(Index!G100/Index!G99)</f>
        <v>2.2759771463368293E-2</v>
      </c>
      <c r="H99" s="28">
        <f>LN(Index!H100/Index!H99)</f>
        <v>-3.9005930225788056E-4</v>
      </c>
      <c r="I99" s="28">
        <f>LN(Index!I100/Index!I99)</f>
        <v>1.1807803281869705E-2</v>
      </c>
      <c r="J99" s="28">
        <f>LN(Index!J100/Index!J99)</f>
        <v>-6.6632171625961509E-4</v>
      </c>
      <c r="K99" s="28">
        <f>LN(Index!K100/Index!K99)</f>
        <v>7.0607158408080165E-3</v>
      </c>
      <c r="L99" s="28">
        <f>LN(Index!L100/Index!L99)</f>
        <v>-2.6060215581095645E-2</v>
      </c>
      <c r="M99" s="28">
        <f>LN(Index!M100/Index!M99)</f>
        <v>1.5424797368994629E-2</v>
      </c>
      <c r="N99" s="28">
        <f>LN(Index!N100/Index!N99)</f>
        <v>7.1280921116352602E-4</v>
      </c>
    </row>
    <row r="100" spans="1:14">
      <c r="A100" s="15">
        <v>38317</v>
      </c>
      <c r="B100" s="28">
        <f>LN(Index!B101/Index!B100)</f>
        <v>1.0328213759875979E-2</v>
      </c>
      <c r="C100" s="28">
        <f>LN(Index!C101/Index!C100)</f>
        <v>2.6519262395241511E-3</v>
      </c>
      <c r="D100" s="28">
        <f>LN(Index!D101/Index!D100)</f>
        <v>2.3628518565941965E-2</v>
      </c>
      <c r="E100" s="28">
        <f>LN(Index!E101/Index!E100)</f>
        <v>3.5001248848157543E-2</v>
      </c>
      <c r="F100" s="28">
        <f>LN(Index!F101/Index!F100)</f>
        <v>2.4376204748143199E-2</v>
      </c>
      <c r="G100" s="28">
        <f>LN(Index!G101/Index!G100)</f>
        <v>2.6783108206405129E-2</v>
      </c>
      <c r="H100" s="28">
        <f>LN(Index!H101/Index!H100)</f>
        <v>2.763787272567737E-2</v>
      </c>
      <c r="I100" s="28">
        <f>LN(Index!I101/Index!I100)</f>
        <v>1.9353623241115728E-2</v>
      </c>
      <c r="J100" s="28">
        <f>LN(Index!J101/Index!J100)</f>
        <v>4.1841995181341157E-2</v>
      </c>
      <c r="K100" s="28">
        <f>LN(Index!K101/Index!K100)</f>
        <v>2.7188724594980656E-2</v>
      </c>
      <c r="L100" s="28">
        <f>LN(Index!L101/Index!L100)</f>
        <v>1.8133608695463474E-2</v>
      </c>
      <c r="M100" s="28">
        <f>LN(Index!M101/Index!M100)</f>
        <v>3.5229157186600378E-2</v>
      </c>
      <c r="N100" s="28">
        <f>LN(Index!N101/Index!N100)</f>
        <v>3.131305405532131E-2</v>
      </c>
    </row>
    <row r="101" spans="1:14">
      <c r="A101" s="15">
        <v>38324</v>
      </c>
      <c r="B101" s="28">
        <f>LN(Index!B102/Index!B101)</f>
        <v>1.0082820054530626E-2</v>
      </c>
      <c r="C101" s="28">
        <f>LN(Index!C102/Index!C101)</f>
        <v>-4.0828048385561982E-3</v>
      </c>
      <c r="D101" s="28">
        <f>LN(Index!D102/Index!D101)</f>
        <v>1.7867667240936535E-2</v>
      </c>
      <c r="E101" s="28">
        <f>LN(Index!E102/Index!E101)</f>
        <v>3.0084746997995872E-2</v>
      </c>
      <c r="F101" s="28">
        <f>LN(Index!F102/Index!F101)</f>
        <v>-1.0910283452869275E-2</v>
      </c>
      <c r="G101" s="28">
        <f>LN(Index!G102/Index!G101)</f>
        <v>1.0706511448017158E-2</v>
      </c>
      <c r="H101" s="28">
        <f>LN(Index!H102/Index!H101)</f>
        <v>-8.7098109604545112E-3</v>
      </c>
      <c r="I101" s="28">
        <f>LN(Index!I102/Index!I101)</f>
        <v>2.2696577032481815E-2</v>
      </c>
      <c r="J101" s="28">
        <f>LN(Index!J102/Index!J101)</f>
        <v>6.5968963986246132E-2</v>
      </c>
      <c r="K101" s="28">
        <f>LN(Index!K102/Index!K101)</f>
        <v>3.622138244816718E-2</v>
      </c>
      <c r="L101" s="28">
        <f>LN(Index!L102/Index!L101)</f>
        <v>4.3207161525621353E-2</v>
      </c>
      <c r="M101" s="28">
        <f>LN(Index!M102/Index!M101)</f>
        <v>1.1822210946480364E-2</v>
      </c>
      <c r="N101" s="28">
        <f>LN(Index!N102/Index!N101)</f>
        <v>-5.1859327812307267E-3</v>
      </c>
    </row>
    <row r="102" spans="1:14">
      <c r="A102" s="15">
        <v>38331</v>
      </c>
      <c r="B102" s="28">
        <f>LN(Index!B103/Index!B102)</f>
        <v>-1.4284636995825255E-2</v>
      </c>
      <c r="C102" s="28">
        <f>LN(Index!C103/Index!C102)</f>
        <v>8.0678458962636264E-3</v>
      </c>
      <c r="D102" s="28">
        <f>LN(Index!D103/Index!D102)</f>
        <v>-1.3406061454591812E-2</v>
      </c>
      <c r="E102" s="28">
        <f>LN(Index!E103/Index!E102)</f>
        <v>-7.6081737710844343E-3</v>
      </c>
      <c r="F102" s="28">
        <f>LN(Index!F103/Index!F102)</f>
        <v>-1.773661482232599E-2</v>
      </c>
      <c r="G102" s="28">
        <f>LN(Index!G103/Index!G102)</f>
        <v>-4.9682876450760076E-2</v>
      </c>
      <c r="H102" s="28">
        <f>LN(Index!H103/Index!H102)</f>
        <v>-1.4943349153414101E-2</v>
      </c>
      <c r="I102" s="28">
        <f>LN(Index!I103/Index!I102)</f>
        <v>-3.3114615425262464E-2</v>
      </c>
      <c r="J102" s="28">
        <f>LN(Index!J103/Index!J102)</f>
        <v>1.1872204653984244E-2</v>
      </c>
      <c r="K102" s="28">
        <f>LN(Index!K103/Index!K102)</f>
        <v>-3.8347331404864223E-3</v>
      </c>
      <c r="L102" s="28">
        <f>LN(Index!L103/Index!L102)</f>
        <v>-5.418779517121658E-2</v>
      </c>
      <c r="M102" s="28">
        <f>LN(Index!M103/Index!M102)</f>
        <v>-2.5622162541034953E-2</v>
      </c>
      <c r="N102" s="28">
        <f>LN(Index!N103/Index!N102)</f>
        <v>-8.5960714343727099E-3</v>
      </c>
    </row>
    <row r="103" spans="1:14">
      <c r="A103" s="15">
        <v>38338</v>
      </c>
      <c r="B103" s="28">
        <f>LN(Index!B104/Index!B103)</f>
        <v>9.8793242369279114E-3</v>
      </c>
      <c r="C103" s="28">
        <f>LN(Index!C104/Index!C103)</f>
        <v>1.216742525192984E-3</v>
      </c>
      <c r="D103" s="28">
        <f>LN(Index!D104/Index!D103)</f>
        <v>1.0962864539287253E-2</v>
      </c>
      <c r="E103" s="28">
        <f>LN(Index!E104/Index!E103)</f>
        <v>1.8733955174654697E-2</v>
      </c>
      <c r="F103" s="28">
        <f>LN(Index!F104/Index!F103)</f>
        <v>2.4710477148647152E-2</v>
      </c>
      <c r="G103" s="28">
        <f>LN(Index!G104/Index!G103)</f>
        <v>3.395925071594405E-2</v>
      </c>
      <c r="H103" s="28">
        <f>LN(Index!H104/Index!H103)</f>
        <v>2.8831618715794559E-2</v>
      </c>
      <c r="I103" s="28">
        <f>LN(Index!I104/Index!I103)</f>
        <v>1.216310517381234E-2</v>
      </c>
      <c r="J103" s="28">
        <f>LN(Index!J104/Index!J103)</f>
        <v>1.8542884210453425E-2</v>
      </c>
      <c r="K103" s="28">
        <f>LN(Index!K104/Index!K103)</f>
        <v>3.9334621497629915E-3</v>
      </c>
      <c r="L103" s="28">
        <f>LN(Index!L104/Index!L103)</f>
        <v>2.6888145257361641E-2</v>
      </c>
      <c r="M103" s="28">
        <f>LN(Index!M104/Index!M103)</f>
        <v>2.1181253684198365E-2</v>
      </c>
      <c r="N103" s="28">
        <f>LN(Index!N104/Index!N103)</f>
        <v>2.5412676822940718E-2</v>
      </c>
    </row>
    <row r="104" spans="1:14">
      <c r="A104" s="15">
        <v>38345</v>
      </c>
      <c r="B104" s="28">
        <f>LN(Index!B105/Index!B104)</f>
        <v>2.0640603509773977E-2</v>
      </c>
      <c r="C104" s="28">
        <f>LN(Index!C105/Index!C104)</f>
        <v>-1.4602687866448274E-3</v>
      </c>
      <c r="D104" s="28">
        <f>LN(Index!D105/Index!D104)</f>
        <v>1.8694721563249719E-2</v>
      </c>
      <c r="E104" s="28">
        <f>LN(Index!E105/Index!E104)</f>
        <v>1.9607092688503948E-2</v>
      </c>
      <c r="F104" s="28">
        <f>LN(Index!F105/Index!F104)</f>
        <v>9.8641784984327286E-3</v>
      </c>
      <c r="G104" s="28">
        <f>LN(Index!G105/Index!G104)</f>
        <v>2.2698271821674467E-2</v>
      </c>
      <c r="H104" s="28">
        <f>LN(Index!H105/Index!H104)</f>
        <v>1.8811427461487517E-2</v>
      </c>
      <c r="I104" s="28">
        <f>LN(Index!I105/Index!I104)</f>
        <v>1.1833251040712717E-2</v>
      </c>
      <c r="J104" s="28">
        <f>LN(Index!J105/Index!J104)</f>
        <v>6.43263212794749E-3</v>
      </c>
      <c r="K104" s="28">
        <f>LN(Index!K105/Index!K104)</f>
        <v>1.7174856988058521E-3</v>
      </c>
      <c r="L104" s="28">
        <f>LN(Index!L105/Index!L104)</f>
        <v>-8.700978621558525E-3</v>
      </c>
      <c r="M104" s="28">
        <f>LN(Index!M105/Index!M104)</f>
        <v>3.0181284678864433E-2</v>
      </c>
      <c r="N104" s="28">
        <f>LN(Index!N105/Index!N104)</f>
        <v>1.7075459124921588E-2</v>
      </c>
    </row>
    <row r="105" spans="1:14">
      <c r="A105" s="15">
        <v>38352</v>
      </c>
      <c r="B105" s="28">
        <f>LN(Index!B106/Index!B105)</f>
        <v>5.3936222060710975E-3</v>
      </c>
      <c r="C105" s="28">
        <f>LN(Index!C106/Index!C105)</f>
        <v>0</v>
      </c>
      <c r="D105" s="28">
        <f>LN(Index!D106/Index!D105)</f>
        <v>1.4234873431329276E-2</v>
      </c>
      <c r="E105" s="28">
        <f>LN(Index!E106/Index!E105)</f>
        <v>6.1503741344047149E-3</v>
      </c>
      <c r="F105" s="28">
        <f>LN(Index!F106/Index!F105)</f>
        <v>4.4712145364250513E-3</v>
      </c>
      <c r="G105" s="28">
        <f>LN(Index!G106/Index!G105)</f>
        <v>1.3034443999646256E-2</v>
      </c>
      <c r="H105" s="28">
        <f>LN(Index!H106/Index!H105)</f>
        <v>-5.9929348248353499E-4</v>
      </c>
      <c r="I105" s="28">
        <f>LN(Index!I106/Index!I105)</f>
        <v>8.5029054885231159E-3</v>
      </c>
      <c r="J105" s="28">
        <f>LN(Index!J106/Index!J105)</f>
        <v>4.5913481859886909E-3</v>
      </c>
      <c r="K105" s="28">
        <f>LN(Index!K106/Index!K105)</f>
        <v>9.5833093154819755E-3</v>
      </c>
      <c r="L105" s="28">
        <f>LN(Index!L106/Index!L105)</f>
        <v>1.3438761587295962E-2</v>
      </c>
      <c r="M105" s="28">
        <f>LN(Index!M106/Index!M105)</f>
        <v>9.0506726611238493E-3</v>
      </c>
      <c r="N105" s="28">
        <f>LN(Index!N106/Index!N105)</f>
        <v>7.3543999705073622E-3</v>
      </c>
    </row>
    <row r="106" spans="1:14">
      <c r="A106" s="15">
        <v>38359</v>
      </c>
      <c r="B106" s="28">
        <f>LN(Index!B107/Index!B106)</f>
        <v>-2.5490175158375095E-2</v>
      </c>
      <c r="C106" s="28">
        <f>LN(Index!C107/Index!C106)</f>
        <v>-2.23509185803759E-3</v>
      </c>
      <c r="D106" s="28">
        <f>LN(Index!D107/Index!D106)</f>
        <v>-4.5377450790741285E-2</v>
      </c>
      <c r="E106" s="28">
        <f>LN(Index!E107/Index!E106)</f>
        <v>-2.9208603927117417E-2</v>
      </c>
      <c r="F106" s="28">
        <f>LN(Index!F107/Index!F106)</f>
        <v>-3.0914319547083749E-2</v>
      </c>
      <c r="G106" s="28">
        <f>LN(Index!G107/Index!G106)</f>
        <v>-7.557930765074574E-3</v>
      </c>
      <c r="H106" s="28">
        <f>LN(Index!H107/Index!H106)</f>
        <v>-2.6479810279981555E-2</v>
      </c>
      <c r="I106" s="28">
        <f>LN(Index!I107/Index!I106)</f>
        <v>-2.5264823077970188E-2</v>
      </c>
      <c r="J106" s="28">
        <f>LN(Index!J107/Index!J106)</f>
        <v>-2.8592227028077431E-2</v>
      </c>
      <c r="K106" s="28">
        <f>LN(Index!K107/Index!K106)</f>
        <v>-3.5565355884424922E-2</v>
      </c>
      <c r="L106" s="28">
        <f>LN(Index!L107/Index!L106)</f>
        <v>1.7294776406452488E-3</v>
      </c>
      <c r="M106" s="28">
        <f>LN(Index!M107/Index!M106)</f>
        <v>-2.0125560255399584E-2</v>
      </c>
      <c r="N106" s="28">
        <f>LN(Index!N107/Index!N106)</f>
        <v>-4.0191868220267803E-2</v>
      </c>
    </row>
    <row r="107" spans="1:14">
      <c r="A107" s="15">
        <v>38366</v>
      </c>
      <c r="B107" s="28">
        <f>LN(Index!B108/Index!B107)</f>
        <v>1.0171067698989619E-3</v>
      </c>
      <c r="C107" s="28">
        <f>LN(Index!C108/Index!C107)</f>
        <v>7.5386406550181119E-3</v>
      </c>
      <c r="D107" s="28">
        <f>LN(Index!D108/Index!D107)</f>
        <v>5.2230497055422397E-3</v>
      </c>
      <c r="E107" s="28">
        <f>LN(Index!E108/Index!E107)</f>
        <v>1.5327360346354402E-2</v>
      </c>
      <c r="F107" s="28">
        <f>LN(Index!F108/Index!F107)</f>
        <v>1.5927189048242047E-2</v>
      </c>
      <c r="G107" s="28">
        <f>LN(Index!G108/Index!G107)</f>
        <v>1.765912420524797E-2</v>
      </c>
      <c r="H107" s="28">
        <f>LN(Index!H108/Index!H107)</f>
        <v>7.4721153282913677E-3</v>
      </c>
      <c r="I107" s="28">
        <f>LN(Index!I108/Index!I107)</f>
        <v>1.9640054291921699E-2</v>
      </c>
      <c r="J107" s="28">
        <f>LN(Index!J108/Index!J107)</f>
        <v>2.6424572011445021E-3</v>
      </c>
      <c r="K107" s="28">
        <f>LN(Index!K108/Index!K107)</f>
        <v>1.4964610528154929E-2</v>
      </c>
      <c r="L107" s="28">
        <f>LN(Index!L108/Index!L107)</f>
        <v>1.8540104132245896E-2</v>
      </c>
      <c r="M107" s="28">
        <f>LN(Index!M108/Index!M107)</f>
        <v>2.842236033876961E-2</v>
      </c>
      <c r="N107" s="28">
        <f>LN(Index!N108/Index!N107)</f>
        <v>1.8366159510218083E-2</v>
      </c>
    </row>
    <row r="108" spans="1:14">
      <c r="A108" s="15">
        <v>38373</v>
      </c>
      <c r="B108" s="28">
        <f>LN(Index!B109/Index!B108)</f>
        <v>-1.1325249171457399E-2</v>
      </c>
      <c r="C108" s="28">
        <f>LN(Index!C109/Index!C108)</f>
        <v>-2.2637247923881403E-3</v>
      </c>
      <c r="D108" s="28">
        <f>LN(Index!D109/Index!D108)</f>
        <v>7.0372979681185928E-4</v>
      </c>
      <c r="E108" s="28">
        <f>LN(Index!E109/Index!E108)</f>
        <v>3.6236888569229258E-3</v>
      </c>
      <c r="F108" s="28">
        <f>LN(Index!F109/Index!F108)</f>
        <v>4.8742207377394566E-3</v>
      </c>
      <c r="G108" s="28">
        <f>LN(Index!G109/Index!G108)</f>
        <v>1.9736654243747653E-2</v>
      </c>
      <c r="H108" s="28">
        <f>LN(Index!H109/Index!H108)</f>
        <v>6.2110258691959195E-3</v>
      </c>
      <c r="I108" s="28">
        <f>LN(Index!I109/Index!I108)</f>
        <v>5.3106668636751682E-3</v>
      </c>
      <c r="J108" s="28">
        <f>LN(Index!J109/Index!J108)</f>
        <v>3.9162989152034065E-3</v>
      </c>
      <c r="K108" s="28">
        <f>LN(Index!K109/Index!K108)</f>
        <v>2.0037866618798382E-2</v>
      </c>
      <c r="L108" s="28">
        <f>LN(Index!L109/Index!L108)</f>
        <v>-2.0515614139028485E-3</v>
      </c>
      <c r="M108" s="28">
        <f>LN(Index!M109/Index!M108)</f>
        <v>9.8290173422850777E-3</v>
      </c>
      <c r="N108" s="28">
        <f>LN(Index!N109/Index!N108)</f>
        <v>3.0047405017533638E-3</v>
      </c>
    </row>
    <row r="109" spans="1:14">
      <c r="A109" s="15">
        <v>38380</v>
      </c>
      <c r="B109" s="28">
        <f>LN(Index!B110/Index!B109)</f>
        <v>4.5719721841304952E-3</v>
      </c>
      <c r="C109" s="28">
        <f>LN(Index!C110/Index!C109)</f>
        <v>3.6415869629007503E-4</v>
      </c>
      <c r="D109" s="28">
        <f>LN(Index!D110/Index!D109)</f>
        <v>-5.7145028343005477E-3</v>
      </c>
      <c r="E109" s="28">
        <f>LN(Index!E110/Index!E109)</f>
        <v>1.6280621290531448E-2</v>
      </c>
      <c r="F109" s="28">
        <f>LN(Index!F110/Index!F109)</f>
        <v>2.5569670343468538E-3</v>
      </c>
      <c r="G109" s="28">
        <f>LN(Index!G110/Index!G109)</f>
        <v>1.7793358346126217E-2</v>
      </c>
      <c r="H109" s="28">
        <f>LN(Index!H110/Index!H109)</f>
        <v>1.4002775436997489E-2</v>
      </c>
      <c r="I109" s="28">
        <f>LN(Index!I110/Index!I109)</f>
        <v>2.9761485511326156E-2</v>
      </c>
      <c r="J109" s="28">
        <f>LN(Index!J110/Index!J109)</f>
        <v>-1.4597973031671759E-2</v>
      </c>
      <c r="K109" s="28">
        <f>LN(Index!K110/Index!K109)</f>
        <v>-1.5009586626103676E-2</v>
      </c>
      <c r="L109" s="28">
        <f>LN(Index!L110/Index!L109)</f>
        <v>-2.0132068195238492E-2</v>
      </c>
      <c r="M109" s="28">
        <f>LN(Index!M110/Index!M109)</f>
        <v>2.7819269682092456E-2</v>
      </c>
      <c r="N109" s="28">
        <f>LN(Index!N110/Index!N109)</f>
        <v>9.9622935314936691E-3</v>
      </c>
    </row>
    <row r="110" spans="1:14">
      <c r="A110" s="15">
        <v>38387</v>
      </c>
      <c r="B110" s="28">
        <f>LN(Index!B111/Index!B110)</f>
        <v>2.1455330375419242E-2</v>
      </c>
      <c r="C110" s="28">
        <f>LN(Index!C111/Index!C110)</f>
        <v>0</v>
      </c>
      <c r="D110" s="28">
        <f>LN(Index!D111/Index!D110)</f>
        <v>1.006660853842049E-2</v>
      </c>
      <c r="E110" s="28">
        <f>LN(Index!E111/Index!E110)</f>
        <v>2.8386005128674369E-2</v>
      </c>
      <c r="F110" s="28">
        <f>LN(Index!F111/Index!F110)</f>
        <v>2.7581566211193051E-2</v>
      </c>
      <c r="G110" s="28">
        <f>LN(Index!G111/Index!G110)</f>
        <v>4.1814295078172983E-2</v>
      </c>
      <c r="H110" s="28">
        <f>LN(Index!H111/Index!H110)</f>
        <v>3.6024598090006257E-2</v>
      </c>
      <c r="I110" s="28">
        <f>LN(Index!I111/Index!I110)</f>
        <v>1.1123085981452875E-2</v>
      </c>
      <c r="J110" s="28">
        <f>LN(Index!J111/Index!J110)</f>
        <v>3.3873040843939321E-2</v>
      </c>
      <c r="K110" s="28">
        <f>LN(Index!K111/Index!K110)</f>
        <v>4.9128094740827931E-2</v>
      </c>
      <c r="L110" s="28">
        <f>LN(Index!L111/Index!L110)</f>
        <v>-3.3906685975323039E-3</v>
      </c>
      <c r="M110" s="28">
        <f>LN(Index!M111/Index!M110)</f>
        <v>3.3846311164189569E-2</v>
      </c>
      <c r="N110" s="28">
        <f>LN(Index!N111/Index!N110)</f>
        <v>2.9866008868402575E-2</v>
      </c>
    </row>
    <row r="111" spans="1:14">
      <c r="A111" s="15">
        <v>38394</v>
      </c>
      <c r="B111" s="28">
        <f>LN(Index!B112/Index!B111)</f>
        <v>4.5923217611165724E-3</v>
      </c>
      <c r="C111" s="28">
        <f>LN(Index!C112/Index!C111)</f>
        <v>2.7067989458738808E-3</v>
      </c>
      <c r="D111" s="28">
        <f>LN(Index!D112/Index!D111)</f>
        <v>1.3634993848384194E-2</v>
      </c>
      <c r="E111" s="28">
        <f>LN(Index!E112/Index!E111)</f>
        <v>-1.5650957815741581E-3</v>
      </c>
      <c r="F111" s="28">
        <f>LN(Index!F112/Index!F111)</f>
        <v>-1.5106305859094911E-3</v>
      </c>
      <c r="G111" s="28">
        <f>LN(Index!G112/Index!G111)</f>
        <v>4.2824344335748929E-3</v>
      </c>
      <c r="H111" s="28">
        <f>LN(Index!H112/Index!H111)</f>
        <v>1.7615396763306322E-3</v>
      </c>
      <c r="I111" s="28">
        <f>LN(Index!I112/Index!I111)</f>
        <v>6.9420306016459666E-3</v>
      </c>
      <c r="J111" s="28">
        <f>LN(Index!J112/Index!J111)</f>
        <v>-7.4075551186925685E-3</v>
      </c>
      <c r="K111" s="28">
        <f>LN(Index!K112/Index!K111)</f>
        <v>-1.1324479002250556E-2</v>
      </c>
      <c r="L111" s="28">
        <f>LN(Index!L112/Index!L111)</f>
        <v>-1.1429472375182499E-2</v>
      </c>
      <c r="M111" s="28">
        <f>LN(Index!M112/Index!M111)</f>
        <v>3.5792902649610657E-4</v>
      </c>
      <c r="N111" s="28">
        <f>LN(Index!N112/Index!N111)</f>
        <v>-1.8280585891000533E-3</v>
      </c>
    </row>
    <row r="112" spans="1:14">
      <c r="A112" s="15">
        <v>38401</v>
      </c>
      <c r="B112" s="28">
        <f>LN(Index!B113/Index!B112)</f>
        <v>5.0247484025296683E-3</v>
      </c>
      <c r="C112" s="28">
        <f>LN(Index!C113/Index!C112)</f>
        <v>-1.6151178508985184E-3</v>
      </c>
      <c r="D112" s="28">
        <f>LN(Index!D113/Index!D112)</f>
        <v>5.6497325421191276E-3</v>
      </c>
      <c r="E112" s="28">
        <f>LN(Index!E113/Index!E112)</f>
        <v>6.7837393001325885E-3</v>
      </c>
      <c r="F112" s="28">
        <f>LN(Index!F113/Index!F112)</f>
        <v>-5.4235449659074432E-5</v>
      </c>
      <c r="G112" s="28">
        <f>LN(Index!G113/Index!G112)</f>
        <v>-1.4276524778641497E-2</v>
      </c>
      <c r="H112" s="28">
        <f>LN(Index!H113/Index!H112)</f>
        <v>7.354224770379684E-3</v>
      </c>
      <c r="I112" s="28">
        <f>LN(Index!I113/Index!I112)</f>
        <v>6.2396271187559072E-3</v>
      </c>
      <c r="J112" s="28">
        <f>LN(Index!J113/Index!J112)</f>
        <v>4.4388288149924283E-3</v>
      </c>
      <c r="K112" s="28">
        <f>LN(Index!K113/Index!K112)</f>
        <v>4.1135254937707854E-3</v>
      </c>
      <c r="L112" s="28">
        <f>LN(Index!L113/Index!L112)</f>
        <v>3.7622208427618556E-2</v>
      </c>
      <c r="M112" s="28">
        <f>LN(Index!M113/Index!M112)</f>
        <v>-1.4458886634543656E-2</v>
      </c>
      <c r="N112" s="28">
        <f>LN(Index!N113/Index!N112)</f>
        <v>-9.4144728311334558E-4</v>
      </c>
    </row>
    <row r="113" spans="1:14">
      <c r="A113" s="15">
        <v>38408</v>
      </c>
      <c r="B113" s="28">
        <f>LN(Index!B114/Index!B113)</f>
        <v>6.8022254355422545E-3</v>
      </c>
      <c r="C113" s="28">
        <f>LN(Index!C114/Index!C113)</f>
        <v>-2.3870705000984885E-3</v>
      </c>
      <c r="D113" s="28">
        <f>LN(Index!D114/Index!D113)</f>
        <v>-1.5858509005327259E-2</v>
      </c>
      <c r="E113" s="28">
        <f>LN(Index!E114/Index!E113)</f>
        <v>-2.7700880530513023E-2</v>
      </c>
      <c r="F113" s="28">
        <f>LN(Index!F114/Index!F113)</f>
        <v>-7.068946272596857E-3</v>
      </c>
      <c r="G113" s="28">
        <f>LN(Index!G114/Index!G113)</f>
        <v>-3.25184576341372E-3</v>
      </c>
      <c r="H113" s="28">
        <f>LN(Index!H114/Index!H113)</f>
        <v>-3.0437780513647754E-2</v>
      </c>
      <c r="I113" s="28">
        <f>LN(Index!I114/Index!I113)</f>
        <v>-9.8037948433481441E-3</v>
      </c>
      <c r="J113" s="28">
        <f>LN(Index!J114/Index!J113)</f>
        <v>-2.1163332968226464E-2</v>
      </c>
      <c r="K113" s="28">
        <f>LN(Index!K114/Index!K113)</f>
        <v>-8.5203933706050668E-3</v>
      </c>
      <c r="L113" s="28">
        <f>LN(Index!L114/Index!L113)</f>
        <v>-1.3417818880806367E-2</v>
      </c>
      <c r="M113" s="28">
        <f>LN(Index!M114/Index!M113)</f>
        <v>-1.8570287034308318E-2</v>
      </c>
      <c r="N113" s="28">
        <f>LN(Index!N114/Index!N113)</f>
        <v>-8.4207981682298018E-3</v>
      </c>
    </row>
    <row r="114" spans="1:14">
      <c r="A114" s="15">
        <v>38415</v>
      </c>
      <c r="B114" s="28">
        <f>LN(Index!B115/Index!B114)</f>
        <v>1.2905474169135542E-2</v>
      </c>
      <c r="C114" s="28">
        <f>LN(Index!C115/Index!C114)</f>
        <v>1.5380882170902099E-3</v>
      </c>
      <c r="D114" s="28">
        <f>LN(Index!D115/Index!D114)</f>
        <v>1.0485114979647084E-2</v>
      </c>
      <c r="E114" s="28">
        <f>LN(Index!E115/Index!E114)</f>
        <v>-3.4843759659756585E-3</v>
      </c>
      <c r="F114" s="28">
        <f>LN(Index!F115/Index!F114)</f>
        <v>1.4162324480800634E-2</v>
      </c>
      <c r="G114" s="28">
        <f>LN(Index!G115/Index!G114)</f>
        <v>3.7890637928355056E-3</v>
      </c>
      <c r="H114" s="28">
        <f>LN(Index!H115/Index!H114)</f>
        <v>1.1172925442465152E-3</v>
      </c>
      <c r="I114" s="28">
        <f>LN(Index!I115/Index!I114)</f>
        <v>-5.0801450700844143E-3</v>
      </c>
      <c r="J114" s="28">
        <f>LN(Index!J115/Index!J114)</f>
        <v>2.1622714145840874E-3</v>
      </c>
      <c r="K114" s="28">
        <f>LN(Index!K115/Index!K114)</f>
        <v>1.6075546562710302E-2</v>
      </c>
      <c r="L114" s="28">
        <f>LN(Index!L115/Index!L114)</f>
        <v>-3.8620368934312974E-3</v>
      </c>
      <c r="M114" s="28">
        <f>LN(Index!M115/Index!M114)</f>
        <v>-6.0938471176144775E-3</v>
      </c>
      <c r="N114" s="28">
        <f>LN(Index!N115/Index!N114)</f>
        <v>1.9013097491175274E-2</v>
      </c>
    </row>
    <row r="115" spans="1:14">
      <c r="A115" s="15">
        <v>38422</v>
      </c>
      <c r="B115" s="28">
        <f>LN(Index!B116/Index!B115)</f>
        <v>-9.1491792377122808E-3</v>
      </c>
      <c r="C115" s="28">
        <f>LN(Index!C116/Index!C115)</f>
        <v>-3.3219930080284803E-3</v>
      </c>
      <c r="D115" s="28">
        <f>LN(Index!D116/Index!D115)</f>
        <v>-7.4184830809730972E-3</v>
      </c>
      <c r="E115" s="28">
        <f>LN(Index!E116/Index!E115)</f>
        <v>-2.1884506507418394E-2</v>
      </c>
      <c r="F115" s="28">
        <f>LN(Index!F116/Index!F115)</f>
        <v>-7.9751167823818216E-3</v>
      </c>
      <c r="G115" s="28">
        <f>LN(Index!G116/Index!G115)</f>
        <v>-2.5498728797016521E-3</v>
      </c>
      <c r="H115" s="28">
        <f>LN(Index!H116/Index!H115)</f>
        <v>-1.9671892559797306E-2</v>
      </c>
      <c r="I115" s="28">
        <f>LN(Index!I116/Index!I115)</f>
        <v>-1.1955009267194354E-2</v>
      </c>
      <c r="J115" s="28">
        <f>LN(Index!J116/Index!J115)</f>
        <v>-2.0135375307505018E-2</v>
      </c>
      <c r="K115" s="28">
        <f>LN(Index!K116/Index!K115)</f>
        <v>-9.8956584208126207E-3</v>
      </c>
      <c r="L115" s="28">
        <f>LN(Index!L116/Index!L115)</f>
        <v>2.028082482759918E-2</v>
      </c>
      <c r="M115" s="28">
        <f>LN(Index!M116/Index!M115)</f>
        <v>-1.7579219270196907E-2</v>
      </c>
      <c r="N115" s="28">
        <f>LN(Index!N116/Index!N115)</f>
        <v>-1.5260303183799083E-2</v>
      </c>
    </row>
    <row r="116" spans="1:14">
      <c r="A116" s="15">
        <v>38429</v>
      </c>
      <c r="B116" s="28">
        <f>LN(Index!B117/Index!B116)</f>
        <v>-1.0532861248354817E-2</v>
      </c>
      <c r="C116" s="28">
        <f>LN(Index!C117/Index!C116)</f>
        <v>-2.6004646729600382E-3</v>
      </c>
      <c r="D116" s="28">
        <f>LN(Index!D117/Index!D116)</f>
        <v>-6.2650101245166363E-4</v>
      </c>
      <c r="E116" s="28">
        <f>LN(Index!E117/Index!E116)</f>
        <v>1.2250683395345686E-3</v>
      </c>
      <c r="F116" s="28">
        <f>LN(Index!F117/Index!F116)</f>
        <v>-2.1465503816614604E-3</v>
      </c>
      <c r="G116" s="28">
        <f>LN(Index!G117/Index!G116)</f>
        <v>8.5070391868664781E-3</v>
      </c>
      <c r="H116" s="28">
        <f>LN(Index!H117/Index!H116)</f>
        <v>-3.2160990965466388E-3</v>
      </c>
      <c r="I116" s="28">
        <f>LN(Index!I117/Index!I116)</f>
        <v>-1.6399665891474505E-3</v>
      </c>
      <c r="J116" s="28">
        <f>LN(Index!J117/Index!J116)</f>
        <v>-1.2912135364228749E-3</v>
      </c>
      <c r="K116" s="28">
        <f>LN(Index!K117/Index!K116)</f>
        <v>9.9789147420970645E-3</v>
      </c>
      <c r="L116" s="28">
        <f>LN(Index!L117/Index!L116)</f>
        <v>-1.5751986535446644E-2</v>
      </c>
      <c r="M116" s="28">
        <f>LN(Index!M117/Index!M116)</f>
        <v>1.2243360827429989E-2</v>
      </c>
      <c r="N116" s="28">
        <f>LN(Index!N117/Index!N116)</f>
        <v>5.7155810261374541E-4</v>
      </c>
    </row>
    <row r="117" spans="1:14">
      <c r="A117" s="15">
        <v>38436</v>
      </c>
      <c r="B117" s="28">
        <f>LN(Index!B118/Index!B117)</f>
        <v>-1.9126490239298785E-2</v>
      </c>
      <c r="C117" s="28">
        <f>LN(Index!C118/Index!C117)</f>
        <v>-8.1292957746618329E-3</v>
      </c>
      <c r="D117" s="28">
        <f>LN(Index!D118/Index!D117)</f>
        <v>-3.0471411286767398E-2</v>
      </c>
      <c r="E117" s="28">
        <f>LN(Index!E118/Index!E117)</f>
        <v>-1.9013405820759229E-2</v>
      </c>
      <c r="F117" s="28">
        <f>LN(Index!F118/Index!F117)</f>
        <v>-2.2779683622455981E-2</v>
      </c>
      <c r="G117" s="28">
        <f>LN(Index!G118/Index!G117)</f>
        <v>-5.0635990377645261E-2</v>
      </c>
      <c r="H117" s="28">
        <f>LN(Index!H118/Index!H117)</f>
        <v>-1.4972242227359227E-2</v>
      </c>
      <c r="I117" s="28">
        <f>LN(Index!I118/Index!I117)</f>
        <v>-3.2377130255335264E-2</v>
      </c>
      <c r="J117" s="28">
        <f>LN(Index!J118/Index!J117)</f>
        <v>-1.8630503706618074E-3</v>
      </c>
      <c r="K117" s="28">
        <f>LN(Index!K118/Index!K117)</f>
        <v>-3.4138132600093504E-2</v>
      </c>
      <c r="L117" s="28">
        <f>LN(Index!L118/Index!L117)</f>
        <v>-2.9069228829565953E-2</v>
      </c>
      <c r="M117" s="28">
        <f>LN(Index!M118/Index!M117)</f>
        <v>-3.9789371771447153E-2</v>
      </c>
      <c r="N117" s="28">
        <f>LN(Index!N118/Index!N117)</f>
        <v>-2.3349587727960107E-2</v>
      </c>
    </row>
    <row r="118" spans="1:14">
      <c r="A118" s="15">
        <v>38443</v>
      </c>
      <c r="B118" s="28">
        <f>LN(Index!B119/Index!B118)</f>
        <v>9.7594988575991793E-4</v>
      </c>
      <c r="C118" s="28">
        <f>LN(Index!C119/Index!C118)</f>
        <v>4.8691763380163148E-3</v>
      </c>
      <c r="D118" s="28">
        <f>LN(Index!D119/Index!D118)</f>
        <v>-1.2211329319747743E-3</v>
      </c>
      <c r="E118" s="28">
        <f>LN(Index!E119/Index!E118)</f>
        <v>8.7706577104525851E-3</v>
      </c>
      <c r="F118" s="28">
        <f>LN(Index!F119/Index!F118)</f>
        <v>1.049137310708393E-2</v>
      </c>
      <c r="G118" s="28">
        <f>LN(Index!G119/Index!G118)</f>
        <v>1.0628022659972973E-2</v>
      </c>
      <c r="H118" s="28">
        <f>LN(Index!H119/Index!H118)</f>
        <v>5.741996076921118E-3</v>
      </c>
      <c r="I118" s="28">
        <f>LN(Index!I119/Index!I118)</f>
        <v>3.8702353085157196E-3</v>
      </c>
      <c r="J118" s="28">
        <f>LN(Index!J119/Index!J118)</f>
        <v>2.0524859842481716E-2</v>
      </c>
      <c r="K118" s="28">
        <f>LN(Index!K119/Index!K118)</f>
        <v>8.4385526289034514E-4</v>
      </c>
      <c r="L118" s="28">
        <f>LN(Index!L119/Index!L118)</f>
        <v>9.5800465919830477E-3</v>
      </c>
      <c r="M118" s="28">
        <f>LN(Index!M119/Index!M118)</f>
        <v>1.1077858344198672E-2</v>
      </c>
      <c r="N118" s="28">
        <f>LN(Index!N119/Index!N118)</f>
        <v>1.180938481417911E-2</v>
      </c>
    </row>
    <row r="119" spans="1:14">
      <c r="A119" s="15">
        <v>38450</v>
      </c>
      <c r="B119" s="28">
        <f>LN(Index!B120/Index!B119)</f>
        <v>4.7701681808505576E-3</v>
      </c>
      <c r="C119" s="28">
        <f>LN(Index!C120/Index!C119)</f>
        <v>-1.6749396239636154E-3</v>
      </c>
      <c r="D119" s="28">
        <f>LN(Index!D120/Index!D119)</f>
        <v>2.5841662503586437E-3</v>
      </c>
      <c r="E119" s="28">
        <f>LN(Index!E120/Index!E119)</f>
        <v>1.3131860000366943E-2</v>
      </c>
      <c r="F119" s="28">
        <f>LN(Index!F120/Index!F119)</f>
        <v>6.3887895768264362E-3</v>
      </c>
      <c r="G119" s="28">
        <f>LN(Index!G120/Index!G119)</f>
        <v>1.4033769191234982E-2</v>
      </c>
      <c r="H119" s="28">
        <f>LN(Index!H120/Index!H119)</f>
        <v>7.9123044889738252E-3</v>
      </c>
      <c r="I119" s="28">
        <f>LN(Index!I120/Index!I119)</f>
        <v>2.5865257134899075E-3</v>
      </c>
      <c r="J119" s="28">
        <f>LN(Index!J120/Index!J119)</f>
        <v>2.9604027312161427E-2</v>
      </c>
      <c r="K119" s="28">
        <f>LN(Index!K120/Index!K119)</f>
        <v>9.7415789190824168E-3</v>
      </c>
      <c r="L119" s="28">
        <f>LN(Index!L120/Index!L119)</f>
        <v>8.6951719830442656E-3</v>
      </c>
      <c r="M119" s="28">
        <f>LN(Index!M120/Index!M119)</f>
        <v>1.4112438907359559E-2</v>
      </c>
      <c r="N119" s="28">
        <f>LN(Index!N120/Index!N119)</f>
        <v>5.9815961633457376E-3</v>
      </c>
    </row>
    <row r="120" spans="1:14">
      <c r="A120" s="15">
        <v>38457</v>
      </c>
      <c r="B120" s="28">
        <f>LN(Index!B121/Index!B120)</f>
        <v>-2.6197232890445808E-2</v>
      </c>
      <c r="C120" s="28">
        <f>LN(Index!C121/Index!C120)</f>
        <v>7.0890498550209742E-3</v>
      </c>
      <c r="D120" s="28">
        <f>LN(Index!D121/Index!D120)</f>
        <v>7.8827622412805387E-4</v>
      </c>
      <c r="E120" s="28">
        <f>LN(Index!E121/Index!E120)</f>
        <v>5.9102972162514266E-3</v>
      </c>
      <c r="F120" s="28">
        <f>LN(Index!F121/Index!F120)</f>
        <v>-1.8634830060725086E-2</v>
      </c>
      <c r="G120" s="28">
        <f>LN(Index!G121/Index!G120)</f>
        <v>-3.5711524035260733E-2</v>
      </c>
      <c r="H120" s="28">
        <f>LN(Index!H121/Index!H120)</f>
        <v>1.2544662224707526E-3</v>
      </c>
      <c r="I120" s="28">
        <f>LN(Index!I121/Index!I120)</f>
        <v>-5.5209760325001531E-3</v>
      </c>
      <c r="J120" s="28">
        <f>LN(Index!J121/Index!J120)</f>
        <v>1.1634238552718492E-2</v>
      </c>
      <c r="K120" s="28">
        <f>LN(Index!K121/Index!K120)</f>
        <v>-1.7026735951404123E-2</v>
      </c>
      <c r="L120" s="28">
        <f>LN(Index!L121/Index!L120)</f>
        <v>-3.3637553152539794E-2</v>
      </c>
      <c r="M120" s="28">
        <f>LN(Index!M121/Index!M120)</f>
        <v>-1.1588854079523205E-2</v>
      </c>
      <c r="N120" s="28">
        <f>LN(Index!N121/Index!N120)</f>
        <v>-1.6460728974098882E-2</v>
      </c>
    </row>
    <row r="121" spans="1:14">
      <c r="A121" s="15">
        <v>38464</v>
      </c>
      <c r="B121" s="28">
        <f>LN(Index!B122/Index!B121)</f>
        <v>5.3601349448780516E-3</v>
      </c>
      <c r="C121" s="28">
        <f>LN(Index!C122/Index!C121)</f>
        <v>5.7886695938524383E-3</v>
      </c>
      <c r="D121" s="28">
        <f>LN(Index!D122/Index!D121)</f>
        <v>1.1112808478797264E-2</v>
      </c>
      <c r="E121" s="28">
        <f>LN(Index!E122/Index!E121)</f>
        <v>4.3462514266210268E-4</v>
      </c>
      <c r="F121" s="28">
        <f>LN(Index!F122/Index!F121)</f>
        <v>1.3848786819267874E-2</v>
      </c>
      <c r="G121" s="28">
        <f>LN(Index!G122/Index!G121)</f>
        <v>2.7739372733902257E-2</v>
      </c>
      <c r="H121" s="28">
        <f>LN(Index!H122/Index!H121)</f>
        <v>8.0844122770159198E-3</v>
      </c>
      <c r="I121" s="28">
        <f>LN(Index!I122/Index!I121)</f>
        <v>5.747214690110347E-3</v>
      </c>
      <c r="J121" s="28">
        <f>LN(Index!J122/Index!J121)</f>
        <v>2.7253300949366941E-3</v>
      </c>
      <c r="K121" s="28">
        <f>LN(Index!K122/Index!K121)</f>
        <v>-9.343610102331085E-3</v>
      </c>
      <c r="L121" s="28">
        <f>LN(Index!L122/Index!L121)</f>
        <v>4.6644292913551929E-3</v>
      </c>
      <c r="M121" s="28">
        <f>LN(Index!M122/Index!M121)</f>
        <v>1.2347838594725555E-2</v>
      </c>
      <c r="N121" s="28">
        <f>LN(Index!N122/Index!N121)</f>
        <v>1.1574790464295819E-2</v>
      </c>
    </row>
    <row r="122" spans="1:14">
      <c r="A122" s="15">
        <v>38471</v>
      </c>
      <c r="B122" s="28">
        <f>LN(Index!B123/Index!B122)</f>
        <v>-5.5203157715755825E-3</v>
      </c>
      <c r="C122" s="28">
        <f>LN(Index!C123/Index!C122)</f>
        <v>1.4117174876579204E-3</v>
      </c>
      <c r="D122" s="28">
        <f>LN(Index!D123/Index!D122)</f>
        <v>1.4976549921442159E-2</v>
      </c>
      <c r="E122" s="28">
        <f>LN(Index!E123/Index!E122)</f>
        <v>-6.1930948104241441E-3</v>
      </c>
      <c r="F122" s="28">
        <f>LN(Index!F123/Index!F122)</f>
        <v>-5.4722904402187437E-3</v>
      </c>
      <c r="G122" s="28">
        <f>LN(Index!G123/Index!G122)</f>
        <v>1.1745757883136212E-2</v>
      </c>
      <c r="H122" s="28">
        <f>LN(Index!H123/Index!H122)</f>
        <v>1.1503644430646867E-2</v>
      </c>
      <c r="I122" s="28">
        <f>LN(Index!I123/Index!I122)</f>
        <v>-4.5913387012221805E-3</v>
      </c>
      <c r="J122" s="28">
        <f>LN(Index!J123/Index!J122)</f>
        <v>7.7979287579052151E-3</v>
      </c>
      <c r="K122" s="28">
        <f>LN(Index!K123/Index!K122)</f>
        <v>-2.5808608477760113E-2</v>
      </c>
      <c r="L122" s="28">
        <f>LN(Index!L123/Index!L122)</f>
        <v>2.8481945194977687E-3</v>
      </c>
      <c r="M122" s="28">
        <f>LN(Index!M123/Index!M122)</f>
        <v>-2.2276950277918435E-2</v>
      </c>
      <c r="N122" s="28">
        <f>LN(Index!N123/Index!N122)</f>
        <v>-9.0334248734140303E-3</v>
      </c>
    </row>
    <row r="123" spans="1:14">
      <c r="A123" s="15">
        <v>38478</v>
      </c>
      <c r="B123" s="28">
        <f>LN(Index!B124/Index!B123)</f>
        <v>1.4989791545424298E-2</v>
      </c>
      <c r="C123" s="28">
        <f>LN(Index!C124/Index!C123)</f>
        <v>2.8174701672691593E-3</v>
      </c>
      <c r="D123" s="28">
        <f>LN(Index!D124/Index!D123)</f>
        <v>2.3699997152198922E-3</v>
      </c>
      <c r="E123" s="28">
        <f>LN(Index!E124/Index!E123)</f>
        <v>1.8261964079923803E-3</v>
      </c>
      <c r="F123" s="28">
        <f>LN(Index!F124/Index!F123)</f>
        <v>2.1312680020613956E-2</v>
      </c>
      <c r="G123" s="28">
        <f>LN(Index!G124/Index!G123)</f>
        <v>-6.1645359083451123E-3</v>
      </c>
      <c r="H123" s="28">
        <f>LN(Index!H124/Index!H123)</f>
        <v>5.4463900173377533E-5</v>
      </c>
      <c r="I123" s="28">
        <f>LN(Index!I124/Index!I123)</f>
        <v>1.348707026316571E-2</v>
      </c>
      <c r="J123" s="28">
        <f>LN(Index!J124/Index!J123)</f>
        <v>6.3879755270402601E-3</v>
      </c>
      <c r="K123" s="28">
        <f>LN(Index!K124/Index!K123)</f>
        <v>-2.7217263183668895E-3</v>
      </c>
      <c r="L123" s="28">
        <f>LN(Index!L124/Index!L123)</f>
        <v>2.7958877054754704E-2</v>
      </c>
      <c r="M123" s="28">
        <f>LN(Index!M124/Index!M123)</f>
        <v>1.9037152405693477E-3</v>
      </c>
      <c r="N123" s="28">
        <f>LN(Index!N124/Index!N123)</f>
        <v>1.5285533403351705E-2</v>
      </c>
    </row>
    <row r="124" spans="1:14">
      <c r="A124" s="15">
        <v>38485</v>
      </c>
      <c r="B124" s="28">
        <f>LN(Index!B125/Index!B124)</f>
        <v>-1.9664114519907881E-2</v>
      </c>
      <c r="C124" s="28">
        <f>LN(Index!C125/Index!C124)</f>
        <v>-5.3195902022364671E-3</v>
      </c>
      <c r="D124" s="28">
        <f>LN(Index!D125/Index!D124)</f>
        <v>-8.5303272123950051E-3</v>
      </c>
      <c r="E124" s="28">
        <f>LN(Index!E125/Index!E124)</f>
        <v>-7.7951634122777544E-3</v>
      </c>
      <c r="F124" s="28">
        <f>LN(Index!F125/Index!F124)</f>
        <v>-6.5021676657844255E-3</v>
      </c>
      <c r="G124" s="28">
        <f>LN(Index!G125/Index!G124)</f>
        <v>-1.6819375539007982E-2</v>
      </c>
      <c r="H124" s="28">
        <f>LN(Index!H125/Index!H124)</f>
        <v>3.9523748197703825E-3</v>
      </c>
      <c r="I124" s="28">
        <f>LN(Index!I125/Index!I124)</f>
        <v>-1.1601377942474943E-2</v>
      </c>
      <c r="J124" s="28">
        <f>LN(Index!J125/Index!J124)</f>
        <v>-1.7893691868172103E-2</v>
      </c>
      <c r="K124" s="28">
        <f>LN(Index!K125/Index!K124)</f>
        <v>-2.773754288635304E-2</v>
      </c>
      <c r="L124" s="28">
        <f>LN(Index!L125/Index!L124)</f>
        <v>-7.6188974217544364E-3</v>
      </c>
      <c r="M124" s="28">
        <f>LN(Index!M125/Index!M124)</f>
        <v>-1.0933803633032547E-2</v>
      </c>
      <c r="N124" s="28">
        <f>LN(Index!N125/Index!N124)</f>
        <v>-1.0675290516649423E-2</v>
      </c>
    </row>
    <row r="125" spans="1:14">
      <c r="A125" s="15">
        <v>38492</v>
      </c>
      <c r="B125" s="28">
        <f>LN(Index!B126/Index!B125)</f>
        <v>1.731172989127509E-2</v>
      </c>
      <c r="C125" s="28">
        <f>LN(Index!C126/Index!C125)</f>
        <v>-1.6175998350895706E-3</v>
      </c>
      <c r="D125" s="28">
        <f>LN(Index!D126/Index!D125)</f>
        <v>1.2074828264958629E-2</v>
      </c>
      <c r="E125" s="28">
        <f>LN(Index!E126/Index!E125)</f>
        <v>-2.6364499680507432E-3</v>
      </c>
      <c r="F125" s="28">
        <f>LN(Index!F126/Index!F125)</f>
        <v>2.0595801634512099E-2</v>
      </c>
      <c r="G125" s="28">
        <f>LN(Index!G126/Index!G125)</f>
        <v>9.1694240349337545E-3</v>
      </c>
      <c r="H125" s="28">
        <f>LN(Index!H126/Index!H125)</f>
        <v>1.5332556803191448E-3</v>
      </c>
      <c r="I125" s="28">
        <f>LN(Index!I126/Index!I125)</f>
        <v>7.9888217985500075E-3</v>
      </c>
      <c r="J125" s="28">
        <f>LN(Index!J126/Index!J125)</f>
        <v>-3.8729177125200404E-3</v>
      </c>
      <c r="K125" s="28">
        <f>LN(Index!K126/Index!K125)</f>
        <v>8.7933587573529402E-3</v>
      </c>
      <c r="L125" s="28">
        <f>LN(Index!L126/Index!L125)</f>
        <v>2.4902719536581359E-2</v>
      </c>
      <c r="M125" s="28">
        <f>LN(Index!M126/Index!M125)</f>
        <v>6.8943933344413665E-3</v>
      </c>
      <c r="N125" s="28">
        <f>LN(Index!N126/Index!N125)</f>
        <v>1.4848023784066133E-2</v>
      </c>
    </row>
    <row r="126" spans="1:14">
      <c r="A126" s="15">
        <v>38499</v>
      </c>
      <c r="B126" s="28">
        <f>LN(Index!B127/Index!B126)</f>
        <v>8.5229777391742853E-3</v>
      </c>
      <c r="C126" s="28">
        <f>LN(Index!C127/Index!C126)</f>
        <v>3.756897104995389E-3</v>
      </c>
      <c r="D126" s="28">
        <f>LN(Index!D127/Index!D126)</f>
        <v>-4.380330313454495E-3</v>
      </c>
      <c r="E126" s="28">
        <f>LN(Index!E127/Index!E126)</f>
        <v>1.5003685789140353E-2</v>
      </c>
      <c r="F126" s="28">
        <f>LN(Index!F127/Index!F126)</f>
        <v>1.2791966474868556E-2</v>
      </c>
      <c r="G126" s="28">
        <f>LN(Index!G127/Index!G126)</f>
        <v>2.8373664404331572E-2</v>
      </c>
      <c r="H126" s="28">
        <f>LN(Index!H127/Index!H126)</f>
        <v>1.6895067237974123E-2</v>
      </c>
      <c r="I126" s="28">
        <f>LN(Index!I127/Index!I126)</f>
        <v>2.3798073906365642E-2</v>
      </c>
      <c r="J126" s="28">
        <f>LN(Index!J127/Index!J126)</f>
        <v>2.2406128305449535E-2</v>
      </c>
      <c r="K126" s="28">
        <f>LN(Index!K127/Index!K126)</f>
        <v>5.9108063817744552E-3</v>
      </c>
      <c r="L126" s="28">
        <f>LN(Index!L127/Index!L126)</f>
        <v>3.1439470175035449E-2</v>
      </c>
      <c r="M126" s="28">
        <f>LN(Index!M127/Index!M126)</f>
        <v>1.2112813270111746E-2</v>
      </c>
      <c r="N126" s="28">
        <f>LN(Index!N127/Index!N126)</f>
        <v>6.9639258318619536E-3</v>
      </c>
    </row>
    <row r="127" spans="1:14">
      <c r="A127" s="15">
        <v>38506</v>
      </c>
      <c r="B127" s="28">
        <f>LN(Index!B128/Index!B127)</f>
        <v>-8.8915240001425061E-4</v>
      </c>
      <c r="C127" s="28">
        <f>LN(Index!C128/Index!C127)</f>
        <v>3.0999038491247768E-3</v>
      </c>
      <c r="D127" s="28">
        <f>LN(Index!D128/Index!D127)</f>
        <v>1.3702636544456985E-2</v>
      </c>
      <c r="E127" s="28">
        <f>LN(Index!E128/Index!E127)</f>
        <v>8.2630426569050316E-4</v>
      </c>
      <c r="F127" s="28">
        <f>LN(Index!F128/Index!F127)</f>
        <v>1.2649905774869597E-2</v>
      </c>
      <c r="G127" s="28">
        <f>LN(Index!G128/Index!G127)</f>
        <v>2.0324910765072868E-2</v>
      </c>
      <c r="H127" s="28">
        <f>LN(Index!H128/Index!H127)</f>
        <v>1.0956360262545341E-2</v>
      </c>
      <c r="I127" s="28">
        <f>LN(Index!I128/Index!I127)</f>
        <v>-7.8924879954723002E-3</v>
      </c>
      <c r="J127" s="28">
        <f>LN(Index!J128/Index!J127)</f>
        <v>-3.53430598045481E-3</v>
      </c>
      <c r="K127" s="28">
        <f>LN(Index!K128/Index!K127)</f>
        <v>4.0666006502244646E-3</v>
      </c>
      <c r="L127" s="28">
        <f>LN(Index!L128/Index!L127)</f>
        <v>2.7618724622486296E-2</v>
      </c>
      <c r="M127" s="28">
        <f>LN(Index!M128/Index!M127)</f>
        <v>1.7912630897975113E-2</v>
      </c>
      <c r="N127" s="28">
        <f>LN(Index!N128/Index!N127)</f>
        <v>3.4443613970684302E-3</v>
      </c>
    </row>
    <row r="128" spans="1:14">
      <c r="A128" s="15">
        <v>38513</v>
      </c>
      <c r="B128" s="28">
        <f>LN(Index!B129/Index!B128)</f>
        <v>6.5386545778974188E-4</v>
      </c>
      <c r="C128" s="28">
        <f>LN(Index!C129/Index!C128)</f>
        <v>-3.745247315235665E-3</v>
      </c>
      <c r="D128" s="28">
        <f>LN(Index!D129/Index!D128)</f>
        <v>9.2362029013362181E-3</v>
      </c>
      <c r="E128" s="28">
        <f>LN(Index!E129/Index!E128)</f>
        <v>-5.7863918604642945E-3</v>
      </c>
      <c r="F128" s="28">
        <f>LN(Index!F129/Index!F128)</f>
        <v>6.7607980316577011E-4</v>
      </c>
      <c r="G128" s="28">
        <f>LN(Index!G129/Index!G128)</f>
        <v>1.1908411668565438E-2</v>
      </c>
      <c r="H128" s="28">
        <f>LN(Index!H129/Index!H128)</f>
        <v>-9.428290236574044E-3</v>
      </c>
      <c r="I128" s="28">
        <f>LN(Index!I129/Index!I128)</f>
        <v>-1.5112076401814124E-2</v>
      </c>
      <c r="J128" s="28">
        <f>LN(Index!J129/Index!J128)</f>
        <v>7.6281812319149251E-3</v>
      </c>
      <c r="K128" s="28">
        <f>LN(Index!K129/Index!K128)</f>
        <v>3.2748398336502081E-2</v>
      </c>
      <c r="L128" s="28">
        <f>LN(Index!L129/Index!L128)</f>
        <v>-5.6810480152787793E-3</v>
      </c>
      <c r="M128" s="28">
        <f>LN(Index!M129/Index!M128)</f>
        <v>7.4085374570309285E-3</v>
      </c>
      <c r="N128" s="28">
        <f>LN(Index!N129/Index!N128)</f>
        <v>-2.3752748426541718E-3</v>
      </c>
    </row>
    <row r="129" spans="1:14">
      <c r="A129" s="15">
        <v>38520</v>
      </c>
      <c r="B129" s="28">
        <f>LN(Index!B130/Index!B129)</f>
        <v>1.6800727034554198E-2</v>
      </c>
      <c r="C129" s="28">
        <f>LN(Index!C130/Index!C129)</f>
        <v>-2.6259988830471745E-3</v>
      </c>
      <c r="D129" s="28">
        <f>LN(Index!D130/Index!D129)</f>
        <v>2.1158393244609781E-2</v>
      </c>
      <c r="E129" s="28">
        <f>LN(Index!E130/Index!E129)</f>
        <v>-2.5318544321541545E-3</v>
      </c>
      <c r="F129" s="28">
        <f>LN(Index!F130/Index!F129)</f>
        <v>2.2610904838874107E-2</v>
      </c>
      <c r="G129" s="28">
        <f>LN(Index!G130/Index!G129)</f>
        <v>3.8245359096714233E-2</v>
      </c>
      <c r="H129" s="28">
        <f>LN(Index!H130/Index!H129)</f>
        <v>8.0490846613994935E-4</v>
      </c>
      <c r="I129" s="28">
        <f>LN(Index!I130/Index!I129)</f>
        <v>1.4638263770458583E-2</v>
      </c>
      <c r="J129" s="28">
        <f>LN(Index!J130/Index!J129)</f>
        <v>1.3903455716137414E-3</v>
      </c>
      <c r="K129" s="28">
        <f>LN(Index!K130/Index!K129)</f>
        <v>-1.6415162957368102E-4</v>
      </c>
      <c r="L129" s="28">
        <f>LN(Index!L130/Index!L129)</f>
        <v>3.3121615277330943E-2</v>
      </c>
      <c r="M129" s="28">
        <f>LN(Index!M130/Index!M129)</f>
        <v>1.2253082794341863E-2</v>
      </c>
      <c r="N129" s="28">
        <f>LN(Index!N130/Index!N129)</f>
        <v>2.1642602125076408E-2</v>
      </c>
    </row>
    <row r="130" spans="1:14">
      <c r="A130" s="15">
        <v>38527</v>
      </c>
      <c r="B130" s="28">
        <f>LN(Index!B131/Index!B130)</f>
        <v>-1.4702528886230339E-2</v>
      </c>
      <c r="C130" s="28">
        <f>LN(Index!C131/Index!C130)</f>
        <v>7.4961057094666914E-3</v>
      </c>
      <c r="D130" s="28">
        <f>LN(Index!D131/Index!D130)</f>
        <v>-8.7056064441917835E-3</v>
      </c>
      <c r="E130" s="28">
        <f>LN(Index!E131/Index!E130)</f>
        <v>2.0769574584725775E-3</v>
      </c>
      <c r="F130" s="28">
        <f>LN(Index!F131/Index!F130)</f>
        <v>7.6202418096019183E-3</v>
      </c>
      <c r="G130" s="28">
        <f>LN(Index!G131/Index!G130)</f>
        <v>-4.3171434559130847E-2</v>
      </c>
      <c r="H130" s="28">
        <f>LN(Index!H131/Index!H130)</f>
        <v>3.9014462093258976E-3</v>
      </c>
      <c r="I130" s="28">
        <f>LN(Index!I131/Index!I130)</f>
        <v>-1.7271136152507728E-2</v>
      </c>
      <c r="J130" s="28">
        <f>LN(Index!J131/Index!J130)</f>
        <v>-7.1490068442038911E-3</v>
      </c>
      <c r="K130" s="28">
        <f>LN(Index!K131/Index!K130)</f>
        <v>-1.2679720637471944E-2</v>
      </c>
      <c r="L130" s="28">
        <f>LN(Index!L131/Index!L130)</f>
        <v>5.6575238433422145E-2</v>
      </c>
      <c r="M130" s="28">
        <f>LN(Index!M131/Index!M130)</f>
        <v>-6.5311807340355191E-3</v>
      </c>
      <c r="N130" s="28">
        <f>LN(Index!N131/Index!N130)</f>
        <v>-2.2787704505877115E-3</v>
      </c>
    </row>
    <row r="131" spans="1:14">
      <c r="A131" s="15">
        <v>38534</v>
      </c>
      <c r="B131" s="28">
        <f>LN(Index!B132/Index!B131)</f>
        <v>-1.7235080257387129E-3</v>
      </c>
      <c r="C131" s="28">
        <f>LN(Index!C132/Index!C131)</f>
        <v>-6.9703539734971886E-3</v>
      </c>
      <c r="D131" s="28">
        <f>LN(Index!D132/Index!D131)</f>
        <v>1.345080370578904E-4</v>
      </c>
      <c r="E131" s="28">
        <f>LN(Index!E132/Index!E131)</f>
        <v>1.1334795866718922E-2</v>
      </c>
      <c r="F131" s="28">
        <f>LN(Index!F132/Index!F131)</f>
        <v>2.2290272930985608E-2</v>
      </c>
      <c r="G131" s="28">
        <f>LN(Index!G132/Index!G131)</f>
        <v>-1.4799456998604713E-3</v>
      </c>
      <c r="H131" s="28">
        <f>LN(Index!H132/Index!H131)</f>
        <v>1.129989506803137E-2</v>
      </c>
      <c r="I131" s="28">
        <f>LN(Index!I132/Index!I131)</f>
        <v>4.897469231790753E-3</v>
      </c>
      <c r="J131" s="28">
        <f>LN(Index!J132/Index!J131)</f>
        <v>4.9794893495632136E-4</v>
      </c>
      <c r="K131" s="28">
        <f>LN(Index!K132/Index!K131)</f>
        <v>-1.9214240300080392E-2</v>
      </c>
      <c r="L131" s="28">
        <f>LN(Index!L132/Index!L131)</f>
        <v>1.1873918474844656E-2</v>
      </c>
      <c r="M131" s="28">
        <f>LN(Index!M132/Index!M131)</f>
        <v>2.4225079825326977E-2</v>
      </c>
      <c r="N131" s="28">
        <f>LN(Index!N132/Index!N131)</f>
        <v>2.3344267111443044E-2</v>
      </c>
    </row>
    <row r="132" spans="1:14">
      <c r="A132" s="15">
        <v>38541</v>
      </c>
      <c r="B132" s="28">
        <f>LN(Index!B133/Index!B132)</f>
        <v>7.6979200109998603E-3</v>
      </c>
      <c r="C132" s="28">
        <f>LN(Index!C133/Index!C132)</f>
        <v>-2.9153359110455613E-3</v>
      </c>
      <c r="D132" s="28">
        <f>LN(Index!D133/Index!D132)</f>
        <v>5.5661881296429046E-3</v>
      </c>
      <c r="E132" s="28">
        <f>LN(Index!E133/Index!E132)</f>
        <v>-2.743113223910609E-2</v>
      </c>
      <c r="F132" s="28">
        <f>LN(Index!F133/Index!F132)</f>
        <v>1.7566078302368757E-2</v>
      </c>
      <c r="G132" s="28">
        <f>LN(Index!G133/Index!G132)</f>
        <v>-4.0168154533800918E-2</v>
      </c>
      <c r="H132" s="28">
        <f>LN(Index!H133/Index!H132)</f>
        <v>-2.0040539015605603E-2</v>
      </c>
      <c r="I132" s="28">
        <f>LN(Index!I133/Index!I132)</f>
        <v>-3.3739330948780871E-2</v>
      </c>
      <c r="J132" s="28">
        <f>LN(Index!J133/Index!J132)</f>
        <v>-3.5088779891133549E-2</v>
      </c>
      <c r="K132" s="28">
        <f>LN(Index!K133/Index!K132)</f>
        <v>-2.3920995299959467E-2</v>
      </c>
      <c r="L132" s="28">
        <f>LN(Index!L133/Index!L132)</f>
        <v>3.5946178411915171E-2</v>
      </c>
      <c r="M132" s="28">
        <f>LN(Index!M133/Index!M132)</f>
        <v>-1.6344745341883175E-2</v>
      </c>
      <c r="N132" s="28">
        <f>LN(Index!N133/Index!N132)</f>
        <v>8.6526270670882494E-3</v>
      </c>
    </row>
    <row r="133" spans="1:14">
      <c r="A133" s="15">
        <v>38548</v>
      </c>
      <c r="B133" s="28">
        <f>LN(Index!B134/Index!B133)</f>
        <v>1.463262822111668E-2</v>
      </c>
      <c r="C133" s="28">
        <f>LN(Index!C134/Index!C133)</f>
        <v>-6.490082570729073E-4</v>
      </c>
      <c r="D133" s="28">
        <f>LN(Index!D134/Index!D133)</f>
        <v>1.1701483160991346E-2</v>
      </c>
      <c r="E133" s="28">
        <f>LN(Index!E134/Index!E133)</f>
        <v>2.4937592008008056E-3</v>
      </c>
      <c r="F133" s="28">
        <f>LN(Index!F134/Index!F133)</f>
        <v>-5.8881784049278837E-3</v>
      </c>
      <c r="G133" s="28">
        <f>LN(Index!G134/Index!G133)</f>
        <v>2.2364811778663733E-2</v>
      </c>
      <c r="H133" s="28">
        <f>LN(Index!H134/Index!H133)</f>
        <v>1.8440910506759927E-3</v>
      </c>
      <c r="I133" s="28">
        <f>LN(Index!I134/Index!I133)</f>
        <v>1.3298144933433197E-2</v>
      </c>
      <c r="J133" s="28">
        <f>LN(Index!J134/Index!J133)</f>
        <v>-1.0055543979517363E-2</v>
      </c>
      <c r="K133" s="28">
        <f>LN(Index!K134/Index!K133)</f>
        <v>-1.3751820185483836E-2</v>
      </c>
      <c r="L133" s="28">
        <f>LN(Index!L134/Index!L133)</f>
        <v>-1.6507537907619229E-2</v>
      </c>
      <c r="M133" s="28">
        <f>LN(Index!M134/Index!M133)</f>
        <v>1.6671746066923721E-2</v>
      </c>
      <c r="N133" s="28">
        <f>LN(Index!N134/Index!N133)</f>
        <v>-5.953082105609288E-3</v>
      </c>
    </row>
    <row r="134" spans="1:14">
      <c r="A134" s="15">
        <v>38555</v>
      </c>
      <c r="B134" s="28">
        <f>LN(Index!B135/Index!B134)</f>
        <v>7.1226037461279371E-3</v>
      </c>
      <c r="C134" s="28">
        <f>LN(Index!C135/Index!C134)</f>
        <v>1.7837601518872386E-3</v>
      </c>
      <c r="D134" s="28">
        <f>LN(Index!D135/Index!D134)</f>
        <v>1.6194420465238796E-2</v>
      </c>
      <c r="E134" s="28">
        <f>LN(Index!E135/Index!E134)</f>
        <v>3.5911530578385717E-3</v>
      </c>
      <c r="F134" s="28">
        <f>LN(Index!F135/Index!F134)</f>
        <v>-2.306369772897381E-3</v>
      </c>
      <c r="G134" s="28">
        <f>LN(Index!G135/Index!G134)</f>
        <v>2.8700833575395303E-2</v>
      </c>
      <c r="H134" s="28">
        <f>LN(Index!H135/Index!H134)</f>
        <v>1.1641400565261194E-3</v>
      </c>
      <c r="I134" s="28">
        <f>LN(Index!I135/Index!I134)</f>
        <v>-1.7951840428113727E-3</v>
      </c>
      <c r="J134" s="28">
        <f>LN(Index!J135/Index!J134)</f>
        <v>-3.3288234542358823E-3</v>
      </c>
      <c r="K134" s="28">
        <f>LN(Index!K135/Index!K134)</f>
        <v>-5.9068630009322786E-3</v>
      </c>
      <c r="L134" s="28">
        <f>LN(Index!L135/Index!L134)</f>
        <v>9.1035113766766741E-3</v>
      </c>
      <c r="M134" s="28">
        <f>LN(Index!M135/Index!M134)</f>
        <v>1.5191511800208892E-2</v>
      </c>
      <c r="N134" s="28">
        <f>LN(Index!N135/Index!N134)</f>
        <v>3.7535155555697393E-3</v>
      </c>
    </row>
    <row r="135" spans="1:14">
      <c r="A135" s="15">
        <v>38562</v>
      </c>
      <c r="B135" s="28">
        <f>LN(Index!B136/Index!B135)</f>
        <v>5.0795367201146727E-3</v>
      </c>
      <c r="C135" s="28">
        <f>LN(Index!C136/Index!C135)</f>
        <v>-1.8243371569039129E-3</v>
      </c>
      <c r="D135" s="28">
        <f>LN(Index!D136/Index!D135)</f>
        <v>1.2602357631351058E-2</v>
      </c>
      <c r="E135" s="28">
        <f>LN(Index!E136/Index!E135)</f>
        <v>6.1090157184738696E-3</v>
      </c>
      <c r="F135" s="28">
        <f>LN(Index!F136/Index!F135)</f>
        <v>1.8105766679799712E-2</v>
      </c>
      <c r="G135" s="28">
        <f>LN(Index!G136/Index!G135)</f>
        <v>-2.4737233099164126E-2</v>
      </c>
      <c r="H135" s="28">
        <f>LN(Index!H136/Index!H135)</f>
        <v>8.32243252407836E-3</v>
      </c>
      <c r="I135" s="28">
        <f>LN(Index!I136/Index!I135)</f>
        <v>-7.8401630690408798E-4</v>
      </c>
      <c r="J135" s="28">
        <f>LN(Index!J136/Index!J135)</f>
        <v>2.8824715353718E-2</v>
      </c>
      <c r="K135" s="28">
        <f>LN(Index!K136/Index!K135)</f>
        <v>1.2978058205393184E-2</v>
      </c>
      <c r="L135" s="28">
        <f>LN(Index!L136/Index!L135)</f>
        <v>5.2552622086410206E-2</v>
      </c>
      <c r="M135" s="28">
        <f>LN(Index!M136/Index!M135)</f>
        <v>-1.9213776149180819E-2</v>
      </c>
      <c r="N135" s="28">
        <f>LN(Index!N136/Index!N135)</f>
        <v>8.3696452953412378E-3</v>
      </c>
    </row>
    <row r="136" spans="1:14">
      <c r="A136" s="15">
        <v>38569</v>
      </c>
      <c r="B136" s="28">
        <f>LN(Index!B137/Index!B136)</f>
        <v>-2.3568626899895045E-4</v>
      </c>
      <c r="C136" s="28">
        <f>LN(Index!C137/Index!C136)</f>
        <v>-2.7631061870626254E-3</v>
      </c>
      <c r="D136" s="28">
        <f>LN(Index!D137/Index!D136)</f>
        <v>-8.7725519051650817E-3</v>
      </c>
      <c r="E136" s="28">
        <f>LN(Index!E137/Index!E136)</f>
        <v>1.2594464847463927E-2</v>
      </c>
      <c r="F136" s="28">
        <f>LN(Index!F137/Index!F136)</f>
        <v>-5.8178700612280809E-3</v>
      </c>
      <c r="G136" s="28">
        <f>LN(Index!G137/Index!G136)</f>
        <v>-5.1962703858481037E-3</v>
      </c>
      <c r="H136" s="28">
        <f>LN(Index!H137/Index!H136)</f>
        <v>2.2297393061911164E-3</v>
      </c>
      <c r="I136" s="28">
        <f>LN(Index!I137/Index!I136)</f>
        <v>3.5010029521702966E-3</v>
      </c>
      <c r="J136" s="28">
        <f>LN(Index!J137/Index!J136)</f>
        <v>6.6482731134937212E-5</v>
      </c>
      <c r="K136" s="28">
        <f>LN(Index!K137/Index!K136)</f>
        <v>1.6802749505075616E-2</v>
      </c>
      <c r="L136" s="28">
        <f>LN(Index!L137/Index!L136)</f>
        <v>-2.1318650781396754E-2</v>
      </c>
      <c r="M136" s="28">
        <f>LN(Index!M137/Index!M136)</f>
        <v>1.7302204743839349E-2</v>
      </c>
      <c r="N136" s="28">
        <f>LN(Index!N137/Index!N136)</f>
        <v>-1.84549515158518E-4</v>
      </c>
    </row>
    <row r="137" spans="1:14">
      <c r="A137" s="15">
        <v>38576</v>
      </c>
      <c r="B137" s="28">
        <f>LN(Index!B138/Index!B137)</f>
        <v>1.6961442984924552E-2</v>
      </c>
      <c r="C137" s="28">
        <f>LN(Index!C138/Index!C137)</f>
        <v>9.7182494689213462E-3</v>
      </c>
      <c r="D137" s="28">
        <f>LN(Index!D138/Index!D137)</f>
        <v>7.0370541210164617E-3</v>
      </c>
      <c r="E137" s="28">
        <f>LN(Index!E138/Index!E137)</f>
        <v>1.2229899530158274E-2</v>
      </c>
      <c r="F137" s="28">
        <f>LN(Index!F138/Index!F137)</f>
        <v>-2.9912731579856584E-3</v>
      </c>
      <c r="G137" s="28">
        <f>LN(Index!G138/Index!G137)</f>
        <v>1.0154125602012684E-2</v>
      </c>
      <c r="H137" s="28">
        <f>LN(Index!H138/Index!H137)</f>
        <v>-8.7591580238668056E-3</v>
      </c>
      <c r="I137" s="28">
        <f>LN(Index!I138/Index!I137)</f>
        <v>2.172912272260695E-2</v>
      </c>
      <c r="J137" s="28">
        <f>LN(Index!J138/Index!J137)</f>
        <v>2.0008565351262293E-2</v>
      </c>
      <c r="K137" s="28">
        <f>LN(Index!K138/Index!K137)</f>
        <v>9.990312694854812E-3</v>
      </c>
      <c r="L137" s="28">
        <f>LN(Index!L138/Index!L137)</f>
        <v>-1.8132957849504199E-3</v>
      </c>
      <c r="M137" s="28">
        <f>LN(Index!M138/Index!M137)</f>
        <v>1.7827003171914671E-2</v>
      </c>
      <c r="N137" s="28">
        <f>LN(Index!N138/Index!N137)</f>
        <v>3.076061779872505E-5</v>
      </c>
    </row>
    <row r="138" spans="1:14">
      <c r="A138" s="15">
        <v>38583</v>
      </c>
      <c r="B138" s="28">
        <f>LN(Index!B139/Index!B138)</f>
        <v>-1.4346754690215506E-2</v>
      </c>
      <c r="C138" s="28">
        <f>LN(Index!C139/Index!C138)</f>
        <v>-2.2995471555260836E-3</v>
      </c>
      <c r="D138" s="28">
        <f>LN(Index!D139/Index!D138)</f>
        <v>-1.6606505137167011E-2</v>
      </c>
      <c r="E138" s="28">
        <f>LN(Index!E139/Index!E138)</f>
        <v>-1.6484942985781143E-2</v>
      </c>
      <c r="F138" s="28">
        <f>LN(Index!F139/Index!F138)</f>
        <v>-8.7714261941961667E-3</v>
      </c>
      <c r="G138" s="28">
        <f>LN(Index!G139/Index!G138)</f>
        <v>-1.6931964822023662E-2</v>
      </c>
      <c r="H138" s="28">
        <f>LN(Index!H139/Index!H138)</f>
        <v>-1.2181069720842951E-2</v>
      </c>
      <c r="I138" s="28">
        <f>LN(Index!I139/Index!I138)</f>
        <v>-1.1544338281572702E-2</v>
      </c>
      <c r="J138" s="28">
        <f>LN(Index!J139/Index!J138)</f>
        <v>-2.3131978945942402E-2</v>
      </c>
      <c r="K138" s="28">
        <f>LN(Index!K139/Index!K138)</f>
        <v>-6.4003924611992311E-3</v>
      </c>
      <c r="L138" s="28">
        <f>LN(Index!L139/Index!L138)</f>
        <v>2.7046093077397696E-2</v>
      </c>
      <c r="M138" s="28">
        <f>LN(Index!M139/Index!M138)</f>
        <v>-1.9140807496460972E-2</v>
      </c>
      <c r="N138" s="28">
        <f>LN(Index!N139/Index!N138)</f>
        <v>-2.0460372416098077E-2</v>
      </c>
    </row>
    <row r="139" spans="1:14">
      <c r="A139" s="15">
        <v>38590</v>
      </c>
      <c r="B139" s="28">
        <f>LN(Index!B140/Index!B139)</f>
        <v>-5.269993507781812E-3</v>
      </c>
      <c r="C139" s="28">
        <f>LN(Index!C140/Index!C139)</f>
        <v>4.794819509116012E-3</v>
      </c>
      <c r="D139" s="28">
        <f>LN(Index!D140/Index!D139)</f>
        <v>7.1925984727007634E-4</v>
      </c>
      <c r="E139" s="28">
        <f>LN(Index!E140/Index!E139)</f>
        <v>1.7660582449292497E-2</v>
      </c>
      <c r="F139" s="28">
        <f>LN(Index!F140/Index!F139)</f>
        <v>8.8622024217801156E-3</v>
      </c>
      <c r="G139" s="28">
        <f>LN(Index!G140/Index!G139)</f>
        <v>3.2136954240637419E-3</v>
      </c>
      <c r="H139" s="28">
        <f>LN(Index!H140/Index!H139)</f>
        <v>1.6362387169007519E-2</v>
      </c>
      <c r="I139" s="28">
        <f>LN(Index!I140/Index!I139)</f>
        <v>6.9076026064601248E-3</v>
      </c>
      <c r="J139" s="28">
        <f>LN(Index!J140/Index!J139)</f>
        <v>1.3656281594782972E-2</v>
      </c>
      <c r="K139" s="28">
        <f>LN(Index!K140/Index!K139)</f>
        <v>1.2955744506260021E-3</v>
      </c>
      <c r="L139" s="28">
        <f>LN(Index!L140/Index!L139)</f>
        <v>2.2184121107130611E-2</v>
      </c>
      <c r="M139" s="28">
        <f>LN(Index!M140/Index!M139)</f>
        <v>1.8141087070650222E-2</v>
      </c>
      <c r="N139" s="28">
        <f>LN(Index!N140/Index!N139)</f>
        <v>4.7608398825279095E-3</v>
      </c>
    </row>
    <row r="140" spans="1:14">
      <c r="A140" s="15">
        <v>38597</v>
      </c>
      <c r="B140" s="28">
        <f>LN(Index!B141/Index!B140)</f>
        <v>1.8912974701208916E-2</v>
      </c>
      <c r="C140" s="28">
        <f>LN(Index!C141/Index!C140)</f>
        <v>9.6804628122249443E-3</v>
      </c>
      <c r="D140" s="28">
        <f>LN(Index!D141/Index!D140)</f>
        <v>2.9497244194666601E-2</v>
      </c>
      <c r="E140" s="28">
        <f>LN(Index!E141/Index!E140)</f>
        <v>3.7657686951263918E-2</v>
      </c>
      <c r="F140" s="28">
        <f>LN(Index!F141/Index!F140)</f>
        <v>3.1569218188023718E-2</v>
      </c>
      <c r="G140" s="28">
        <f>LN(Index!G141/Index!G140)</f>
        <v>1.3171549045022367E-2</v>
      </c>
      <c r="H140" s="28">
        <f>LN(Index!H141/Index!H140)</f>
        <v>3.4034581861635937E-2</v>
      </c>
      <c r="I140" s="28">
        <f>LN(Index!I141/Index!I140)</f>
        <v>2.158488323892415E-2</v>
      </c>
      <c r="J140" s="28">
        <f>LN(Index!J141/Index!J140)</f>
        <v>3.9510718581703921E-2</v>
      </c>
      <c r="K140" s="28">
        <f>LN(Index!K141/Index!K140)</f>
        <v>2.0061253561118264E-2</v>
      </c>
      <c r="L140" s="28">
        <f>LN(Index!L141/Index!L140)</f>
        <v>2.8650736456817667E-2</v>
      </c>
      <c r="M140" s="28">
        <f>LN(Index!M141/Index!M140)</f>
        <v>3.2269464873231533E-2</v>
      </c>
      <c r="N140" s="28">
        <f>LN(Index!N141/Index!N140)</f>
        <v>3.6852522741501456E-2</v>
      </c>
    </row>
    <row r="141" spans="1:14">
      <c r="A141" s="15">
        <v>38604</v>
      </c>
      <c r="B141" s="28">
        <f>LN(Index!B142/Index!B141)</f>
        <v>1.4994485476257917E-2</v>
      </c>
      <c r="C141" s="28">
        <f>LN(Index!C142/Index!C141)</f>
        <v>-3.7890163987136368E-3</v>
      </c>
      <c r="D141" s="28">
        <f>LN(Index!D142/Index!D141)</f>
        <v>1.1546962382160502E-2</v>
      </c>
      <c r="E141" s="28">
        <f>LN(Index!E142/Index!E141)</f>
        <v>5.9939442521020599E-3</v>
      </c>
      <c r="F141" s="28">
        <f>LN(Index!F142/Index!F141)</f>
        <v>1.9014894629772187E-2</v>
      </c>
      <c r="G141" s="28">
        <f>LN(Index!G142/Index!G141)</f>
        <v>1.7487166640346972E-2</v>
      </c>
      <c r="H141" s="28">
        <f>LN(Index!H142/Index!H141)</f>
        <v>1.1549737228149691E-2</v>
      </c>
      <c r="I141" s="28">
        <f>LN(Index!I142/Index!I141)</f>
        <v>8.6433592047869944E-3</v>
      </c>
      <c r="J141" s="28">
        <f>LN(Index!J142/Index!J141)</f>
        <v>2.8790584153341688E-2</v>
      </c>
      <c r="K141" s="28">
        <f>LN(Index!K142/Index!K141)</f>
        <v>1.8386359669857098E-2</v>
      </c>
      <c r="L141" s="28">
        <f>LN(Index!L142/Index!L141)</f>
        <v>2.9979953795953473E-2</v>
      </c>
      <c r="M141" s="28">
        <f>LN(Index!M142/Index!M141)</f>
        <v>3.0245222163379679E-3</v>
      </c>
      <c r="N141" s="28">
        <f>LN(Index!N142/Index!N141)</f>
        <v>7.5008752624524102E-3</v>
      </c>
    </row>
    <row r="142" spans="1:14">
      <c r="A142" s="15">
        <v>38611</v>
      </c>
      <c r="B142" s="28">
        <f>LN(Index!B143/Index!B142)</f>
        <v>-3.7685457239395154E-3</v>
      </c>
      <c r="C142" s="28">
        <f>LN(Index!C143/Index!C142)</f>
        <v>-8.9510301207035865E-3</v>
      </c>
      <c r="D142" s="28">
        <f>LN(Index!D143/Index!D142)</f>
        <v>-9.0116247751088931E-3</v>
      </c>
      <c r="E142" s="28">
        <f>LN(Index!E143/Index!E142)</f>
        <v>-8.0018449550168704E-3</v>
      </c>
      <c r="F142" s="28">
        <f>LN(Index!F143/Index!F142)</f>
        <v>3.669412791186931E-3</v>
      </c>
      <c r="G142" s="28">
        <f>LN(Index!G143/Index!G142)</f>
        <v>9.0082537128311369E-3</v>
      </c>
      <c r="H142" s="28">
        <f>LN(Index!H143/Index!H142)</f>
        <v>1.118814606436476E-3</v>
      </c>
      <c r="I142" s="28">
        <f>LN(Index!I143/Index!I142)</f>
        <v>-1.5405893677355523E-3</v>
      </c>
      <c r="J142" s="28">
        <f>LN(Index!J143/Index!J142)</f>
        <v>-2.2784043744828241E-2</v>
      </c>
      <c r="K142" s="28">
        <f>LN(Index!K143/Index!K142)</f>
        <v>7.0391895201609477E-3</v>
      </c>
      <c r="L142" s="28">
        <f>LN(Index!L143/Index!L142)</f>
        <v>-8.0395329717606774E-3</v>
      </c>
      <c r="M142" s="28">
        <f>LN(Index!M143/Index!M142)</f>
        <v>8.4667123031231979E-3</v>
      </c>
      <c r="N142" s="28">
        <f>LN(Index!N143/Index!N142)</f>
        <v>-9.1509098980382866E-4</v>
      </c>
    </row>
    <row r="143" spans="1:14">
      <c r="A143" s="15">
        <v>38618</v>
      </c>
      <c r="B143" s="28">
        <f>LN(Index!B144/Index!B143)</f>
        <v>-1.3564365615159895E-2</v>
      </c>
      <c r="C143" s="28">
        <f>LN(Index!C144/Index!C143)</f>
        <v>-1.1699446619410575E-3</v>
      </c>
      <c r="D143" s="28">
        <f>LN(Index!D144/Index!D143)</f>
        <v>-1.6853255581189854E-2</v>
      </c>
      <c r="E143" s="28">
        <f>LN(Index!E144/Index!E143)</f>
        <v>-7.9336294346292521E-3</v>
      </c>
      <c r="F143" s="28">
        <f>LN(Index!F144/Index!F143)</f>
        <v>-2.2783990487527387E-2</v>
      </c>
      <c r="G143" s="28">
        <f>LN(Index!G144/Index!G143)</f>
        <v>-3.6062751063605965E-2</v>
      </c>
      <c r="H143" s="28">
        <f>LN(Index!H144/Index!H143)</f>
        <v>-1.6577637739217787E-2</v>
      </c>
      <c r="I143" s="28">
        <f>LN(Index!I144/Index!I143)</f>
        <v>-2.5425984115371076E-2</v>
      </c>
      <c r="J143" s="28">
        <f>LN(Index!J144/Index!J143)</f>
        <v>-1.22807451450004E-2</v>
      </c>
      <c r="K143" s="28">
        <f>LN(Index!K144/Index!K143)</f>
        <v>-9.3396979996315799E-3</v>
      </c>
      <c r="L143" s="28">
        <f>LN(Index!L144/Index!L143)</f>
        <v>-4.3273881044963616E-2</v>
      </c>
      <c r="M143" s="28">
        <f>LN(Index!M144/Index!M143)</f>
        <v>-1.8581367618394851E-2</v>
      </c>
      <c r="N143" s="28">
        <f>LN(Index!N144/Index!N143)</f>
        <v>-6.5074849342381148E-3</v>
      </c>
    </row>
    <row r="144" spans="1:14">
      <c r="A144" s="15">
        <v>38625</v>
      </c>
      <c r="B144" s="28">
        <f>LN(Index!B145/Index!B144)</f>
        <v>1.6287970634197683E-2</v>
      </c>
      <c r="C144" s="28">
        <f>LN(Index!C145/Index!C144)</f>
        <v>-4.8557534812983041E-3</v>
      </c>
      <c r="D144" s="28">
        <f>LN(Index!D145/Index!D144)</f>
        <v>1.6410035261780583E-2</v>
      </c>
      <c r="E144" s="28">
        <f>LN(Index!E145/Index!E144)</f>
        <v>-5.7769834480295304E-3</v>
      </c>
      <c r="F144" s="28">
        <f>LN(Index!F145/Index!F144)</f>
        <v>2.3294000154383033E-2</v>
      </c>
      <c r="G144" s="28">
        <f>LN(Index!G145/Index!G144)</f>
        <v>9.9597651094730389E-3</v>
      </c>
      <c r="H144" s="28">
        <f>LN(Index!H145/Index!H144)</f>
        <v>-8.5964530580526482E-3</v>
      </c>
      <c r="I144" s="28">
        <f>LN(Index!I145/Index!I144)</f>
        <v>1.1871302020876591E-2</v>
      </c>
      <c r="J144" s="28">
        <f>LN(Index!J145/Index!J144)</f>
        <v>-9.7232921001694998E-4</v>
      </c>
      <c r="K144" s="28">
        <f>LN(Index!K145/Index!K144)</f>
        <v>2.4421472556953854E-2</v>
      </c>
      <c r="L144" s="28">
        <f>LN(Index!L145/Index!L144)</f>
        <v>4.4458547877027188E-2</v>
      </c>
      <c r="M144" s="28">
        <f>LN(Index!M145/Index!M144)</f>
        <v>8.9698208826548154E-3</v>
      </c>
      <c r="N144" s="28">
        <f>LN(Index!N145/Index!N144)</f>
        <v>1.0365519019139428E-2</v>
      </c>
    </row>
    <row r="145" spans="1:14">
      <c r="A145" s="15">
        <v>38632</v>
      </c>
      <c r="B145" s="28">
        <f>LN(Index!B146/Index!B145)</f>
        <v>-2.5093530970455656E-2</v>
      </c>
      <c r="C145" s="28">
        <f>LN(Index!C146/Index!C145)</f>
        <v>-1.6226522286223936E-4</v>
      </c>
      <c r="D145" s="28">
        <f>LN(Index!D146/Index!D145)</f>
        <v>-3.5715779651193012E-2</v>
      </c>
      <c r="E145" s="28">
        <f>LN(Index!E146/Index!E145)</f>
        <v>-1.5208884841784126E-2</v>
      </c>
      <c r="F145" s="28">
        <f>LN(Index!F146/Index!F145)</f>
        <v>-3.914028144348318E-2</v>
      </c>
      <c r="G145" s="28">
        <f>LN(Index!G146/Index!G145)</f>
        <v>-6.3536821689935588E-2</v>
      </c>
      <c r="H145" s="28">
        <f>LN(Index!H146/Index!H145)</f>
        <v>-2.4428352653959318E-2</v>
      </c>
      <c r="I145" s="28">
        <f>LN(Index!I146/Index!I145)</f>
        <v>-1.7841431724140745E-2</v>
      </c>
      <c r="J145" s="28">
        <f>LN(Index!J146/Index!J145)</f>
        <v>-1.9222704341717082E-2</v>
      </c>
      <c r="K145" s="28">
        <f>LN(Index!K146/Index!K145)</f>
        <v>-1.4399234431593876E-2</v>
      </c>
      <c r="L145" s="28">
        <f>LN(Index!L146/Index!L145)</f>
        <v>-2.1024482286746551E-2</v>
      </c>
      <c r="M145" s="28">
        <f>LN(Index!M146/Index!M145)</f>
        <v>-4.1814499688295155E-2</v>
      </c>
      <c r="N145" s="28">
        <f>LN(Index!N146/Index!N145)</f>
        <v>-3.9192579123716265E-2</v>
      </c>
    </row>
    <row r="146" spans="1:14">
      <c r="A146" s="15">
        <v>38639</v>
      </c>
      <c r="B146" s="28">
        <f>LN(Index!B147/Index!B146)</f>
        <v>-8.5036027993285381E-3</v>
      </c>
      <c r="C146" s="28">
        <f>LN(Index!C147/Index!C146)</f>
        <v>-6.7164887256557157E-3</v>
      </c>
      <c r="D146" s="28">
        <f>LN(Index!D147/Index!D146)</f>
        <v>-7.3781625876711762E-3</v>
      </c>
      <c r="E146" s="28">
        <f>LN(Index!E147/Index!E146)</f>
        <v>-2.1405623106697729E-2</v>
      </c>
      <c r="F146" s="28">
        <f>LN(Index!F147/Index!F146)</f>
        <v>-3.5122385260429059E-2</v>
      </c>
      <c r="G146" s="28">
        <f>LN(Index!G147/Index!G146)</f>
        <v>-3.2198869864823537E-2</v>
      </c>
      <c r="H146" s="28">
        <f>LN(Index!H147/Index!H146)</f>
        <v>-3.3619526566258884E-2</v>
      </c>
      <c r="I146" s="28">
        <f>LN(Index!I147/Index!I146)</f>
        <v>-3.1411531873082855E-2</v>
      </c>
      <c r="J146" s="28">
        <f>LN(Index!J147/Index!J146)</f>
        <v>-3.7511050313192337E-2</v>
      </c>
      <c r="K146" s="28">
        <f>LN(Index!K147/Index!K146)</f>
        <v>-3.4004717509420648E-2</v>
      </c>
      <c r="L146" s="28">
        <f>LN(Index!L147/Index!L146)</f>
        <v>-2.1622627356059122E-2</v>
      </c>
      <c r="M146" s="28">
        <f>LN(Index!M147/Index!M146)</f>
        <v>-1.8087532223918248E-2</v>
      </c>
      <c r="N146" s="28">
        <f>LN(Index!N147/Index!N146)</f>
        <v>-2.767331474566145E-2</v>
      </c>
    </row>
    <row r="147" spans="1:14">
      <c r="A147" s="15">
        <v>38646</v>
      </c>
      <c r="B147" s="28">
        <f>LN(Index!B148/Index!B147)</f>
        <v>-1.3418911016115821E-2</v>
      </c>
      <c r="C147" s="28">
        <f>LN(Index!C148/Index!C147)</f>
        <v>2.9771029920858936E-3</v>
      </c>
      <c r="D147" s="28">
        <f>LN(Index!D148/Index!D147)</f>
        <v>-8.7661605326202225E-3</v>
      </c>
      <c r="E147" s="28">
        <f>LN(Index!E148/Index!E147)</f>
        <v>-2.2366384953068572E-2</v>
      </c>
      <c r="F147" s="28">
        <f>LN(Index!F148/Index!F147)</f>
        <v>-1.0451943761784701E-2</v>
      </c>
      <c r="G147" s="28">
        <f>LN(Index!G148/Index!G147)</f>
        <v>-3.0435450788288597E-2</v>
      </c>
      <c r="H147" s="28">
        <f>LN(Index!H148/Index!H147)</f>
        <v>-1.3394096822267609E-2</v>
      </c>
      <c r="I147" s="28">
        <f>LN(Index!I148/Index!I147)</f>
        <v>-2.0385283628064469E-2</v>
      </c>
      <c r="J147" s="28">
        <f>LN(Index!J148/Index!J147)</f>
        <v>-1.1879911739781477E-2</v>
      </c>
      <c r="K147" s="28">
        <f>LN(Index!K148/Index!K147)</f>
        <v>1.6610007795069534E-2</v>
      </c>
      <c r="L147" s="28">
        <f>LN(Index!L148/Index!L147)</f>
        <v>-2.1383872670261773E-4</v>
      </c>
      <c r="M147" s="28">
        <f>LN(Index!M148/Index!M147)</f>
        <v>-4.3372188675798992E-2</v>
      </c>
      <c r="N147" s="28">
        <f>LN(Index!N148/Index!N147)</f>
        <v>-1.5212470812360669E-2</v>
      </c>
    </row>
    <row r="148" spans="1:14">
      <c r="A148" s="15">
        <v>38653</v>
      </c>
      <c r="B148" s="28">
        <f>LN(Index!B149/Index!B148)</f>
        <v>1.2413219053369721E-2</v>
      </c>
      <c r="C148" s="28">
        <f>LN(Index!C149/Index!C148)</f>
        <v>-6.2089166417983533E-3</v>
      </c>
      <c r="D148" s="28">
        <f>LN(Index!D149/Index!D148)</f>
        <v>1.1934898330586179E-2</v>
      </c>
      <c r="E148" s="28">
        <f>LN(Index!E149/Index!E148)</f>
        <v>7.2279565376619495E-3</v>
      </c>
      <c r="F148" s="28">
        <f>LN(Index!F149/Index!F148)</f>
        <v>1.4338050756486869E-2</v>
      </c>
      <c r="G148" s="28">
        <f>LN(Index!G149/Index!G148)</f>
        <v>1.2307297067065771E-2</v>
      </c>
      <c r="H148" s="28">
        <f>LN(Index!H149/Index!H148)</f>
        <v>1.305691199866308E-2</v>
      </c>
      <c r="I148" s="28">
        <f>LN(Index!I149/Index!I148)</f>
        <v>1.0995177422179894E-2</v>
      </c>
      <c r="J148" s="28">
        <f>LN(Index!J149/Index!J148)</f>
        <v>1.3423103022039754E-2</v>
      </c>
      <c r="K148" s="28">
        <f>LN(Index!K149/Index!K148)</f>
        <v>6.9718423600873252E-3</v>
      </c>
      <c r="L148" s="28">
        <f>LN(Index!L149/Index!L148)</f>
        <v>-4.3769239937633958E-3</v>
      </c>
      <c r="M148" s="28">
        <f>LN(Index!M149/Index!M148)</f>
        <v>1.7737527058253543E-3</v>
      </c>
      <c r="N148" s="28">
        <f>LN(Index!N149/Index!N148)</f>
        <v>1.6798059483793072E-2</v>
      </c>
    </row>
    <row r="149" spans="1:14">
      <c r="A149" s="15">
        <v>38660</v>
      </c>
      <c r="B149" s="28">
        <f>LN(Index!B150/Index!B149)</f>
        <v>2.0487615191484919E-2</v>
      </c>
      <c r="C149" s="28">
        <f>LN(Index!C150/Index!C149)</f>
        <v>-1.008965627249667E-2</v>
      </c>
      <c r="D149" s="28">
        <f>LN(Index!D150/Index!D149)</f>
        <v>7.5511701922446042E-3</v>
      </c>
      <c r="E149" s="28">
        <f>LN(Index!E150/Index!E149)</f>
        <v>1.3196805356190777E-3</v>
      </c>
      <c r="F149" s="28">
        <f>LN(Index!F150/Index!F149)</f>
        <v>1.828420508734779E-2</v>
      </c>
      <c r="G149" s="28">
        <f>LN(Index!G150/Index!G149)</f>
        <v>-2.0724889008068896E-2</v>
      </c>
      <c r="H149" s="28">
        <f>LN(Index!H150/Index!H149)</f>
        <v>-1.9608996670479289E-4</v>
      </c>
      <c r="I149" s="28">
        <f>LN(Index!I150/Index!I149)</f>
        <v>1.5055405541084666E-2</v>
      </c>
      <c r="J149" s="28">
        <f>LN(Index!J150/Index!J149)</f>
        <v>3.7012874591609017E-3</v>
      </c>
      <c r="K149" s="28">
        <f>LN(Index!K150/Index!K149)</f>
        <v>5.2426129997104734E-2</v>
      </c>
      <c r="L149" s="28">
        <f>LN(Index!L150/Index!L149)</f>
        <v>5.9475053680879998E-2</v>
      </c>
      <c r="M149" s="28">
        <f>LN(Index!M150/Index!M149)</f>
        <v>-1.1342885921107227E-2</v>
      </c>
      <c r="N149" s="28">
        <f>LN(Index!N150/Index!N149)</f>
        <v>1.7672903400238842E-3</v>
      </c>
    </row>
    <row r="150" spans="1:14">
      <c r="A150" s="15">
        <v>38667</v>
      </c>
      <c r="B150" s="28">
        <f>LN(Index!B151/Index!B150)</f>
        <v>7.6252463513131327E-3</v>
      </c>
      <c r="C150" s="28">
        <f>LN(Index!C151/Index!C150)</f>
        <v>3.553282257777591E-3</v>
      </c>
      <c r="D150" s="28">
        <f>LN(Index!D151/Index!D150)</f>
        <v>2.1101106540486116E-2</v>
      </c>
      <c r="E150" s="28">
        <f>LN(Index!E151/Index!E150)</f>
        <v>9.1469703879082809E-3</v>
      </c>
      <c r="F150" s="28">
        <f>LN(Index!F151/Index!F150)</f>
        <v>3.6988439621793855E-3</v>
      </c>
      <c r="G150" s="28">
        <f>LN(Index!G151/Index!G150)</f>
        <v>3.4009311374347588E-2</v>
      </c>
      <c r="H150" s="28">
        <f>LN(Index!H151/Index!H150)</f>
        <v>6.0687770331545564E-3</v>
      </c>
      <c r="I150" s="28">
        <f>LN(Index!I151/Index!I150)</f>
        <v>-2.2133155352250366E-3</v>
      </c>
      <c r="J150" s="28">
        <f>LN(Index!J151/Index!J150)</f>
        <v>2.2753253042609146E-2</v>
      </c>
      <c r="K150" s="28">
        <f>LN(Index!K151/Index!K150)</f>
        <v>-2.2840646108768284E-3</v>
      </c>
      <c r="L150" s="28">
        <f>LN(Index!L151/Index!L150)</f>
        <v>4.8456222278413924E-2</v>
      </c>
      <c r="M150" s="28">
        <f>LN(Index!M151/Index!M150)</f>
        <v>2.6503018823086182E-2</v>
      </c>
      <c r="N150" s="28">
        <f>LN(Index!N151/Index!N150)</f>
        <v>-1.556105433219925E-2</v>
      </c>
    </row>
    <row r="151" spans="1:14">
      <c r="A151" s="15">
        <v>38674</v>
      </c>
      <c r="B151" s="28">
        <f>LN(Index!B152/Index!B151)</f>
        <v>8.7988028420931865E-3</v>
      </c>
      <c r="C151" s="28">
        <f>LN(Index!C152/Index!C151)</f>
        <v>9.4816043380798669E-4</v>
      </c>
      <c r="D151" s="28">
        <f>LN(Index!D152/Index!D151)</f>
        <v>9.1173445492762385E-3</v>
      </c>
      <c r="E151" s="28">
        <f>LN(Index!E152/Index!E151)</f>
        <v>2.0247020482245972E-3</v>
      </c>
      <c r="F151" s="28">
        <f>LN(Index!F152/Index!F151)</f>
        <v>1.057736902448954E-3</v>
      </c>
      <c r="G151" s="28">
        <f>LN(Index!G152/Index!G151)</f>
        <v>-7.3000524789866607E-3</v>
      </c>
      <c r="H151" s="28">
        <f>LN(Index!H152/Index!H151)</f>
        <v>1.3406178872958766E-2</v>
      </c>
      <c r="I151" s="28">
        <f>LN(Index!I152/Index!I151)</f>
        <v>-5.4835711420188442E-3</v>
      </c>
      <c r="J151" s="28">
        <f>LN(Index!J152/Index!J151)</f>
        <v>-3.5580640138675071E-3</v>
      </c>
      <c r="K151" s="28">
        <f>LN(Index!K152/Index!K151)</f>
        <v>-1.7144875993425134E-2</v>
      </c>
      <c r="L151" s="28">
        <f>LN(Index!L152/Index!L151)</f>
        <v>-1.8246789374349821E-2</v>
      </c>
      <c r="M151" s="28">
        <f>LN(Index!M152/Index!M151)</f>
        <v>1.9200807323737103E-3</v>
      </c>
      <c r="N151" s="28">
        <f>LN(Index!N152/Index!N151)</f>
        <v>1.7402966763193292E-3</v>
      </c>
    </row>
    <row r="152" spans="1:14">
      <c r="A152" s="15">
        <v>38681</v>
      </c>
      <c r="B152" s="28">
        <f>LN(Index!B153/Index!B152)</f>
        <v>1.3163304203667682E-2</v>
      </c>
      <c r="C152" s="28">
        <f>LN(Index!C153/Index!C152)</f>
        <v>4.8913922873700623E-3</v>
      </c>
      <c r="D152" s="28">
        <f>LN(Index!D153/Index!D152)</f>
        <v>1.0166475339057721E-2</v>
      </c>
      <c r="E152" s="28">
        <f>LN(Index!E153/Index!E152)</f>
        <v>1.1239311396549797E-2</v>
      </c>
      <c r="F152" s="28">
        <f>LN(Index!F153/Index!F152)</f>
        <v>2.1199561342474912E-2</v>
      </c>
      <c r="G152" s="28">
        <f>LN(Index!G153/Index!G152)</f>
        <v>5.7095444497334705E-3</v>
      </c>
      <c r="H152" s="28">
        <f>LN(Index!H153/Index!H152)</f>
        <v>1.7176446020458251E-2</v>
      </c>
      <c r="I152" s="28">
        <f>LN(Index!I153/Index!I152)</f>
        <v>2.9618920839201172E-3</v>
      </c>
      <c r="J152" s="28">
        <f>LN(Index!J153/Index!J152)</f>
        <v>2.1576569516545845E-2</v>
      </c>
      <c r="K152" s="28">
        <f>LN(Index!K153/Index!K152)</f>
        <v>7.0450033443355681E-3</v>
      </c>
      <c r="L152" s="28">
        <f>LN(Index!L153/Index!L152)</f>
        <v>6.0245274016887292E-3</v>
      </c>
      <c r="M152" s="28">
        <f>LN(Index!M153/Index!M152)</f>
        <v>6.3323360572369513E-3</v>
      </c>
      <c r="N152" s="28">
        <f>LN(Index!N153/Index!N152)</f>
        <v>2.4233700997738038E-2</v>
      </c>
    </row>
    <row r="153" spans="1:14">
      <c r="A153" s="15">
        <v>38688</v>
      </c>
      <c r="B153" s="28">
        <f>LN(Index!B154/Index!B153)</f>
        <v>5.0619615449464823E-3</v>
      </c>
      <c r="C153" s="28">
        <f>LN(Index!C154/Index!C153)</f>
        <v>-4.0676350843979634E-3</v>
      </c>
      <c r="D153" s="28">
        <f>LN(Index!D154/Index!D153)</f>
        <v>8.7917614304055701E-4</v>
      </c>
      <c r="E153" s="28">
        <f>LN(Index!E154/Index!E153)</f>
        <v>4.9193412250704708E-3</v>
      </c>
      <c r="F153" s="28">
        <f>LN(Index!F154/Index!F153)</f>
        <v>1.1082276403694323E-2</v>
      </c>
      <c r="G153" s="28">
        <f>LN(Index!G154/Index!G153)</f>
        <v>-4.7376984549951252E-3</v>
      </c>
      <c r="H153" s="28">
        <f>LN(Index!H154/Index!H153)</f>
        <v>-7.194657832364254E-3</v>
      </c>
      <c r="I153" s="28">
        <f>LN(Index!I154/Index!I153)</f>
        <v>1.6205318604932083E-2</v>
      </c>
      <c r="J153" s="28">
        <f>LN(Index!J154/Index!J153)</f>
        <v>1.1597284518184996E-2</v>
      </c>
      <c r="K153" s="28">
        <f>LN(Index!K154/Index!K153)</f>
        <v>7.2855594952111122E-2</v>
      </c>
      <c r="L153" s="28">
        <f>LN(Index!L154/Index!L153)</f>
        <v>5.2058443221234423E-2</v>
      </c>
      <c r="M153" s="28">
        <f>LN(Index!M154/Index!M153)</f>
        <v>2.3018244362035977E-4</v>
      </c>
      <c r="N153" s="28">
        <f>LN(Index!N154/Index!N153)</f>
        <v>-7.3561751721092881E-3</v>
      </c>
    </row>
    <row r="154" spans="1:14">
      <c r="A154" s="15">
        <v>38695</v>
      </c>
      <c r="B154" s="28">
        <f>LN(Index!B155/Index!B154)</f>
        <v>2.3018832847218609E-3</v>
      </c>
      <c r="C154" s="28">
        <f>LN(Index!C155/Index!C154)</f>
        <v>1.9331625557653504E-3</v>
      </c>
      <c r="D154" s="28">
        <f>LN(Index!D155/Index!D154)</f>
        <v>1.5680374524023909E-3</v>
      </c>
      <c r="E154" s="28">
        <f>LN(Index!E155/Index!E154)</f>
        <v>1.48018058279159E-2</v>
      </c>
      <c r="F154" s="28">
        <f>LN(Index!F155/Index!F154)</f>
        <v>-8.2342001584469627E-3</v>
      </c>
      <c r="G154" s="28">
        <f>LN(Index!G155/Index!G154)</f>
        <v>8.0719285540665139E-3</v>
      </c>
      <c r="H154" s="28">
        <f>LN(Index!H155/Index!H154)</f>
        <v>9.1664117829338455E-3</v>
      </c>
      <c r="I154" s="28">
        <f>LN(Index!I155/Index!I154)</f>
        <v>9.9067755200246427E-4</v>
      </c>
      <c r="J154" s="28">
        <f>LN(Index!J155/Index!J154)</f>
        <v>2.2425414475416749E-2</v>
      </c>
      <c r="K154" s="28">
        <f>LN(Index!K155/Index!K154)</f>
        <v>-1.4063922043172808E-3</v>
      </c>
      <c r="L154" s="28">
        <f>LN(Index!L155/Index!L154)</f>
        <v>-1.2602237295560075E-2</v>
      </c>
      <c r="M154" s="28">
        <f>LN(Index!M155/Index!M154)</f>
        <v>1.4640693598335216E-2</v>
      </c>
      <c r="N154" s="28">
        <f>LN(Index!N155/Index!N154)</f>
        <v>-6.5307391762163391E-3</v>
      </c>
    </row>
    <row r="155" spans="1:14">
      <c r="A155" s="15">
        <v>38702</v>
      </c>
      <c r="B155" s="28">
        <f>LN(Index!B156/Index!B155)</f>
        <v>1.2093369943529306E-2</v>
      </c>
      <c r="C155" s="28">
        <f>LN(Index!C156/Index!C155)</f>
        <v>1.1236761949156571E-2</v>
      </c>
      <c r="D155" s="28">
        <f>LN(Index!D156/Index!D155)</f>
        <v>1.8196434377479087E-2</v>
      </c>
      <c r="E155" s="28">
        <f>LN(Index!E156/Index!E155)</f>
        <v>2.3196372057796049E-2</v>
      </c>
      <c r="F155" s="28">
        <f>LN(Index!F156/Index!F155)</f>
        <v>8.4609937917516503E-3</v>
      </c>
      <c r="G155" s="28">
        <f>LN(Index!G156/Index!G155)</f>
        <v>-1.2635025604397441E-2</v>
      </c>
      <c r="H155" s="28">
        <f>LN(Index!H156/Index!H155)</f>
        <v>2.4320707270968737E-2</v>
      </c>
      <c r="I155" s="28">
        <f>LN(Index!I156/Index!I155)</f>
        <v>1.5612573912554863E-2</v>
      </c>
      <c r="J155" s="28">
        <f>LN(Index!J156/Index!J155)</f>
        <v>2.1053173485283166E-2</v>
      </c>
      <c r="K155" s="28">
        <f>LN(Index!K156/Index!K155)</f>
        <v>1.0320073973575971E-2</v>
      </c>
      <c r="L155" s="28">
        <f>LN(Index!L156/Index!L155)</f>
        <v>-1.5711892786247784E-2</v>
      </c>
      <c r="M155" s="28">
        <f>LN(Index!M156/Index!M155)</f>
        <v>3.6630823948484346E-3</v>
      </c>
      <c r="N155" s="28">
        <f>LN(Index!N156/Index!N155)</f>
        <v>2.1376554088111142E-2</v>
      </c>
    </row>
    <row r="156" spans="1:14">
      <c r="A156" s="15">
        <v>38709</v>
      </c>
      <c r="B156" s="28">
        <f>LN(Index!B157/Index!B156)</f>
        <v>2.4814788159854568E-3</v>
      </c>
      <c r="C156" s="28">
        <f>LN(Index!C157/Index!C156)</f>
        <v>5.2807963042985641E-4</v>
      </c>
      <c r="D156" s="28">
        <f>LN(Index!D157/Index!D156)</f>
        <v>1.5025936259905403E-2</v>
      </c>
      <c r="E156" s="28">
        <f>LN(Index!E157/Index!E156)</f>
        <v>-1.1348692013373927E-2</v>
      </c>
      <c r="F156" s="28">
        <f>LN(Index!F157/Index!F156)</f>
        <v>-9.1238417745373949E-3</v>
      </c>
      <c r="G156" s="28">
        <f>LN(Index!G157/Index!G156)</f>
        <v>-1.1519619816241214E-2</v>
      </c>
      <c r="H156" s="28">
        <f>LN(Index!H157/Index!H156)</f>
        <v>-4.8436971702537348E-3</v>
      </c>
      <c r="I156" s="28">
        <f>LN(Index!I157/Index!I156)</f>
        <v>-2.0735291431356599E-2</v>
      </c>
      <c r="J156" s="28">
        <f>LN(Index!J157/Index!J156)</f>
        <v>-1.8544570037399753E-2</v>
      </c>
      <c r="K156" s="28">
        <f>LN(Index!K157/Index!K156)</f>
        <v>-1.8125316891605715E-2</v>
      </c>
      <c r="L156" s="28">
        <f>LN(Index!L157/Index!L156)</f>
        <v>1.8404575187241058E-3</v>
      </c>
      <c r="M156" s="28">
        <f>LN(Index!M157/Index!M156)</f>
        <v>-7.462568854488376E-3</v>
      </c>
      <c r="N156" s="28">
        <f>LN(Index!N157/Index!N156)</f>
        <v>-1.4731842531078248E-2</v>
      </c>
    </row>
    <row r="157" spans="1:14">
      <c r="A157" s="15">
        <v>38716</v>
      </c>
      <c r="B157" s="28">
        <f>LN(Index!B158/Index!B157)</f>
        <v>-1.0439994220574133E-2</v>
      </c>
      <c r="C157" s="28">
        <f>LN(Index!C158/Index!C157)</f>
        <v>-1.2190663462679366E-3</v>
      </c>
      <c r="D157" s="28">
        <f>LN(Index!D158/Index!D157)</f>
        <v>-1.2132242919737695E-3</v>
      </c>
      <c r="E157" s="28">
        <f>LN(Index!E158/Index!E157)</f>
        <v>-7.2863557202092434E-3</v>
      </c>
      <c r="F157" s="28">
        <f>LN(Index!F158/Index!F157)</f>
        <v>-8.4678602523988161E-3</v>
      </c>
      <c r="G157" s="28">
        <f>LN(Index!G158/Index!G157)</f>
        <v>7.9500477067843307E-3</v>
      </c>
      <c r="H157" s="28">
        <f>LN(Index!H158/Index!H157)</f>
        <v>-5.1053078341444314E-3</v>
      </c>
      <c r="I157" s="28">
        <f>LN(Index!I158/Index!I157)</f>
        <v>-6.5801923436565124E-3</v>
      </c>
      <c r="J157" s="28">
        <f>LN(Index!J158/Index!J157)</f>
        <v>-4.2355093473757759E-3</v>
      </c>
      <c r="K157" s="28">
        <f>LN(Index!K158/Index!K157)</f>
        <v>3.1294115729774011E-3</v>
      </c>
      <c r="L157" s="28">
        <f>LN(Index!L158/Index!L157)</f>
        <v>-3.5615521124962592E-3</v>
      </c>
      <c r="M157" s="28">
        <f>LN(Index!M158/Index!M157)</f>
        <v>-6.8674151204054339E-3</v>
      </c>
      <c r="N157" s="28">
        <f>LN(Index!N158/Index!N157)</f>
        <v>-1.0143585017060726E-2</v>
      </c>
    </row>
    <row r="158" spans="1:14">
      <c r="A158" s="15">
        <v>38723</v>
      </c>
      <c r="B158" s="28">
        <f>LN(Index!B159/Index!B158)</f>
        <v>3.9265663137258315E-2</v>
      </c>
      <c r="C158" s="28">
        <f>LN(Index!C159/Index!C158)</f>
        <v>9.7917027523908347E-3</v>
      </c>
      <c r="D158" s="28">
        <f>LN(Index!D159/Index!D158)</f>
        <v>3.2721290443862454E-2</v>
      </c>
      <c r="E158" s="28">
        <f>LN(Index!E159/Index!E158)</f>
        <v>3.0998182208470591E-2</v>
      </c>
      <c r="F158" s="28">
        <f>LN(Index!F159/Index!F158)</f>
        <v>2.137562835624094E-2</v>
      </c>
      <c r="G158" s="28">
        <f>LN(Index!G159/Index!G158)</f>
        <v>3.7329176764653672E-2</v>
      </c>
      <c r="H158" s="28">
        <f>LN(Index!H159/Index!H158)</f>
        <v>1.6724660682043844E-2</v>
      </c>
      <c r="I158" s="28">
        <f>LN(Index!I159/Index!I158)</f>
        <v>5.4750093651885073E-2</v>
      </c>
      <c r="J158" s="28">
        <f>LN(Index!J159/Index!J158)</f>
        <v>1.0019677572316178E-2</v>
      </c>
      <c r="K158" s="28">
        <f>LN(Index!K159/Index!K158)</f>
        <v>1.5402746515345829E-2</v>
      </c>
      <c r="L158" s="28">
        <f>LN(Index!L159/Index!L158)</f>
        <v>4.6758913531973333E-2</v>
      </c>
      <c r="M158" s="28">
        <f>LN(Index!M159/Index!M158)</f>
        <v>4.1720041013405582E-2</v>
      </c>
      <c r="N158" s="28">
        <f>LN(Index!N159/Index!N158)</f>
        <v>2.0918418080988928E-2</v>
      </c>
    </row>
    <row r="159" spans="1:14">
      <c r="A159" s="15">
        <v>38730</v>
      </c>
      <c r="B159" s="28">
        <f>LN(Index!B160/Index!B159)</f>
        <v>-1.0554817188402202E-3</v>
      </c>
      <c r="C159" s="28">
        <f>LN(Index!C160/Index!C159)</f>
        <v>1.5288677289028564E-3</v>
      </c>
      <c r="D159" s="28">
        <f>LN(Index!D160/Index!D159)</f>
        <v>2.4056103366161107E-3</v>
      </c>
      <c r="E159" s="28">
        <f>LN(Index!E160/Index!E159)</f>
        <v>-3.0099032624530606E-3</v>
      </c>
      <c r="F159" s="28">
        <f>LN(Index!F160/Index!F159)</f>
        <v>2.2739051807325939E-3</v>
      </c>
      <c r="G159" s="28">
        <f>LN(Index!G160/Index!G159)</f>
        <v>1.953875537792759E-2</v>
      </c>
      <c r="H159" s="28">
        <f>LN(Index!H160/Index!H159)</f>
        <v>-1.5757995675142626E-2</v>
      </c>
      <c r="I159" s="28">
        <f>LN(Index!I160/Index!I159)</f>
        <v>7.8848810042228112E-3</v>
      </c>
      <c r="J159" s="28">
        <f>LN(Index!J160/Index!J159)</f>
        <v>1.2017867297590266E-2</v>
      </c>
      <c r="K159" s="28">
        <f>LN(Index!K160/Index!K159)</f>
        <v>3.5747815964721326E-2</v>
      </c>
      <c r="L159" s="28">
        <f>LN(Index!L160/Index!L159)</f>
        <v>1.9609874051843387E-2</v>
      </c>
      <c r="M159" s="28">
        <f>LN(Index!M160/Index!M159)</f>
        <v>2.6350360655891096E-3</v>
      </c>
      <c r="N159" s="28">
        <f>LN(Index!N160/Index!N159)</f>
        <v>-4.9101579230760323E-3</v>
      </c>
    </row>
    <row r="160" spans="1:14">
      <c r="A160" s="15">
        <v>38737</v>
      </c>
      <c r="B160" s="28">
        <f>LN(Index!B161/Index!B160)</f>
        <v>-1.9371121886485744E-2</v>
      </c>
      <c r="C160" s="28">
        <f>LN(Index!C161/Index!C160)</f>
        <v>-1.0860603227584283E-3</v>
      </c>
      <c r="D160" s="28">
        <f>LN(Index!D161/Index!D160)</f>
        <v>-6.1133508052923441E-3</v>
      </c>
      <c r="E160" s="28">
        <f>LN(Index!E161/Index!E160)</f>
        <v>9.5528299189917201E-3</v>
      </c>
      <c r="F160" s="28">
        <f>LN(Index!F161/Index!F160)</f>
        <v>2.9316564645773852E-3</v>
      </c>
      <c r="G160" s="28">
        <f>LN(Index!G161/Index!G160)</f>
        <v>-1.9100493175790736E-2</v>
      </c>
      <c r="H160" s="28">
        <f>LN(Index!H161/Index!H160)</f>
        <v>1.7563439540794284E-2</v>
      </c>
      <c r="I160" s="28">
        <f>LN(Index!I161/Index!I160)</f>
        <v>-2.0599431528353938E-2</v>
      </c>
      <c r="J160" s="28">
        <f>LN(Index!J161/Index!J160)</f>
        <v>1.2154486569707018E-2</v>
      </c>
      <c r="K160" s="28">
        <f>LN(Index!K161/Index!K160)</f>
        <v>-8.5450522095419992E-3</v>
      </c>
      <c r="L160" s="28">
        <f>LN(Index!L161/Index!L160)</f>
        <v>1.7903167036405218E-3</v>
      </c>
      <c r="M160" s="28">
        <f>LN(Index!M161/Index!M160)</f>
        <v>6.1822719844832012E-4</v>
      </c>
      <c r="N160" s="28">
        <f>LN(Index!N161/Index!N160)</f>
        <v>9.9402335960834085E-4</v>
      </c>
    </row>
    <row r="161" spans="1:14">
      <c r="A161" s="15">
        <v>38744</v>
      </c>
      <c r="B161" s="28">
        <f>LN(Index!B162/Index!B161)</f>
        <v>2.312143658019436E-2</v>
      </c>
      <c r="C161" s="28">
        <f>LN(Index!C162/Index!C161)</f>
        <v>-6.298216144273323E-3</v>
      </c>
      <c r="D161" s="28">
        <f>LN(Index!D162/Index!D161)</f>
        <v>2.7048326282830593E-2</v>
      </c>
      <c r="E161" s="28">
        <f>LN(Index!E162/Index!E161)</f>
        <v>1.0362671316670588E-2</v>
      </c>
      <c r="F161" s="28">
        <f>LN(Index!F162/Index!F161)</f>
        <v>1.238730394003089E-2</v>
      </c>
      <c r="G161" s="28">
        <f>LN(Index!G162/Index!G161)</f>
        <v>1.4372947071855143E-3</v>
      </c>
      <c r="H161" s="28">
        <f>LN(Index!H162/Index!H161)</f>
        <v>2.2831976130178065E-3</v>
      </c>
      <c r="I161" s="28">
        <f>LN(Index!I162/Index!I161)</f>
        <v>4.9630941792755713E-3</v>
      </c>
      <c r="J161" s="28">
        <f>LN(Index!J162/Index!J161)</f>
        <v>1.5185156922575695E-2</v>
      </c>
      <c r="K161" s="28">
        <f>LN(Index!K162/Index!K161)</f>
        <v>9.5106770488251561E-3</v>
      </c>
      <c r="L161" s="28">
        <f>LN(Index!L162/Index!L161)</f>
        <v>2.247395999653698E-2</v>
      </c>
      <c r="M161" s="28">
        <f>LN(Index!M162/Index!M161)</f>
        <v>1.0004924507793304E-2</v>
      </c>
      <c r="N161" s="28">
        <f>LN(Index!N162/Index!N161)</f>
        <v>1.1528658300264644E-2</v>
      </c>
    </row>
    <row r="162" spans="1:14">
      <c r="A162" s="15">
        <v>38751</v>
      </c>
      <c r="B162" s="28">
        <f>LN(Index!B163/Index!B162)</f>
        <v>-1.1925856792352769E-2</v>
      </c>
      <c r="C162" s="28">
        <f>LN(Index!C163/Index!C162)</f>
        <v>-3.6517122459018454E-3</v>
      </c>
      <c r="D162" s="28">
        <f>LN(Index!D163/Index!D162)</f>
        <v>-4.8323168301754012E-3</v>
      </c>
      <c r="E162" s="28">
        <f>LN(Index!E163/Index!E162)</f>
        <v>8.5561132010581464E-3</v>
      </c>
      <c r="F162" s="28">
        <f>LN(Index!F163/Index!F162)</f>
        <v>-5.7879847184687527E-3</v>
      </c>
      <c r="G162" s="28">
        <f>LN(Index!G163/Index!G162)</f>
        <v>-2.6309952652325441E-2</v>
      </c>
      <c r="H162" s="28">
        <f>LN(Index!H163/Index!H162)</f>
        <v>4.2824126897496231E-3</v>
      </c>
      <c r="I162" s="28">
        <f>LN(Index!I163/Index!I162)</f>
        <v>1.5322615641789685E-2</v>
      </c>
      <c r="J162" s="28">
        <f>LN(Index!J163/Index!J162)</f>
        <v>3.8330724393355899E-3</v>
      </c>
      <c r="K162" s="28">
        <f>LN(Index!K163/Index!K162)</f>
        <v>-1.0079228071288131E-2</v>
      </c>
      <c r="L162" s="28">
        <f>LN(Index!L163/Index!L162)</f>
        <v>2.1009471328152892E-2</v>
      </c>
      <c r="M162" s="28">
        <f>LN(Index!M163/Index!M162)</f>
        <v>-1.5891367336634554E-2</v>
      </c>
      <c r="N162" s="28">
        <f>LN(Index!N163/Index!N162)</f>
        <v>-1.2107336539870915E-2</v>
      </c>
    </row>
    <row r="163" spans="1:14">
      <c r="A163" s="15">
        <v>38758</v>
      </c>
      <c r="B163" s="28">
        <f>LN(Index!B164/Index!B163)</f>
        <v>-3.8031383043447176E-3</v>
      </c>
      <c r="C163" s="28">
        <f>LN(Index!C164/Index!C163)</f>
        <v>-1.3830135624549546E-3</v>
      </c>
      <c r="D163" s="28">
        <f>LN(Index!D164/Index!D163)</f>
        <v>-6.7118229166899376E-3</v>
      </c>
      <c r="E163" s="28">
        <f>LN(Index!E164/Index!E163)</f>
        <v>1.702022363333934E-2</v>
      </c>
      <c r="F163" s="28">
        <f>LN(Index!F164/Index!F163)</f>
        <v>-6.7000526484860333E-4</v>
      </c>
      <c r="G163" s="28">
        <f>LN(Index!G164/Index!G163)</f>
        <v>-1.2217409887853269E-2</v>
      </c>
      <c r="H163" s="28">
        <f>LN(Index!H164/Index!H163)</f>
        <v>-6.2662364300289522E-3</v>
      </c>
      <c r="I163" s="28">
        <f>LN(Index!I164/Index!I163)</f>
        <v>9.7936479466111448E-2</v>
      </c>
      <c r="J163" s="28">
        <f>LN(Index!J164/Index!J163)</f>
        <v>2.4900731981930793E-3</v>
      </c>
      <c r="K163" s="28">
        <f>LN(Index!K164/Index!K163)</f>
        <v>3.9804293590944936E-2</v>
      </c>
      <c r="L163" s="28">
        <f>LN(Index!L164/Index!L163)</f>
        <v>7.0475213414403545E-3</v>
      </c>
      <c r="M163" s="28">
        <f>LN(Index!M164/Index!M163)</f>
        <v>-5.3537412771016745E-3</v>
      </c>
      <c r="N163" s="28">
        <f>LN(Index!N164/Index!N163)</f>
        <v>-9.5333343098197056E-3</v>
      </c>
    </row>
    <row r="164" spans="1:14">
      <c r="A164" s="15">
        <v>38765</v>
      </c>
      <c r="B164" s="28">
        <f>LN(Index!B165/Index!B164)</f>
        <v>8.2296104030844582E-3</v>
      </c>
      <c r="C164" s="28">
        <f>LN(Index!C165/Index!C164)</f>
        <v>2.6829284386006929E-3</v>
      </c>
      <c r="D164" s="28">
        <f>LN(Index!D165/Index!D164)</f>
        <v>2.0878045048299764E-3</v>
      </c>
      <c r="E164" s="28">
        <f>LN(Index!E165/Index!E164)</f>
        <v>1.0309536250964068E-2</v>
      </c>
      <c r="F164" s="28">
        <f>LN(Index!F165/Index!F164)</f>
        <v>9.0102515970029232E-3</v>
      </c>
      <c r="G164" s="28">
        <f>LN(Index!G165/Index!G164)</f>
        <v>-4.7661604294896593E-3</v>
      </c>
      <c r="H164" s="28">
        <f>LN(Index!H165/Index!H164)</f>
        <v>-2.1194500289292008E-3</v>
      </c>
      <c r="I164" s="28">
        <f>LN(Index!I165/Index!I164)</f>
        <v>3.2627794010101088E-2</v>
      </c>
      <c r="J164" s="28">
        <f>LN(Index!J165/Index!J164)</f>
        <v>-3.1092027289817515E-4</v>
      </c>
      <c r="K164" s="28">
        <f>LN(Index!K165/Index!K164)</f>
        <v>4.4695096605662258E-3</v>
      </c>
      <c r="L164" s="28">
        <f>LN(Index!L165/Index!L164)</f>
        <v>3.3024262496427728E-3</v>
      </c>
      <c r="M164" s="28">
        <f>LN(Index!M165/Index!M164)</f>
        <v>7.5778680134073835E-3</v>
      </c>
      <c r="N164" s="28">
        <f>LN(Index!N165/Index!N164)</f>
        <v>1.8527789109520899E-2</v>
      </c>
    </row>
    <row r="165" spans="1:14">
      <c r="A165" s="15">
        <v>38772</v>
      </c>
      <c r="B165" s="28">
        <f>LN(Index!B166/Index!B165)</f>
        <v>8.5966112590417487E-3</v>
      </c>
      <c r="C165" s="28">
        <f>LN(Index!C166/Index!C165)</f>
        <v>4.0587710598575616E-4</v>
      </c>
      <c r="D165" s="28">
        <f>LN(Index!D166/Index!D165)</f>
        <v>2.7597809203458973E-2</v>
      </c>
      <c r="E165" s="28">
        <f>LN(Index!E166/Index!E165)</f>
        <v>1.5937736018911554E-2</v>
      </c>
      <c r="F165" s="28">
        <f>LN(Index!F166/Index!F165)</f>
        <v>1.4411932095792314E-2</v>
      </c>
      <c r="G165" s="28">
        <f>LN(Index!G166/Index!G165)</f>
        <v>3.1005346296976467E-2</v>
      </c>
      <c r="H165" s="28">
        <f>LN(Index!H166/Index!H165)</f>
        <v>3.2364212701633706E-2</v>
      </c>
      <c r="I165" s="28">
        <f>LN(Index!I166/Index!I165)</f>
        <v>1.4186126677673275E-2</v>
      </c>
      <c r="J165" s="28">
        <f>LN(Index!J166/Index!J165)</f>
        <v>1.3780248732466416E-2</v>
      </c>
      <c r="K165" s="28">
        <f>LN(Index!K166/Index!K165)</f>
        <v>-7.8813144795348011E-3</v>
      </c>
      <c r="L165" s="28">
        <f>LN(Index!L166/Index!L165)</f>
        <v>1.9871650778677648E-2</v>
      </c>
      <c r="M165" s="28">
        <f>LN(Index!M166/Index!M165)</f>
        <v>7.8221086339271828E-3</v>
      </c>
      <c r="N165" s="28">
        <f>LN(Index!N166/Index!N165)</f>
        <v>1.4768227012475175E-2</v>
      </c>
    </row>
    <row r="166" spans="1:14">
      <c r="A166" s="15">
        <v>38779</v>
      </c>
      <c r="B166" s="28">
        <f>LN(Index!B167/Index!B166)</f>
        <v>-1.0819790603013751E-3</v>
      </c>
      <c r="C166" s="28">
        <f>LN(Index!C167/Index!C166)</f>
        <v>-2.1936960373481261E-3</v>
      </c>
      <c r="D166" s="28">
        <f>LN(Index!D167/Index!D166)</f>
        <v>1.6905694441671888E-4</v>
      </c>
      <c r="E166" s="28">
        <f>LN(Index!E167/Index!E166)</f>
        <v>-5.1076900713443816E-3</v>
      </c>
      <c r="F166" s="28">
        <f>LN(Index!F167/Index!F166)</f>
        <v>-1.8564809234264981E-2</v>
      </c>
      <c r="G166" s="28">
        <f>LN(Index!G167/Index!G166)</f>
        <v>-1.3182317478649593E-2</v>
      </c>
      <c r="H166" s="28">
        <f>LN(Index!H167/Index!H166)</f>
        <v>-2.1587203426882154E-2</v>
      </c>
      <c r="I166" s="28">
        <f>LN(Index!I167/Index!I166)</f>
        <v>1.3431512953757907E-2</v>
      </c>
      <c r="J166" s="28">
        <f>LN(Index!J167/Index!J166)</f>
        <v>-5.9882165283166398E-3</v>
      </c>
      <c r="K166" s="28">
        <f>LN(Index!K167/Index!K166)</f>
        <v>-4.9083466643177042E-3</v>
      </c>
      <c r="L166" s="28">
        <f>LN(Index!L167/Index!L166)</f>
        <v>-2.6708646468000301E-2</v>
      </c>
      <c r="M166" s="28">
        <f>LN(Index!M167/Index!M166)</f>
        <v>-5.256202129466407E-3</v>
      </c>
      <c r="N166" s="28">
        <f>LN(Index!N167/Index!N166)</f>
        <v>-1.2246047634569716E-2</v>
      </c>
    </row>
    <row r="167" spans="1:14">
      <c r="A167" s="15">
        <v>38786</v>
      </c>
      <c r="B167" s="28">
        <f>LN(Index!B168/Index!B167)</f>
        <v>-6.0102492491904951E-3</v>
      </c>
      <c r="C167" s="28">
        <f>LN(Index!C168/Index!C167)</f>
        <v>-6.6101105705342082E-3</v>
      </c>
      <c r="D167" s="28">
        <f>LN(Index!D168/Index!D167)</f>
        <v>5.7870206732202664E-3</v>
      </c>
      <c r="E167" s="28">
        <f>LN(Index!E168/Index!E167)</f>
        <v>-1.8668328848803359E-2</v>
      </c>
      <c r="F167" s="28">
        <f>LN(Index!F168/Index!F167)</f>
        <v>-1.6676010770954201E-2</v>
      </c>
      <c r="G167" s="28">
        <f>LN(Index!G168/Index!G167)</f>
        <v>8.2350977353222998E-3</v>
      </c>
      <c r="H167" s="28">
        <f>LN(Index!H168/Index!H167)</f>
        <v>-9.9652407816390644E-3</v>
      </c>
      <c r="I167" s="28">
        <f>LN(Index!I168/Index!I167)</f>
        <v>-2.6035540825056568E-2</v>
      </c>
      <c r="J167" s="28">
        <f>LN(Index!J168/Index!J167)</f>
        <v>-2.7058114531449424E-2</v>
      </c>
      <c r="K167" s="28">
        <f>LN(Index!K168/Index!K167)</f>
        <v>-1.4936194012969599E-2</v>
      </c>
      <c r="L167" s="28">
        <f>LN(Index!L168/Index!L167)</f>
        <v>-1.2733119591612434E-2</v>
      </c>
      <c r="M167" s="28">
        <f>LN(Index!M168/Index!M167)</f>
        <v>-5.2133976712483675E-3</v>
      </c>
      <c r="N167" s="28">
        <f>LN(Index!N168/Index!N167)</f>
        <v>-1.9926283699232245E-2</v>
      </c>
    </row>
    <row r="168" spans="1:14">
      <c r="A168" s="15">
        <v>38793</v>
      </c>
      <c r="B168" s="28">
        <f>LN(Index!B169/Index!B168)</f>
        <v>2.6295593999897837E-2</v>
      </c>
      <c r="C168" s="28">
        <f>LN(Index!C169/Index!C168)</f>
        <v>9.5745195554737695E-3</v>
      </c>
      <c r="D168" s="28">
        <f>LN(Index!D169/Index!D168)</f>
        <v>3.0781844507416691E-2</v>
      </c>
      <c r="E168" s="28">
        <f>LN(Index!E169/Index!E168)</f>
        <v>3.2252203626534574E-2</v>
      </c>
      <c r="F168" s="28">
        <f>LN(Index!F169/Index!F168)</f>
        <v>1.2454293250891264E-2</v>
      </c>
      <c r="G168" s="28">
        <f>LN(Index!G169/Index!G168)</f>
        <v>1.0880736127580248E-3</v>
      </c>
      <c r="H168" s="28">
        <f>LN(Index!H169/Index!H168)</f>
        <v>1.3599230858953574E-2</v>
      </c>
      <c r="I168" s="28">
        <f>LN(Index!I169/Index!I168)</f>
        <v>3.118893339791751E-2</v>
      </c>
      <c r="J168" s="28">
        <f>LN(Index!J169/Index!J168)</f>
        <v>3.7052004515341019E-2</v>
      </c>
      <c r="K168" s="28">
        <f>LN(Index!K169/Index!K168)</f>
        <v>3.4363931401527964E-2</v>
      </c>
      <c r="L168" s="28">
        <f>LN(Index!L169/Index!L168)</f>
        <v>1.4564452895951837E-2</v>
      </c>
      <c r="M168" s="28">
        <f>LN(Index!M169/Index!M168)</f>
        <v>1.7516078981637741E-2</v>
      </c>
      <c r="N168" s="28">
        <f>LN(Index!N169/Index!N168)</f>
        <v>2.3211133820595659E-2</v>
      </c>
    </row>
    <row r="169" spans="1:14">
      <c r="A169" s="15">
        <v>38800</v>
      </c>
      <c r="B169" s="28">
        <f>LN(Index!B170/Index!B169)</f>
        <v>-2.2886214693809827E-3</v>
      </c>
      <c r="C169" s="28">
        <f>LN(Index!C170/Index!C169)</f>
        <v>-2.3545661022169352E-3</v>
      </c>
      <c r="D169" s="28">
        <f>LN(Index!D170/Index!D169)</f>
        <v>-1.0210577665323144E-2</v>
      </c>
      <c r="E169" s="28">
        <f>LN(Index!E170/Index!E169)</f>
        <v>-1.2709593685727482E-2</v>
      </c>
      <c r="F169" s="28">
        <f>LN(Index!F170/Index!F169)</f>
        <v>-8.3009973311994993E-3</v>
      </c>
      <c r="G169" s="28">
        <f>LN(Index!G170/Index!G169)</f>
        <v>-2.299311507044486E-2</v>
      </c>
      <c r="H169" s="28">
        <f>LN(Index!H170/Index!H169)</f>
        <v>-1.9722005739994424E-2</v>
      </c>
      <c r="I169" s="28">
        <f>LN(Index!I170/Index!I169)</f>
        <v>-8.4608011319838861E-3</v>
      </c>
      <c r="J169" s="28">
        <f>LN(Index!J170/Index!J169)</f>
        <v>-9.0420786790665481E-3</v>
      </c>
      <c r="K169" s="28">
        <f>LN(Index!K170/Index!K169)</f>
        <v>6.5846045374247014E-2</v>
      </c>
      <c r="L169" s="28">
        <f>LN(Index!L170/Index!L169)</f>
        <v>-7.5337858844911109E-3</v>
      </c>
      <c r="M169" s="28">
        <f>LN(Index!M170/Index!M169)</f>
        <v>-1.4776206420397427E-2</v>
      </c>
      <c r="N169" s="28">
        <f>LN(Index!N170/Index!N169)</f>
        <v>-1.3311438095916872E-2</v>
      </c>
    </row>
    <row r="170" spans="1:14">
      <c r="A170" s="15">
        <v>38807</v>
      </c>
      <c r="B170" s="28">
        <f>LN(Index!B171/Index!B170)</f>
        <v>-3.3700418578591087E-4</v>
      </c>
      <c r="C170" s="28">
        <f>LN(Index!C171/Index!C170)</f>
        <v>-6.360618362011872E-3</v>
      </c>
      <c r="D170" s="28">
        <f>LN(Index!D171/Index!D170)</f>
        <v>1.2868927257412463E-2</v>
      </c>
      <c r="E170" s="28">
        <f>LN(Index!E171/Index!E170)</f>
        <v>-1.0210362857797903E-2</v>
      </c>
      <c r="F170" s="28">
        <f>LN(Index!F171/Index!F170)</f>
        <v>-9.4479575544335129E-3</v>
      </c>
      <c r="G170" s="28">
        <f>LN(Index!G171/Index!G170)</f>
        <v>1.2625394077181081E-2</v>
      </c>
      <c r="H170" s="28">
        <f>LN(Index!H171/Index!H170)</f>
        <v>-1.8948763828481839E-2</v>
      </c>
      <c r="I170" s="28">
        <f>LN(Index!I171/Index!I170)</f>
        <v>-3.3546828725497047E-3</v>
      </c>
      <c r="J170" s="28">
        <f>LN(Index!J171/Index!J170)</f>
        <v>-1.7510727876722896E-2</v>
      </c>
      <c r="K170" s="28">
        <f>LN(Index!K171/Index!K170)</f>
        <v>2.4850627674418972E-2</v>
      </c>
      <c r="L170" s="28">
        <f>LN(Index!L171/Index!L170)</f>
        <v>-1.9578890328560285E-2</v>
      </c>
      <c r="M170" s="28">
        <f>LN(Index!M171/Index!M170)</f>
        <v>4.6651434886183256E-3</v>
      </c>
      <c r="N170" s="28">
        <f>LN(Index!N171/Index!N170)</f>
        <v>-2.6169132858942334E-3</v>
      </c>
    </row>
    <row r="171" spans="1:14">
      <c r="A171" s="15">
        <v>38814</v>
      </c>
      <c r="B171" s="28">
        <f>LN(Index!B172/Index!B171)</f>
        <v>8.3689362759769292E-3</v>
      </c>
      <c r="C171" s="28">
        <f>LN(Index!C172/Index!C171)</f>
        <v>-4.0165634555111686E-3</v>
      </c>
      <c r="D171" s="28">
        <f>LN(Index!D172/Index!D171)</f>
        <v>-5.2148523851041169E-3</v>
      </c>
      <c r="E171" s="28">
        <f>LN(Index!E172/Index!E171)</f>
        <v>1.1940773799047441E-2</v>
      </c>
      <c r="F171" s="28">
        <f>LN(Index!F172/Index!F171)</f>
        <v>1.9502545877883115E-3</v>
      </c>
      <c r="G171" s="28">
        <f>LN(Index!G172/Index!G171)</f>
        <v>2.4891987478109282E-2</v>
      </c>
      <c r="H171" s="28">
        <f>LN(Index!H172/Index!H171)</f>
        <v>-8.8466502528898334E-3</v>
      </c>
      <c r="I171" s="28">
        <f>LN(Index!I172/Index!I171)</f>
        <v>1.4124084948477222E-2</v>
      </c>
      <c r="J171" s="28">
        <f>LN(Index!J172/Index!J171)</f>
        <v>1.2187045221619308E-2</v>
      </c>
      <c r="K171" s="28">
        <f>LN(Index!K172/Index!K171)</f>
        <v>9.1560424410762654E-3</v>
      </c>
      <c r="L171" s="28">
        <f>LN(Index!L172/Index!L171)</f>
        <v>4.0904568976432562E-2</v>
      </c>
      <c r="M171" s="28">
        <f>LN(Index!M172/Index!M171)</f>
        <v>1.9429789687710763E-2</v>
      </c>
      <c r="N171" s="28">
        <f>LN(Index!N172/Index!N171)</f>
        <v>1.5546180628113436E-3</v>
      </c>
    </row>
    <row r="172" spans="1:14">
      <c r="A172" s="15">
        <v>38821</v>
      </c>
      <c r="B172" s="28">
        <f>LN(Index!B173/Index!B172)</f>
        <v>-8.4363507438962974E-3</v>
      </c>
      <c r="C172" s="28">
        <f>LN(Index!C173/Index!C172)</f>
        <v>-3.1672280347865259E-3</v>
      </c>
      <c r="D172" s="28">
        <f>LN(Index!D173/Index!D172)</f>
        <v>-2.4757970643596264E-2</v>
      </c>
      <c r="E172" s="28">
        <f>LN(Index!E173/Index!E172)</f>
        <v>-1.0721554910550261E-2</v>
      </c>
      <c r="F172" s="28">
        <f>LN(Index!F173/Index!F172)</f>
        <v>-7.2203744078933344E-3</v>
      </c>
      <c r="G172" s="28">
        <f>LN(Index!G173/Index!G172)</f>
        <v>-3.0322645034392196E-2</v>
      </c>
      <c r="H172" s="28">
        <f>LN(Index!H173/Index!H172)</f>
        <v>-1.4058673849398032E-2</v>
      </c>
      <c r="I172" s="28">
        <f>LN(Index!I173/Index!I172)</f>
        <v>-1.0009949568492403E-2</v>
      </c>
      <c r="J172" s="28">
        <f>LN(Index!J173/Index!J172)</f>
        <v>-1.9957058331674223E-2</v>
      </c>
      <c r="K172" s="28">
        <f>LN(Index!K173/Index!K172)</f>
        <v>-2.3552125461777977E-2</v>
      </c>
      <c r="L172" s="28">
        <f>LN(Index!L173/Index!L172)</f>
        <v>2.6590786101157392E-3</v>
      </c>
      <c r="M172" s="28">
        <f>LN(Index!M173/Index!M172)</f>
        <v>-1.3305633458962789E-2</v>
      </c>
      <c r="N172" s="28">
        <f>LN(Index!N173/Index!N172)</f>
        <v>-9.7514889525125697E-3</v>
      </c>
    </row>
    <row r="173" spans="1:14">
      <c r="A173" s="15">
        <v>38828</v>
      </c>
      <c r="B173" s="28">
        <f>LN(Index!B174/Index!B173)</f>
        <v>2.5901728616882787E-2</v>
      </c>
      <c r="C173" s="28">
        <f>LN(Index!C174/Index!C173)</f>
        <v>7.5109630947212055E-3</v>
      </c>
      <c r="D173" s="28">
        <f>LN(Index!D174/Index!D173)</f>
        <v>2.5955445204281093E-2</v>
      </c>
      <c r="E173" s="28">
        <f>LN(Index!E174/Index!E173)</f>
        <v>4.4142913484381333E-2</v>
      </c>
      <c r="F173" s="28">
        <f>LN(Index!F174/Index!F173)</f>
        <v>2.3454066356178797E-2</v>
      </c>
      <c r="G173" s="28">
        <f>LN(Index!G174/Index!G173)</f>
        <v>2.0297666399506285E-2</v>
      </c>
      <c r="H173" s="28">
        <f>LN(Index!H174/Index!H173)</f>
        <v>3.860519105988678E-2</v>
      </c>
      <c r="I173" s="28">
        <f>LN(Index!I174/Index!I173)</f>
        <v>4.3094630386843864E-2</v>
      </c>
      <c r="J173" s="28">
        <f>LN(Index!J174/Index!J173)</f>
        <v>4.4353404032552099E-2</v>
      </c>
      <c r="K173" s="28">
        <f>LN(Index!K174/Index!K173)</f>
        <v>4.6323262068099814E-2</v>
      </c>
      <c r="L173" s="28">
        <f>LN(Index!L174/Index!L173)</f>
        <v>2.4419262818539789E-2</v>
      </c>
      <c r="M173" s="28">
        <f>LN(Index!M174/Index!M173)</f>
        <v>2.6966179954662266E-2</v>
      </c>
      <c r="N173" s="28">
        <f>LN(Index!N174/Index!N173)</f>
        <v>2.9276000245393868E-2</v>
      </c>
    </row>
    <row r="174" spans="1:14">
      <c r="A174" s="15">
        <v>38835</v>
      </c>
      <c r="B174" s="28">
        <f>LN(Index!B175/Index!B174)</f>
        <v>2.456815615055763E-3</v>
      </c>
      <c r="C174" s="28">
        <f>LN(Index!C175/Index!C174)</f>
        <v>3.1435654293621705E-3</v>
      </c>
      <c r="D174" s="28">
        <f>LN(Index!D175/Index!D174)</f>
        <v>3.8006343936061622E-3</v>
      </c>
      <c r="E174" s="28">
        <f>LN(Index!E175/Index!E174)</f>
        <v>1.5435271053225072E-2</v>
      </c>
      <c r="F174" s="28">
        <f>LN(Index!F175/Index!F174)</f>
        <v>1.2233594627967411E-2</v>
      </c>
      <c r="G174" s="28">
        <f>LN(Index!G175/Index!G174)</f>
        <v>8.4756217846383812E-3</v>
      </c>
      <c r="H174" s="28">
        <f>LN(Index!H175/Index!H174)</f>
        <v>1.4977521166028853E-2</v>
      </c>
      <c r="I174" s="28">
        <f>LN(Index!I175/Index!I174)</f>
        <v>1.1420432798375763E-2</v>
      </c>
      <c r="J174" s="28">
        <f>LN(Index!J175/Index!J174)</f>
        <v>-1.2889386883379894E-2</v>
      </c>
      <c r="K174" s="28">
        <f>LN(Index!K175/Index!K174)</f>
        <v>8.4717991095345779E-3</v>
      </c>
      <c r="L174" s="28">
        <f>LN(Index!L175/Index!L174)</f>
        <v>4.4827792712153841E-2</v>
      </c>
      <c r="M174" s="28">
        <f>LN(Index!M175/Index!M174)</f>
        <v>2.3899250332189245E-2</v>
      </c>
      <c r="N174" s="28">
        <f>LN(Index!N175/Index!N174)</f>
        <v>4.1544273566092938E-3</v>
      </c>
    </row>
    <row r="175" spans="1:14">
      <c r="A175" s="15">
        <v>38842</v>
      </c>
      <c r="B175" s="28">
        <f>LN(Index!B176/Index!B175)</f>
        <v>1.8911626812873172E-2</v>
      </c>
      <c r="C175" s="28">
        <f>LN(Index!C176/Index!C175)</f>
        <v>4.8388830821010902E-3</v>
      </c>
      <c r="D175" s="28">
        <f>LN(Index!D176/Index!D175)</f>
        <v>2.0542973486967368E-2</v>
      </c>
      <c r="E175" s="28">
        <f>LN(Index!E176/Index!E175)</f>
        <v>2.0349821960117382E-2</v>
      </c>
      <c r="F175" s="28">
        <f>LN(Index!F176/Index!F175)</f>
        <v>1.5559060202406445E-2</v>
      </c>
      <c r="G175" s="28">
        <f>LN(Index!G176/Index!G175)</f>
        <v>3.3008124811898494E-3</v>
      </c>
      <c r="H175" s="28">
        <f>LN(Index!H176/Index!H175)</f>
        <v>1.0053752464051454E-2</v>
      </c>
      <c r="I175" s="28">
        <f>LN(Index!I176/Index!I175)</f>
        <v>1.7298399511240306E-2</v>
      </c>
      <c r="J175" s="28">
        <f>LN(Index!J176/Index!J175)</f>
        <v>2.586184729210491E-2</v>
      </c>
      <c r="K175" s="28">
        <f>LN(Index!K176/Index!K175)</f>
        <v>1.8594381397203659E-2</v>
      </c>
      <c r="L175" s="28">
        <f>LN(Index!L176/Index!L175)</f>
        <v>2.7726244595611488E-2</v>
      </c>
      <c r="M175" s="28">
        <f>LN(Index!M176/Index!M175)</f>
        <v>1.5117628934738156E-2</v>
      </c>
      <c r="N175" s="28">
        <f>LN(Index!N176/Index!N175)</f>
        <v>1.561312917220028E-2</v>
      </c>
    </row>
    <row r="176" spans="1:14">
      <c r="A176" s="15">
        <v>38849</v>
      </c>
      <c r="B176" s="28">
        <f>LN(Index!B177/Index!B176)</f>
        <v>-1.9100958690373072E-2</v>
      </c>
      <c r="C176" s="28">
        <f>LN(Index!C177/Index!C176)</f>
        <v>-4.8689443467770581E-4</v>
      </c>
      <c r="D176" s="28">
        <f>LN(Index!D177/Index!D176)</f>
        <v>-1.0996747767811109E-2</v>
      </c>
      <c r="E176" s="28">
        <f>LN(Index!E177/Index!E176)</f>
        <v>-7.4876670192749748E-3</v>
      </c>
      <c r="F176" s="28">
        <f>LN(Index!F177/Index!F176)</f>
        <v>-3.0881756891700536E-2</v>
      </c>
      <c r="G176" s="28">
        <f>LN(Index!G177/Index!G176)</f>
        <v>-2.2231593716275384E-3</v>
      </c>
      <c r="H176" s="28">
        <f>LN(Index!H177/Index!H176)</f>
        <v>-1.5001894621860043E-2</v>
      </c>
      <c r="I176" s="28">
        <f>LN(Index!I177/Index!I176)</f>
        <v>-6.6351898271467351E-4</v>
      </c>
      <c r="J176" s="28">
        <f>LN(Index!J177/Index!J176)</f>
        <v>-2.2186991112790391E-2</v>
      </c>
      <c r="K176" s="28">
        <f>LN(Index!K177/Index!K176)</f>
        <v>6.9104998268050052E-3</v>
      </c>
      <c r="L176" s="28">
        <f>LN(Index!L177/Index!L176)</f>
        <v>-4.3034168882825415E-2</v>
      </c>
      <c r="M176" s="28">
        <f>LN(Index!M177/Index!M176)</f>
        <v>-4.4299076430825406E-3</v>
      </c>
      <c r="N176" s="28">
        <f>LN(Index!N177/Index!N176)</f>
        <v>-1.7488177750453578E-2</v>
      </c>
    </row>
    <row r="177" spans="1:14">
      <c r="A177" s="15">
        <v>38856</v>
      </c>
      <c r="B177" s="28">
        <f>LN(Index!B178/Index!B177)</f>
        <v>-3.7954910099007359E-2</v>
      </c>
      <c r="C177" s="28">
        <f>LN(Index!C178/Index!C177)</f>
        <v>4.6967452117961167E-3</v>
      </c>
      <c r="D177" s="28">
        <f>LN(Index!D178/Index!D177)</f>
        <v>-4.9571467697253728E-2</v>
      </c>
      <c r="E177" s="28">
        <f>LN(Index!E178/Index!E177)</f>
        <v>-2.7888436397151512E-2</v>
      </c>
      <c r="F177" s="28">
        <f>LN(Index!F178/Index!F177)</f>
        <v>-2.5480455503556303E-2</v>
      </c>
      <c r="G177" s="28">
        <f>LN(Index!G178/Index!G177)</f>
        <v>-3.8897071838805669E-2</v>
      </c>
      <c r="H177" s="28">
        <f>LN(Index!H178/Index!H177)</f>
        <v>5.7910368240869977E-3</v>
      </c>
      <c r="I177" s="28">
        <f>LN(Index!I178/Index!I177)</f>
        <v>-3.4347294963299226E-2</v>
      </c>
      <c r="J177" s="28">
        <f>LN(Index!J178/Index!J177)</f>
        <v>-2.5650358890316777E-2</v>
      </c>
      <c r="K177" s="28">
        <f>LN(Index!K178/Index!K177)</f>
        <v>-6.2884995806228916E-2</v>
      </c>
      <c r="L177" s="28">
        <f>LN(Index!L178/Index!L177)</f>
        <v>-6.8703823928136065E-2</v>
      </c>
      <c r="M177" s="28">
        <f>LN(Index!M178/Index!M177)</f>
        <v>-4.3073549399538932E-2</v>
      </c>
      <c r="N177" s="28">
        <f>LN(Index!N178/Index!N177)</f>
        <v>-2.528783000232647E-2</v>
      </c>
    </row>
    <row r="178" spans="1:14">
      <c r="A178" s="15">
        <v>38863</v>
      </c>
      <c r="B178" s="28">
        <f>LN(Index!B179/Index!B178)</f>
        <v>7.8737301229290617E-3</v>
      </c>
      <c r="C178" s="28">
        <f>LN(Index!C179/Index!C178)</f>
        <v>-2.4239486241576063E-4</v>
      </c>
      <c r="D178" s="28">
        <f>LN(Index!D179/Index!D178)</f>
        <v>6.2414102356199734E-3</v>
      </c>
      <c r="E178" s="28">
        <f>LN(Index!E179/Index!E178)</f>
        <v>1.8805522267269763E-2</v>
      </c>
      <c r="F178" s="28">
        <f>LN(Index!F179/Index!F178)</f>
        <v>1.9163729781461591E-2</v>
      </c>
      <c r="G178" s="28">
        <f>LN(Index!G179/Index!G178)</f>
        <v>-1.522292955980871E-3</v>
      </c>
      <c r="H178" s="28">
        <f>LN(Index!H179/Index!H178)</f>
        <v>3.4185505284944073E-2</v>
      </c>
      <c r="I178" s="28">
        <f>LN(Index!I179/Index!I178)</f>
        <v>-1.8903945648653098E-2</v>
      </c>
      <c r="J178" s="28">
        <f>LN(Index!J179/Index!J178)</f>
        <v>2.1478862944253198E-2</v>
      </c>
      <c r="K178" s="28">
        <f>LN(Index!K179/Index!K178)</f>
        <v>8.4595033553406931E-2</v>
      </c>
      <c r="L178" s="28">
        <f>LN(Index!L179/Index!L178)</f>
        <v>2.3082147524221781E-2</v>
      </c>
      <c r="M178" s="28">
        <f>LN(Index!M179/Index!M178)</f>
        <v>3.8885171600332256E-3</v>
      </c>
      <c r="N178" s="28">
        <f>LN(Index!N179/Index!N178)</f>
        <v>1.312256876885802E-2</v>
      </c>
    </row>
    <row r="179" spans="1:14">
      <c r="A179" s="15">
        <v>38870</v>
      </c>
      <c r="B179" s="28">
        <f>LN(Index!B180/Index!B179)</f>
        <v>7.7228543334738262E-3</v>
      </c>
      <c r="C179" s="28">
        <f>LN(Index!C180/Index!C179)</f>
        <v>5.4799073387401089E-3</v>
      </c>
      <c r="D179" s="28">
        <f>LN(Index!D180/Index!D179)</f>
        <v>1.2699290640494324E-2</v>
      </c>
      <c r="E179" s="28">
        <f>LN(Index!E180/Index!E179)</f>
        <v>2.6863328007706508E-2</v>
      </c>
      <c r="F179" s="28">
        <f>LN(Index!F180/Index!F179)</f>
        <v>3.1052037652767882E-2</v>
      </c>
      <c r="G179" s="28">
        <f>LN(Index!G180/Index!G179)</f>
        <v>1.221199468811553E-2</v>
      </c>
      <c r="H179" s="28">
        <f>LN(Index!H180/Index!H179)</f>
        <v>2.2157879520650962E-2</v>
      </c>
      <c r="I179" s="28">
        <f>LN(Index!I180/Index!I179)</f>
        <v>7.1674795750340581E-2</v>
      </c>
      <c r="J179" s="28">
        <f>LN(Index!J180/Index!J179)</f>
        <v>1.7341172187503459E-2</v>
      </c>
      <c r="K179" s="28">
        <f>LN(Index!K180/Index!K179)</f>
        <v>1.8822748784959153E-2</v>
      </c>
      <c r="L179" s="28">
        <f>LN(Index!L180/Index!L179)</f>
        <v>9.832348795316477E-3</v>
      </c>
      <c r="M179" s="28">
        <f>LN(Index!M180/Index!M179)</f>
        <v>4.4116625875515484E-3</v>
      </c>
      <c r="N179" s="28">
        <f>LN(Index!N180/Index!N179)</f>
        <v>3.7561522850547945E-2</v>
      </c>
    </row>
    <row r="180" spans="1:14">
      <c r="A180" s="15">
        <v>38877</v>
      </c>
      <c r="B180" s="28">
        <f>LN(Index!B181/Index!B180)</f>
        <v>-4.4863821164826942E-2</v>
      </c>
      <c r="C180" s="28">
        <f>LN(Index!C181/Index!C180)</f>
        <v>-4.2685201524431306E-3</v>
      </c>
      <c r="D180" s="28">
        <f>LN(Index!D181/Index!D180)</f>
        <v>-1.9956502317862522E-2</v>
      </c>
      <c r="E180" s="28">
        <f>LN(Index!E181/Index!E180)</f>
        <v>-2.9998284304508991E-2</v>
      </c>
      <c r="F180" s="28">
        <f>LN(Index!F181/Index!F180)</f>
        <v>-2.4712352058788224E-2</v>
      </c>
      <c r="G180" s="28">
        <f>LN(Index!G181/Index!G180)</f>
        <v>9.9021818147997723E-3</v>
      </c>
      <c r="H180" s="28">
        <f>LN(Index!H181/Index!H180)</f>
        <v>-2.4505034498427683E-2</v>
      </c>
      <c r="I180" s="28">
        <f>LN(Index!I181/Index!I180)</f>
        <v>-1.2587209943545664E-2</v>
      </c>
      <c r="J180" s="28">
        <f>LN(Index!J181/Index!J180)</f>
        <v>-2.3766846007292688E-2</v>
      </c>
      <c r="K180" s="28">
        <f>LN(Index!K181/Index!K180)</f>
        <v>-2.961273095528684E-2</v>
      </c>
      <c r="L180" s="28">
        <f>LN(Index!L181/Index!L180)</f>
        <v>-4.1266979423266806E-2</v>
      </c>
      <c r="M180" s="28">
        <f>LN(Index!M181/Index!M180)</f>
        <v>-2.4402228034247693E-2</v>
      </c>
      <c r="N180" s="28">
        <f>LN(Index!N181/Index!N180)</f>
        <v>-2.4406043780517923E-2</v>
      </c>
    </row>
    <row r="181" spans="1:14">
      <c r="A181" s="15">
        <v>38884</v>
      </c>
      <c r="B181" s="28">
        <f>LN(Index!B182/Index!B181)</f>
        <v>-4.488775858059642E-3</v>
      </c>
      <c r="C181" s="28">
        <f>LN(Index!C182/Index!C181)</f>
        <v>-6.2340808303167437E-3</v>
      </c>
      <c r="D181" s="28">
        <f>LN(Index!D182/Index!D181)</f>
        <v>-4.4137690487087242E-3</v>
      </c>
      <c r="E181" s="28">
        <f>LN(Index!E182/Index!E181)</f>
        <v>-1.7979864379201616E-3</v>
      </c>
      <c r="F181" s="28">
        <f>LN(Index!F182/Index!F181)</f>
        <v>-3.6514964250470698E-3</v>
      </c>
      <c r="G181" s="28">
        <f>LN(Index!G182/Index!G181)</f>
        <v>-7.3856442980345296E-3</v>
      </c>
      <c r="H181" s="28">
        <f>LN(Index!H182/Index!H181)</f>
        <v>1.3569620199395342E-3</v>
      </c>
      <c r="I181" s="28">
        <f>LN(Index!I182/Index!I181)</f>
        <v>-3.0601933268426017E-3</v>
      </c>
      <c r="J181" s="28">
        <f>LN(Index!J182/Index!J181)</f>
        <v>-1.1463604755180427E-2</v>
      </c>
      <c r="K181" s="28">
        <f>LN(Index!K182/Index!K181)</f>
        <v>0.10596397497905208</v>
      </c>
      <c r="L181" s="28">
        <f>LN(Index!L182/Index!L181)</f>
        <v>6.7389998064867184E-3</v>
      </c>
      <c r="M181" s="28">
        <f>LN(Index!M182/Index!M181)</f>
        <v>-1.2771029983508746E-2</v>
      </c>
      <c r="N181" s="28">
        <f>LN(Index!N182/Index!N181)</f>
        <v>-1.3566663286349857E-2</v>
      </c>
    </row>
    <row r="182" spans="1:14">
      <c r="A182" s="15">
        <v>38891</v>
      </c>
      <c r="B182" s="28">
        <f>LN(Index!B183/Index!B182)</f>
        <v>-5.243530816316528E-4</v>
      </c>
      <c r="C182" s="28">
        <f>LN(Index!C183/Index!C182)</f>
        <v>-5.7421102163990401E-3</v>
      </c>
      <c r="D182" s="28">
        <f>LN(Index!D183/Index!D182)</f>
        <v>-9.287022279821389E-3</v>
      </c>
      <c r="E182" s="28">
        <f>LN(Index!E183/Index!E182)</f>
        <v>4.7877153181530741E-4</v>
      </c>
      <c r="F182" s="28">
        <f>LN(Index!F183/Index!F182)</f>
        <v>3.9166446376105008E-4</v>
      </c>
      <c r="G182" s="28">
        <f>LN(Index!G183/Index!G182)</f>
        <v>-1.878605910345962E-2</v>
      </c>
      <c r="H182" s="28">
        <f>LN(Index!H183/Index!H182)</f>
        <v>-1.8551355322559204E-2</v>
      </c>
      <c r="I182" s="28">
        <f>LN(Index!I183/Index!I182)</f>
        <v>6.8211034317388888E-3</v>
      </c>
      <c r="J182" s="28">
        <f>LN(Index!J183/Index!J182)</f>
        <v>-1.1789375317441684E-3</v>
      </c>
      <c r="K182" s="28">
        <f>LN(Index!K183/Index!K182)</f>
        <v>3.1453019678041511E-2</v>
      </c>
      <c r="L182" s="28">
        <f>LN(Index!L183/Index!L182)</f>
        <v>2.2159474438997798E-2</v>
      </c>
      <c r="M182" s="28">
        <f>LN(Index!M183/Index!M182)</f>
        <v>-8.8066216502925183E-3</v>
      </c>
      <c r="N182" s="28">
        <f>LN(Index!N183/Index!N182)</f>
        <v>6.5407726049651887E-4</v>
      </c>
    </row>
    <row r="183" spans="1:14">
      <c r="A183" s="15">
        <v>38898</v>
      </c>
      <c r="B183" s="28">
        <f>LN(Index!B184/Index!B183)</f>
        <v>3.2728457815193117E-2</v>
      </c>
      <c r="C183" s="28">
        <f>LN(Index!C184/Index!C183)</f>
        <v>7.4461719749657632E-3</v>
      </c>
      <c r="D183" s="28">
        <f>LN(Index!D184/Index!D183)</f>
        <v>4.0661706918157896E-2</v>
      </c>
      <c r="E183" s="28">
        <f>LN(Index!E184/Index!E183)</f>
        <v>1.8431216948937103E-2</v>
      </c>
      <c r="F183" s="28">
        <f>LN(Index!F184/Index!F183)</f>
        <v>2.5348040406837649E-2</v>
      </c>
      <c r="G183" s="28">
        <f>LN(Index!G184/Index!G183)</f>
        <v>5.8027626508388164E-3</v>
      </c>
      <c r="H183" s="28">
        <f>LN(Index!H184/Index!H183)</f>
        <v>1.0934205379105442E-2</v>
      </c>
      <c r="I183" s="28">
        <f>LN(Index!I184/Index!I183)</f>
        <v>2.0202516766905501E-2</v>
      </c>
      <c r="J183" s="28">
        <f>LN(Index!J184/Index!J183)</f>
        <v>1.221694924320273E-2</v>
      </c>
      <c r="K183" s="28">
        <f>LN(Index!K184/Index!K183)</f>
        <v>-1.7787106127271187E-5</v>
      </c>
      <c r="L183" s="28">
        <f>LN(Index!L184/Index!L183)</f>
        <v>2.5326618627938929E-2</v>
      </c>
      <c r="M183" s="28">
        <f>LN(Index!M184/Index!M183)</f>
        <v>2.2141870617810946E-2</v>
      </c>
      <c r="N183" s="28">
        <f>LN(Index!N184/Index!N183)</f>
        <v>3.3682535348747544E-2</v>
      </c>
    </row>
    <row r="184" spans="1:14">
      <c r="A184" s="15">
        <v>38905</v>
      </c>
      <c r="B184" s="28">
        <f>LN(Index!B185/Index!B184)</f>
        <v>-6.2143811870186342E-4</v>
      </c>
      <c r="C184" s="28">
        <f>LN(Index!C185/Index!C184)</f>
        <v>1.620220704406366E-3</v>
      </c>
      <c r="D184" s="28">
        <f>LN(Index!D185/Index!D184)</f>
        <v>9.6265032626769893E-3</v>
      </c>
      <c r="E184" s="28">
        <f>LN(Index!E185/Index!E184)</f>
        <v>1.3950241951102225E-2</v>
      </c>
      <c r="F184" s="28">
        <f>LN(Index!F185/Index!F184)</f>
        <v>8.0746613902637748E-3</v>
      </c>
      <c r="G184" s="28">
        <f>LN(Index!G185/Index!G184)</f>
        <v>1.184821144401263E-2</v>
      </c>
      <c r="H184" s="28">
        <f>LN(Index!H185/Index!H184)</f>
        <v>1.8407063007440827E-2</v>
      </c>
      <c r="I184" s="28">
        <f>LN(Index!I185/Index!I184)</f>
        <v>5.0200113804317135E-3</v>
      </c>
      <c r="J184" s="28">
        <f>LN(Index!J185/Index!J184)</f>
        <v>2.0315507115025246E-2</v>
      </c>
      <c r="K184" s="28">
        <f>LN(Index!K185/Index!K184)</f>
        <v>-2.0511951125851938E-3</v>
      </c>
      <c r="L184" s="28">
        <f>LN(Index!L185/Index!L184)</f>
        <v>4.2750278830274982E-3</v>
      </c>
      <c r="M184" s="28">
        <f>LN(Index!M185/Index!M184)</f>
        <v>9.8870922894461113E-3</v>
      </c>
      <c r="N184" s="28">
        <f>LN(Index!N185/Index!N184)</f>
        <v>7.4562525083470632E-3</v>
      </c>
    </row>
    <row r="185" spans="1:14">
      <c r="A185" s="15">
        <v>38912</v>
      </c>
      <c r="B185" s="28">
        <f>LN(Index!B186/Index!B185)</f>
        <v>-3.42621000530079E-2</v>
      </c>
      <c r="C185" s="28">
        <f>LN(Index!C186/Index!C185)</f>
        <v>2.4280684834594428E-4</v>
      </c>
      <c r="D185" s="28">
        <f>LN(Index!D186/Index!D185)</f>
        <v>-2.5581636472177666E-2</v>
      </c>
      <c r="E185" s="28">
        <f>LN(Index!E186/Index!E185)</f>
        <v>-3.0458604026713184E-2</v>
      </c>
      <c r="F185" s="28">
        <f>LN(Index!F186/Index!F185)</f>
        <v>-1.129696044409105E-2</v>
      </c>
      <c r="G185" s="28">
        <f>LN(Index!G186/Index!G185)</f>
        <v>-2.0934885396020706E-2</v>
      </c>
      <c r="H185" s="28">
        <f>LN(Index!H186/Index!H185)</f>
        <v>-1.434441500629924E-2</v>
      </c>
      <c r="I185" s="28">
        <f>LN(Index!I186/Index!I185)</f>
        <v>-2.4712935167739616E-2</v>
      </c>
      <c r="J185" s="28">
        <f>LN(Index!J186/Index!J185)</f>
        <v>-3.4020222988649047E-2</v>
      </c>
      <c r="K185" s="28">
        <f>LN(Index!K186/Index!K185)</f>
        <v>-1.3989254450304899E-2</v>
      </c>
      <c r="L185" s="28">
        <f>LN(Index!L186/Index!L185)</f>
        <v>-3.9095658476255402E-2</v>
      </c>
      <c r="M185" s="28">
        <f>LN(Index!M186/Index!M185)</f>
        <v>-3.7263890011707095E-2</v>
      </c>
      <c r="N185" s="28">
        <f>LN(Index!N186/Index!N185)</f>
        <v>-5.5974879610137217E-3</v>
      </c>
    </row>
    <row r="186" spans="1:14">
      <c r="A186" s="15">
        <v>38919</v>
      </c>
      <c r="B186" s="28">
        <f>LN(Index!B187/Index!B186)</f>
        <v>4.0477168471508935E-3</v>
      </c>
      <c r="C186" s="28">
        <f>LN(Index!C187/Index!C186)</f>
        <v>3.2721352590985389E-3</v>
      </c>
      <c r="D186" s="28">
        <f>LN(Index!D187/Index!D186)</f>
        <v>8.4524776155837575E-3</v>
      </c>
      <c r="E186" s="28">
        <f>LN(Index!E187/Index!E186)</f>
        <v>2.0733609239828567E-2</v>
      </c>
      <c r="F186" s="28">
        <f>LN(Index!F187/Index!F186)</f>
        <v>1.7122214243733554E-2</v>
      </c>
      <c r="G186" s="28">
        <f>LN(Index!G187/Index!G186)</f>
        <v>5.3942887667451896E-3</v>
      </c>
      <c r="H186" s="28">
        <f>LN(Index!H187/Index!H186)</f>
        <v>2.6015803658481846E-2</v>
      </c>
      <c r="I186" s="28">
        <f>LN(Index!I187/Index!I186)</f>
        <v>1.1122300077951003E-2</v>
      </c>
      <c r="J186" s="28">
        <f>LN(Index!J187/Index!J186)</f>
        <v>4.2364270548336233E-2</v>
      </c>
      <c r="K186" s="28">
        <f>LN(Index!K187/Index!K186)</f>
        <v>1.2537344684526983E-2</v>
      </c>
      <c r="L186" s="28">
        <f>LN(Index!L187/Index!L186)</f>
        <v>1.7582466023531116E-2</v>
      </c>
      <c r="M186" s="28">
        <f>LN(Index!M187/Index!M186)</f>
        <v>-3.5201551623282993E-3</v>
      </c>
      <c r="N186" s="28">
        <f>LN(Index!N187/Index!N186)</f>
        <v>1.2553540593535049E-2</v>
      </c>
    </row>
    <row r="187" spans="1:14">
      <c r="A187" s="15">
        <v>38926</v>
      </c>
      <c r="B187" s="28">
        <f>LN(Index!B188/Index!B187)</f>
        <v>3.705164216005425E-2</v>
      </c>
      <c r="C187" s="28">
        <f>LN(Index!C188/Index!C187)</f>
        <v>5.7908232759634947E-3</v>
      </c>
      <c r="D187" s="28">
        <f>LN(Index!D188/Index!D187)</f>
        <v>4.1594717654822234E-2</v>
      </c>
      <c r="E187" s="28">
        <f>LN(Index!E188/Index!E187)</f>
        <v>3.2273293475421523E-2</v>
      </c>
      <c r="F187" s="28">
        <f>LN(Index!F188/Index!F187)</f>
        <v>2.9595947877357209E-2</v>
      </c>
      <c r="G187" s="28">
        <f>LN(Index!G188/Index!G187)</f>
        <v>2.4383049233528335E-3</v>
      </c>
      <c r="H187" s="28">
        <f>LN(Index!H188/Index!H187)</f>
        <v>2.9560336332872302E-2</v>
      </c>
      <c r="I187" s="28">
        <f>LN(Index!I188/Index!I187)</f>
        <v>1.0217244428128609E-2</v>
      </c>
      <c r="J187" s="28">
        <f>LN(Index!J188/Index!J187)</f>
        <v>3.339227933966013E-2</v>
      </c>
      <c r="K187" s="28">
        <f>LN(Index!K188/Index!K187)</f>
        <v>4.8184969303727704E-3</v>
      </c>
      <c r="L187" s="28">
        <f>LN(Index!L188/Index!L187)</f>
        <v>4.4976442210445756E-2</v>
      </c>
      <c r="M187" s="28">
        <f>LN(Index!M188/Index!M187)</f>
        <v>2.1708420025946962E-2</v>
      </c>
      <c r="N187" s="28">
        <f>LN(Index!N188/Index!N187)</f>
        <v>3.202833944115336E-2</v>
      </c>
    </row>
    <row r="188" spans="1:14">
      <c r="A188" s="15">
        <v>38933</v>
      </c>
      <c r="B188" s="28">
        <f>LN(Index!B189/Index!B188)</f>
        <v>5.6534865372207116E-3</v>
      </c>
      <c r="C188" s="28">
        <f>LN(Index!C189/Index!C188)</f>
        <v>6.6740181789558973E-3</v>
      </c>
      <c r="D188" s="28">
        <f>LN(Index!D189/Index!D188)</f>
        <v>1.3925744612627768E-2</v>
      </c>
      <c r="E188" s="28">
        <f>LN(Index!E189/Index!E188)</f>
        <v>1.628228970150165E-2</v>
      </c>
      <c r="F188" s="28">
        <f>LN(Index!F189/Index!F188)</f>
        <v>-3.8455164235964056E-3</v>
      </c>
      <c r="G188" s="28">
        <f>LN(Index!G189/Index!G188)</f>
        <v>5.27337629024471E-3</v>
      </c>
      <c r="H188" s="28">
        <f>LN(Index!H189/Index!H188)</f>
        <v>9.8099216996078049E-3</v>
      </c>
      <c r="I188" s="28">
        <f>LN(Index!I189/Index!I188)</f>
        <v>1.8421251503545562E-2</v>
      </c>
      <c r="J188" s="28">
        <f>LN(Index!J189/Index!J188)</f>
        <v>1.3737694134009909E-2</v>
      </c>
      <c r="K188" s="28">
        <f>LN(Index!K189/Index!K188)</f>
        <v>2.6037430331272458E-2</v>
      </c>
      <c r="L188" s="28">
        <f>LN(Index!L189/Index!L188)</f>
        <v>-3.1196842505063641E-3</v>
      </c>
      <c r="M188" s="28">
        <f>LN(Index!M189/Index!M188)</f>
        <v>1.7131839487734644E-2</v>
      </c>
      <c r="N188" s="28">
        <f>LN(Index!N189/Index!N188)</f>
        <v>-5.6371949547983748E-3</v>
      </c>
    </row>
    <row r="189" spans="1:14">
      <c r="A189" s="15">
        <v>38940</v>
      </c>
      <c r="B189" s="28">
        <f>LN(Index!B190/Index!B189)</f>
        <v>-1.2953285450604987E-2</v>
      </c>
      <c r="C189" s="28">
        <f>LN(Index!C190/Index!C189)</f>
        <v>-5.1114239551232517E-3</v>
      </c>
      <c r="D189" s="28">
        <f>LN(Index!D190/Index!D189)</f>
        <v>-1.6212432306373176E-2</v>
      </c>
      <c r="E189" s="28">
        <f>LN(Index!E190/Index!E189)</f>
        <v>-4.6463277247804272E-4</v>
      </c>
      <c r="F189" s="28">
        <f>LN(Index!F190/Index!F189)</f>
        <v>-7.6051760834711032E-3</v>
      </c>
      <c r="G189" s="28">
        <f>LN(Index!G190/Index!G189)</f>
        <v>1.0976584635602421E-2</v>
      </c>
      <c r="H189" s="28">
        <f>LN(Index!H190/Index!H189)</f>
        <v>6.8586742455780305E-3</v>
      </c>
      <c r="I189" s="28">
        <f>LN(Index!I190/Index!I189)</f>
        <v>-1.1357169609865925E-2</v>
      </c>
      <c r="J189" s="28">
        <f>LN(Index!J190/Index!J189)</f>
        <v>-5.401033981793796E-3</v>
      </c>
      <c r="K189" s="28">
        <f>LN(Index!K190/Index!K189)</f>
        <v>8.2003094416334421E-4</v>
      </c>
      <c r="L189" s="28">
        <f>LN(Index!L190/Index!L189)</f>
        <v>4.8151944789513509E-3</v>
      </c>
      <c r="M189" s="28">
        <f>LN(Index!M190/Index!M189)</f>
        <v>-3.903264500860793E-3</v>
      </c>
      <c r="N189" s="28">
        <f>LN(Index!N190/Index!N189)</f>
        <v>-9.5365484251576284E-3</v>
      </c>
    </row>
    <row r="190" spans="1:14">
      <c r="A190" s="15">
        <v>38947</v>
      </c>
      <c r="B190" s="28">
        <f>LN(Index!B191/Index!B190)</f>
        <v>2.7240304650303304E-2</v>
      </c>
      <c r="C190" s="28">
        <f>LN(Index!C191/Index!C190)</f>
        <v>7.1009992403636242E-3</v>
      </c>
      <c r="D190" s="28">
        <f>LN(Index!D191/Index!D190)</f>
        <v>1.851465182469245E-2</v>
      </c>
      <c r="E190" s="28">
        <f>LN(Index!E191/Index!E190)</f>
        <v>4.0664174166368597E-3</v>
      </c>
      <c r="F190" s="28">
        <f>LN(Index!F191/Index!F190)</f>
        <v>1.3668327635134064E-2</v>
      </c>
      <c r="G190" s="28">
        <f>LN(Index!G191/Index!G190)</f>
        <v>-2.3451480862073052E-3</v>
      </c>
      <c r="H190" s="28">
        <f>LN(Index!H191/Index!H190)</f>
        <v>2.6204435680646098E-3</v>
      </c>
      <c r="I190" s="28">
        <f>LN(Index!I191/Index!I190)</f>
        <v>1.2701532406136102E-2</v>
      </c>
      <c r="J190" s="28">
        <f>LN(Index!J191/Index!J190)</f>
        <v>-2.2043937909402276E-3</v>
      </c>
      <c r="K190" s="28">
        <f>LN(Index!K191/Index!K190)</f>
        <v>-1.187013589310568E-3</v>
      </c>
      <c r="L190" s="28">
        <f>LN(Index!L191/Index!L190)</f>
        <v>3.5216589432601655E-2</v>
      </c>
      <c r="M190" s="28">
        <f>LN(Index!M191/Index!M190)</f>
        <v>8.5285977973372212E-3</v>
      </c>
      <c r="N190" s="28">
        <f>LN(Index!N191/Index!N190)</f>
        <v>5.6736502739992796E-3</v>
      </c>
    </row>
    <row r="191" spans="1:14">
      <c r="A191" s="15">
        <v>38954</v>
      </c>
      <c r="B191" s="28">
        <f>LN(Index!B192/Index!B191)</f>
        <v>-7.2964097372592521E-3</v>
      </c>
      <c r="C191" s="28">
        <f>LN(Index!C192/Index!C191)</f>
        <v>1.8665983695629108E-3</v>
      </c>
      <c r="D191" s="28">
        <f>LN(Index!D192/Index!D191)</f>
        <v>-6.9752478955807445E-3</v>
      </c>
      <c r="E191" s="28">
        <f>LN(Index!E192/Index!E191)</f>
        <v>9.2528127205781185E-4</v>
      </c>
      <c r="F191" s="28">
        <f>LN(Index!F192/Index!F191)</f>
        <v>-5.2577365046557896E-4</v>
      </c>
      <c r="G191" s="28">
        <f>LN(Index!G192/Index!G191)</f>
        <v>4.071177915729151E-3</v>
      </c>
      <c r="H191" s="28">
        <f>LN(Index!H192/Index!H191)</f>
        <v>7.0605785942041473E-3</v>
      </c>
      <c r="I191" s="28">
        <f>LN(Index!I192/Index!I191)</f>
        <v>-5.0070767003418662E-3</v>
      </c>
      <c r="J191" s="28">
        <f>LN(Index!J192/Index!J191)</f>
        <v>-3.1511768306702525E-3</v>
      </c>
      <c r="K191" s="28">
        <f>LN(Index!K192/Index!K191)</f>
        <v>3.6998899488614082E-2</v>
      </c>
      <c r="L191" s="28">
        <f>LN(Index!L192/Index!L191)</f>
        <v>-8.1922907899644216E-3</v>
      </c>
      <c r="M191" s="28">
        <f>LN(Index!M192/Index!M191)</f>
        <v>1.0106850820719247E-3</v>
      </c>
      <c r="N191" s="28">
        <f>LN(Index!N192/Index!N191)</f>
        <v>-8.8820006013329083E-4</v>
      </c>
    </row>
    <row r="192" spans="1:14">
      <c r="A192" s="15">
        <v>38961</v>
      </c>
      <c r="B192" s="28">
        <f>LN(Index!B193/Index!B192)</f>
        <v>1.484034128249025E-2</v>
      </c>
      <c r="C192" s="28">
        <f>LN(Index!C193/Index!C192)</f>
        <v>4.5920669744544881E-3</v>
      </c>
      <c r="D192" s="28">
        <f>LN(Index!D193/Index!D192)</f>
        <v>2.0987621022575158E-2</v>
      </c>
      <c r="E192" s="28">
        <f>LN(Index!E193/Index!E192)</f>
        <v>2.7472192219071965E-2</v>
      </c>
      <c r="F192" s="28">
        <f>LN(Index!F193/Index!F192)</f>
        <v>1.6393547997696135E-2</v>
      </c>
      <c r="G192" s="28">
        <f>LN(Index!G193/Index!G192)</f>
        <v>1.9934246950718437E-2</v>
      </c>
      <c r="H192" s="28">
        <f>LN(Index!H193/Index!H192)</f>
        <v>1.712030892086314E-2</v>
      </c>
      <c r="I192" s="28">
        <f>LN(Index!I193/Index!I192)</f>
        <v>3.8753402578920501E-2</v>
      </c>
      <c r="J192" s="28">
        <f>LN(Index!J193/Index!J192)</f>
        <v>3.7860908390228119E-2</v>
      </c>
      <c r="K192" s="28">
        <f>LN(Index!K193/Index!K192)</f>
        <v>1.0136192135577161E-2</v>
      </c>
      <c r="L192" s="28">
        <f>LN(Index!L193/Index!L192)</f>
        <v>1.978984898959334E-2</v>
      </c>
      <c r="M192" s="28">
        <f>LN(Index!M193/Index!M192)</f>
        <v>2.6229973216176154E-2</v>
      </c>
      <c r="N192" s="28">
        <f>LN(Index!N193/Index!N192)</f>
        <v>1.4409396441504831E-2</v>
      </c>
    </row>
    <row r="193" spans="1:14">
      <c r="A193" s="15">
        <v>38968</v>
      </c>
      <c r="B193" s="28">
        <f>LN(Index!B194/Index!B193)</f>
        <v>-1.5271641808967593E-2</v>
      </c>
      <c r="C193" s="28">
        <f>LN(Index!C194/Index!C193)</f>
        <v>-2.1350632814022318E-3</v>
      </c>
      <c r="D193" s="28">
        <f>LN(Index!D194/Index!D193)</f>
        <v>-2.2701485345391855E-3</v>
      </c>
      <c r="E193" s="28">
        <f>LN(Index!E194/Index!E193)</f>
        <v>-2.0146970400575615E-2</v>
      </c>
      <c r="F193" s="28">
        <f>LN(Index!F194/Index!F193)</f>
        <v>-2.0135588440536312E-2</v>
      </c>
      <c r="G193" s="28">
        <f>LN(Index!G194/Index!G193)</f>
        <v>-1.7316762812939781E-2</v>
      </c>
      <c r="H193" s="28">
        <f>LN(Index!H194/Index!H193)</f>
        <v>-2.2291880773226115E-2</v>
      </c>
      <c r="I193" s="28">
        <f>LN(Index!I194/Index!I193)</f>
        <v>-1.8635201346348735E-2</v>
      </c>
      <c r="J193" s="28">
        <f>LN(Index!J194/Index!J193)</f>
        <v>-3.5674440207850558E-2</v>
      </c>
      <c r="K193" s="28">
        <f>LN(Index!K194/Index!K193)</f>
        <v>-1.9089169513026392E-2</v>
      </c>
      <c r="L193" s="28">
        <f>LN(Index!L194/Index!L193)</f>
        <v>-1.3821120396715028E-2</v>
      </c>
      <c r="M193" s="28">
        <f>LN(Index!M194/Index!M193)</f>
        <v>-6.4292762985441393E-3</v>
      </c>
      <c r="N193" s="28">
        <f>LN(Index!N194/Index!N193)</f>
        <v>-1.9638455772975887E-2</v>
      </c>
    </row>
    <row r="194" spans="1:14">
      <c r="A194" s="15">
        <v>38975</v>
      </c>
      <c r="B194" s="28">
        <f>LN(Index!B195/Index!B194)</f>
        <v>7.8679311487600215E-3</v>
      </c>
      <c r="C194" s="28">
        <f>LN(Index!C195/Index!C194)</f>
        <v>-7.1270196238183269E-4</v>
      </c>
      <c r="D194" s="28">
        <f>LN(Index!D195/Index!D194)</f>
        <v>1.471557305559521E-2</v>
      </c>
      <c r="E194" s="28">
        <f>LN(Index!E195/Index!E194)</f>
        <v>2.5042918817904866E-2</v>
      </c>
      <c r="F194" s="28">
        <f>LN(Index!F195/Index!F194)</f>
        <v>1.6120634106847335E-2</v>
      </c>
      <c r="G194" s="28">
        <f>LN(Index!G195/Index!G194)</f>
        <v>2.756025694725352E-3</v>
      </c>
      <c r="H194" s="28">
        <f>LN(Index!H195/Index!H194)</f>
        <v>1.5100740609956682E-2</v>
      </c>
      <c r="I194" s="28">
        <f>LN(Index!I195/Index!I194)</f>
        <v>1.5076840985958764E-2</v>
      </c>
      <c r="J194" s="28">
        <f>LN(Index!J195/Index!J194)</f>
        <v>5.1454226710881484E-2</v>
      </c>
      <c r="K194" s="28">
        <f>LN(Index!K195/Index!K194)</f>
        <v>-5.5024646968882991E-2</v>
      </c>
      <c r="L194" s="28">
        <f>LN(Index!L195/Index!L194)</f>
        <v>3.3461356153925294E-2</v>
      </c>
      <c r="M194" s="28">
        <f>LN(Index!M195/Index!M194)</f>
        <v>5.5324133812724502E-3</v>
      </c>
      <c r="N194" s="28">
        <f>LN(Index!N195/Index!N194)</f>
        <v>8.9970268286471249E-3</v>
      </c>
    </row>
    <row r="195" spans="1:14">
      <c r="A195" s="15">
        <v>38982</v>
      </c>
      <c r="B195" s="28">
        <f>LN(Index!B196/Index!B195)</f>
        <v>-4.7240143189444632E-4</v>
      </c>
      <c r="C195" s="28">
        <f>LN(Index!C196/Index!C195)</f>
        <v>1.1381884485908307E-2</v>
      </c>
      <c r="D195" s="28">
        <f>LN(Index!D196/Index!D195)</f>
        <v>-4.5913762935142323E-3</v>
      </c>
      <c r="E195" s="28">
        <f>LN(Index!E196/Index!E195)</f>
        <v>1.2917551124768412E-2</v>
      </c>
      <c r="F195" s="28">
        <f>LN(Index!F196/Index!F195)</f>
        <v>-9.4902535221750017E-3</v>
      </c>
      <c r="G195" s="28">
        <f>LN(Index!G196/Index!G195)</f>
        <v>1.2801831009960173E-2</v>
      </c>
      <c r="H195" s="28">
        <f>LN(Index!H196/Index!H195)</f>
        <v>6.8142818160277646E-3</v>
      </c>
      <c r="I195" s="28">
        <f>LN(Index!I196/Index!I195)</f>
        <v>-3.3975494848738721E-3</v>
      </c>
      <c r="J195" s="28">
        <f>LN(Index!J196/Index!J195)</f>
        <v>1.0296521819176368E-3</v>
      </c>
      <c r="K195" s="28">
        <f>LN(Index!K196/Index!K195)</f>
        <v>1.3873336685086281E-2</v>
      </c>
      <c r="L195" s="28">
        <f>LN(Index!L196/Index!L195)</f>
        <v>-9.9247668892067775E-3</v>
      </c>
      <c r="M195" s="28">
        <f>LN(Index!M196/Index!M195)</f>
        <v>2.2253129253576073E-2</v>
      </c>
      <c r="N195" s="28">
        <f>LN(Index!N196/Index!N195)</f>
        <v>-2.961007862323041E-3</v>
      </c>
    </row>
    <row r="196" spans="1:14">
      <c r="A196" s="15">
        <v>38989</v>
      </c>
      <c r="B196" s="28">
        <f>LN(Index!B197/Index!B196)</f>
        <v>1.3864722451402004E-2</v>
      </c>
      <c r="C196" s="28">
        <f>LN(Index!C197/Index!C196)</f>
        <v>-3.8451022381056229E-3</v>
      </c>
      <c r="D196" s="28">
        <f>LN(Index!D197/Index!D196)</f>
        <v>9.0097578244630726E-3</v>
      </c>
      <c r="E196" s="28">
        <f>LN(Index!E197/Index!E196)</f>
        <v>8.9108334435919478E-3</v>
      </c>
      <c r="F196" s="28">
        <f>LN(Index!F197/Index!F196)</f>
        <v>1.2343111091465365E-2</v>
      </c>
      <c r="G196" s="28">
        <f>LN(Index!G197/Index!G196)</f>
        <v>8.2230096507634846E-3</v>
      </c>
      <c r="H196" s="28">
        <f>LN(Index!H197/Index!H196)</f>
        <v>9.1639035300136226E-3</v>
      </c>
      <c r="I196" s="28">
        <f>LN(Index!I197/Index!I196)</f>
        <v>-5.5180271783473024E-4</v>
      </c>
      <c r="J196" s="28">
        <f>LN(Index!J197/Index!J196)</f>
        <v>6.0102925085835455E-3</v>
      </c>
      <c r="K196" s="28">
        <f>LN(Index!K197/Index!K196)</f>
        <v>6.050801181556064E-2</v>
      </c>
      <c r="L196" s="28">
        <f>LN(Index!L197/Index!L196)</f>
        <v>5.4610404949198459E-3</v>
      </c>
      <c r="M196" s="28">
        <f>LN(Index!M197/Index!M196)</f>
        <v>6.8942928650945817E-3</v>
      </c>
      <c r="N196" s="28">
        <f>LN(Index!N197/Index!N196)</f>
        <v>2.1147705504460903E-2</v>
      </c>
    </row>
    <row r="197" spans="1:14">
      <c r="A197" s="15">
        <v>38996</v>
      </c>
      <c r="B197" s="28">
        <f>LN(Index!B198/Index!B197)</f>
        <v>7.5729911682386247E-3</v>
      </c>
      <c r="C197" s="28">
        <f>LN(Index!C198/Index!C197)</f>
        <v>-3.3864966406730529E-3</v>
      </c>
      <c r="D197" s="28">
        <f>LN(Index!D198/Index!D197)</f>
        <v>2.1158974383376789E-2</v>
      </c>
      <c r="E197" s="28">
        <f>LN(Index!E198/Index!E197)</f>
        <v>1.1665633289604448E-2</v>
      </c>
      <c r="F197" s="28">
        <f>LN(Index!F198/Index!F197)</f>
        <v>-6.397293264425065E-4</v>
      </c>
      <c r="G197" s="28">
        <f>LN(Index!G198/Index!G197)</f>
        <v>1.1402599821173127E-2</v>
      </c>
      <c r="H197" s="28">
        <f>LN(Index!H198/Index!H197)</f>
        <v>1.3124942753028246E-2</v>
      </c>
      <c r="I197" s="28">
        <f>LN(Index!I198/Index!I197)</f>
        <v>1.3383967270360906E-2</v>
      </c>
      <c r="J197" s="28">
        <f>LN(Index!J198/Index!J197)</f>
        <v>3.5811433430117084E-2</v>
      </c>
      <c r="K197" s="28">
        <f>LN(Index!K198/Index!K197)</f>
        <v>-8.0139819056438046E-3</v>
      </c>
      <c r="L197" s="28">
        <f>LN(Index!L198/Index!L197)</f>
        <v>-2.1594639224581584E-3</v>
      </c>
      <c r="M197" s="28">
        <f>LN(Index!M198/Index!M197)</f>
        <v>-1.0685003019410805E-2</v>
      </c>
      <c r="N197" s="28">
        <f>LN(Index!N198/Index!N197)</f>
        <v>-2.7138448259576803E-3</v>
      </c>
    </row>
    <row r="198" spans="1:14">
      <c r="A198" s="15">
        <v>39003</v>
      </c>
      <c r="B198" s="28">
        <f>LN(Index!B199/Index!B198)</f>
        <v>1.0287912503435566E-2</v>
      </c>
      <c r="C198" s="28">
        <f>LN(Index!C199/Index!C198)</f>
        <v>-5.7755609733196418E-3</v>
      </c>
      <c r="D198" s="28">
        <f>LN(Index!D199/Index!D198)</f>
        <v>7.5621267326209697E-3</v>
      </c>
      <c r="E198" s="28">
        <f>LN(Index!E199/Index!E198)</f>
        <v>-2.2985949293227643E-3</v>
      </c>
      <c r="F198" s="28">
        <f>LN(Index!F199/Index!F198)</f>
        <v>1.9337734908525594E-2</v>
      </c>
      <c r="G198" s="28">
        <f>LN(Index!G199/Index!G198)</f>
        <v>2.7965363681848924E-3</v>
      </c>
      <c r="H198" s="28">
        <f>LN(Index!H199/Index!H198)</f>
        <v>1.6792510368118236E-3</v>
      </c>
      <c r="I198" s="28">
        <f>LN(Index!I199/Index!I198)</f>
        <v>9.3464344087723847E-3</v>
      </c>
      <c r="J198" s="28">
        <f>LN(Index!J199/Index!J198)</f>
        <v>5.9898663120072594E-3</v>
      </c>
      <c r="K198" s="28">
        <f>LN(Index!K199/Index!K198)</f>
        <v>-1.7103329849809792E-2</v>
      </c>
      <c r="L198" s="28">
        <f>LN(Index!L199/Index!L198)</f>
        <v>2.9651863606675388E-2</v>
      </c>
      <c r="M198" s="28">
        <f>LN(Index!M199/Index!M198)</f>
        <v>-2.3708649171422071E-3</v>
      </c>
      <c r="N198" s="28">
        <f>LN(Index!N199/Index!N198)</f>
        <v>9.3619997377648381E-3</v>
      </c>
    </row>
    <row r="199" spans="1:14">
      <c r="A199" s="15">
        <v>39010</v>
      </c>
      <c r="B199" s="28">
        <f>LN(Index!B200/Index!B199)</f>
        <v>8.1633106391610557E-3</v>
      </c>
      <c r="C199" s="28">
        <f>LN(Index!C200/Index!C199)</f>
        <v>4.1570224362993419E-3</v>
      </c>
      <c r="D199" s="28">
        <f>LN(Index!D200/Index!D199)</f>
        <v>1.2429206788408623E-2</v>
      </c>
      <c r="E199" s="28">
        <f>LN(Index!E200/Index!E199)</f>
        <v>7.5806237102338005E-3</v>
      </c>
      <c r="F199" s="28">
        <f>LN(Index!F200/Index!F199)</f>
        <v>1.280324268087726E-2</v>
      </c>
      <c r="G199" s="28">
        <f>LN(Index!G200/Index!G199)</f>
        <v>1.4235562110944887E-2</v>
      </c>
      <c r="H199" s="28">
        <f>LN(Index!H200/Index!H199)</f>
        <v>1.2132557604994319E-2</v>
      </c>
      <c r="I199" s="28">
        <f>LN(Index!I200/Index!I199)</f>
        <v>8.8329961908358151E-3</v>
      </c>
      <c r="J199" s="28">
        <f>LN(Index!J200/Index!J199)</f>
        <v>2.4451978004358414E-3</v>
      </c>
      <c r="K199" s="28">
        <f>LN(Index!K200/Index!K199)</f>
        <v>-1.4911364881975192E-3</v>
      </c>
      <c r="L199" s="28">
        <f>LN(Index!L200/Index!L199)</f>
        <v>-1.8729210995344338E-2</v>
      </c>
      <c r="M199" s="28">
        <f>LN(Index!M200/Index!M199)</f>
        <v>1.7879967821582521E-2</v>
      </c>
      <c r="N199" s="28">
        <f>LN(Index!N200/Index!N199)</f>
        <v>2.4805762339504902E-2</v>
      </c>
    </row>
    <row r="200" spans="1:14">
      <c r="A200" s="15">
        <v>39017</v>
      </c>
      <c r="B200" s="28">
        <f>LN(Index!B201/Index!B200)</f>
        <v>1.0795811971518717E-2</v>
      </c>
      <c r="C200" s="28">
        <f>LN(Index!C201/Index!C200)</f>
        <v>7.9098458561570398E-3</v>
      </c>
      <c r="D200" s="28">
        <f>LN(Index!D201/Index!D200)</f>
        <v>1.0401390308958479E-2</v>
      </c>
      <c r="E200" s="28">
        <f>LN(Index!E201/Index!E200)</f>
        <v>9.4430798107183397E-3</v>
      </c>
      <c r="F200" s="28">
        <f>LN(Index!F201/Index!F200)</f>
        <v>9.3437900238564769E-3</v>
      </c>
      <c r="G200" s="28">
        <f>LN(Index!G201/Index!G200)</f>
        <v>1.4785787797476141E-2</v>
      </c>
      <c r="H200" s="28">
        <f>LN(Index!H201/Index!H200)</f>
        <v>7.3979138328797928E-3</v>
      </c>
      <c r="I200" s="28">
        <f>LN(Index!I201/Index!I200)</f>
        <v>1.5479502901200587E-2</v>
      </c>
      <c r="J200" s="28">
        <f>LN(Index!J201/Index!J200)</f>
        <v>2.604921229364586E-3</v>
      </c>
      <c r="K200" s="28">
        <f>LN(Index!K201/Index!K200)</f>
        <v>1.4093538703474824E-2</v>
      </c>
      <c r="L200" s="28">
        <f>LN(Index!L201/Index!L200)</f>
        <v>4.1695363000008112E-3</v>
      </c>
      <c r="M200" s="28">
        <f>LN(Index!M201/Index!M200)</f>
        <v>2.056585673845877E-2</v>
      </c>
      <c r="N200" s="28">
        <f>LN(Index!N201/Index!N200)</f>
        <v>1.035756506489985E-2</v>
      </c>
    </row>
    <row r="201" spans="1:14">
      <c r="A201" s="15">
        <v>39024</v>
      </c>
      <c r="B201" s="28">
        <f>LN(Index!B202/Index!B201)</f>
        <v>-7.7286834217743768E-3</v>
      </c>
      <c r="C201" s="28">
        <f>LN(Index!C202/Index!C201)</f>
        <v>0</v>
      </c>
      <c r="D201" s="28">
        <f>LN(Index!D202/Index!D201)</f>
        <v>-1.0547294061375547E-2</v>
      </c>
      <c r="E201" s="28">
        <f>LN(Index!E202/Index!E201)</f>
        <v>1.5028239981745586E-3</v>
      </c>
      <c r="F201" s="28">
        <f>LN(Index!F202/Index!F201)</f>
        <v>-7.9182596148914168E-4</v>
      </c>
      <c r="G201" s="28">
        <f>LN(Index!G202/Index!G201)</f>
        <v>-1.7723043411037046E-4</v>
      </c>
      <c r="H201" s="28">
        <f>LN(Index!H202/Index!H201)</f>
        <v>-1.8550779646383084E-3</v>
      </c>
      <c r="I201" s="28">
        <f>LN(Index!I202/Index!I201)</f>
        <v>-2.3894975569490576E-3</v>
      </c>
      <c r="J201" s="28">
        <f>LN(Index!J202/Index!J201)</f>
        <v>-1.9541761032570398E-3</v>
      </c>
      <c r="K201" s="28">
        <f>LN(Index!K202/Index!K201)</f>
        <v>-9.3803393040325506E-3</v>
      </c>
      <c r="L201" s="28">
        <f>LN(Index!L202/Index!L201)</f>
        <v>-1.107534160497491E-3</v>
      </c>
      <c r="M201" s="28">
        <f>LN(Index!M202/Index!M201)</f>
        <v>-3.2378243843015591E-3</v>
      </c>
      <c r="N201" s="28">
        <f>LN(Index!N202/Index!N201)</f>
        <v>7.1994316893658553E-3</v>
      </c>
    </row>
    <row r="202" spans="1:14">
      <c r="A202" s="15">
        <v>39031</v>
      </c>
      <c r="B202" s="28">
        <f>LN(Index!B203/Index!B202)</f>
        <v>1.2622366067984196E-2</v>
      </c>
      <c r="C202" s="28">
        <f>LN(Index!C203/Index!C202)</f>
        <v>8.0033221121005495E-3</v>
      </c>
      <c r="D202" s="28">
        <f>LN(Index!D203/Index!D202)</f>
        <v>7.9450083655774727E-3</v>
      </c>
      <c r="E202" s="28">
        <f>LN(Index!E203/Index!E202)</f>
        <v>4.0526603140023876E-2</v>
      </c>
      <c r="F202" s="28">
        <f>LN(Index!F203/Index!F202)</f>
        <v>3.6847762277696372E-3</v>
      </c>
      <c r="G202" s="28">
        <f>LN(Index!G203/Index!G202)</f>
        <v>7.664850240188723E-3</v>
      </c>
      <c r="H202" s="28">
        <f>LN(Index!H203/Index!H202)</f>
        <v>3.2134499643554623E-2</v>
      </c>
      <c r="I202" s="28">
        <f>LN(Index!I203/Index!I202)</f>
        <v>1.6490570763963937E-2</v>
      </c>
      <c r="J202" s="28">
        <f>LN(Index!J203/Index!J202)</f>
        <v>2.8160408557737191E-2</v>
      </c>
      <c r="K202" s="28">
        <f>LN(Index!K203/Index!K202)</f>
        <v>4.2574382242240402E-2</v>
      </c>
      <c r="L202" s="28">
        <f>LN(Index!L203/Index!L202)</f>
        <v>-1.6651567403224574E-2</v>
      </c>
      <c r="M202" s="28">
        <f>LN(Index!M203/Index!M202)</f>
        <v>3.1539541922826195E-2</v>
      </c>
      <c r="N202" s="28">
        <f>LN(Index!N203/Index!N202)</f>
        <v>1.7775028652065844E-2</v>
      </c>
    </row>
    <row r="203" spans="1:14">
      <c r="A203" s="15">
        <v>39038</v>
      </c>
      <c r="B203" s="28">
        <f>LN(Index!B204/Index!B203)</f>
        <v>5.4882051100422638E-3</v>
      </c>
      <c r="C203" s="28">
        <f>LN(Index!C204/Index!C203)</f>
        <v>-3.1112666995442142E-4</v>
      </c>
      <c r="D203" s="28">
        <f>LN(Index!D204/Index!D203)</f>
        <v>1.0273240944621353E-2</v>
      </c>
      <c r="E203" s="28">
        <f>LN(Index!E204/Index!E203)</f>
        <v>1.3926441569192689E-2</v>
      </c>
      <c r="F203" s="28">
        <f>LN(Index!F204/Index!F203)</f>
        <v>1.5496870212461379E-2</v>
      </c>
      <c r="G203" s="28">
        <f>LN(Index!G204/Index!G203)</f>
        <v>1.8605769775508686E-2</v>
      </c>
      <c r="H203" s="28">
        <f>LN(Index!H204/Index!H203)</f>
        <v>2.318721744337875E-2</v>
      </c>
      <c r="I203" s="28">
        <f>LN(Index!I204/Index!I203)</f>
        <v>1.5637847074790504E-2</v>
      </c>
      <c r="J203" s="28">
        <f>LN(Index!J204/Index!J203)</f>
        <v>8.348548409246509E-3</v>
      </c>
      <c r="K203" s="28">
        <f>LN(Index!K204/Index!K203)</f>
        <v>-4.0419942133781608E-3</v>
      </c>
      <c r="L203" s="28">
        <f>LN(Index!L204/Index!L203)</f>
        <v>4.3135380787761197E-2</v>
      </c>
      <c r="M203" s="28">
        <f>LN(Index!M204/Index!M203)</f>
        <v>6.6315170012210866E-3</v>
      </c>
      <c r="N203" s="28">
        <f>LN(Index!N204/Index!N203)</f>
        <v>1.3755416039565355E-3</v>
      </c>
    </row>
    <row r="204" spans="1:14">
      <c r="A204" s="15">
        <v>39045</v>
      </c>
      <c r="B204" s="28">
        <f>LN(Index!B205/Index!B204)</f>
        <v>5.6585564138343196E-3</v>
      </c>
      <c r="C204" s="28">
        <f>LN(Index!C205/Index!C204)</f>
        <v>7.6334769581616621E-3</v>
      </c>
      <c r="D204" s="28">
        <f>LN(Index!D205/Index!D204)</f>
        <v>4.0023127416511046E-2</v>
      </c>
      <c r="E204" s="28">
        <f>LN(Index!E205/Index!E204)</f>
        <v>2.0376931168227284E-2</v>
      </c>
      <c r="F204" s="28">
        <f>LN(Index!F205/Index!F204)</f>
        <v>8.8524021929125719E-3</v>
      </c>
      <c r="G204" s="28">
        <f>LN(Index!G205/Index!G204)</f>
        <v>1.8887308937719269E-2</v>
      </c>
      <c r="H204" s="28">
        <f>LN(Index!H205/Index!H204)</f>
        <v>1.2400615280215537E-2</v>
      </c>
      <c r="I204" s="28">
        <f>LN(Index!I205/Index!I204)</f>
        <v>2.302371371375498E-2</v>
      </c>
      <c r="J204" s="28">
        <f>LN(Index!J205/Index!J204)</f>
        <v>1.703533956915302E-2</v>
      </c>
      <c r="K204" s="28">
        <f>LN(Index!K205/Index!K204)</f>
        <v>7.2436674084937383E-2</v>
      </c>
      <c r="L204" s="28">
        <f>LN(Index!L205/Index!L204)</f>
        <v>1.8228778562588914E-2</v>
      </c>
      <c r="M204" s="28">
        <f>LN(Index!M205/Index!M204)</f>
        <v>1.9140642404242396E-2</v>
      </c>
      <c r="N204" s="28">
        <f>LN(Index!N205/Index!N204)</f>
        <v>9.3816553337620415E-3</v>
      </c>
    </row>
    <row r="205" spans="1:14">
      <c r="A205" s="15">
        <v>39052</v>
      </c>
      <c r="B205" s="28">
        <f>LN(Index!B206/Index!B205)</f>
        <v>3.4954584335267604E-3</v>
      </c>
      <c r="C205" s="28">
        <f>LN(Index!C206/Index!C205)</f>
        <v>9.3745884028675775E-3</v>
      </c>
      <c r="D205" s="28">
        <f>LN(Index!D206/Index!D205)</f>
        <v>5.5368846695273864E-3</v>
      </c>
      <c r="E205" s="28">
        <f>LN(Index!E206/Index!E205)</f>
        <v>6.5900194719601801E-3</v>
      </c>
      <c r="F205" s="28">
        <f>LN(Index!F206/Index!F205)</f>
        <v>2.1454843335929935E-3</v>
      </c>
      <c r="G205" s="28">
        <f>LN(Index!G206/Index!G205)</f>
        <v>2.3348533563109654E-2</v>
      </c>
      <c r="H205" s="28">
        <f>LN(Index!H206/Index!H205)</f>
        <v>4.2915945600604469E-3</v>
      </c>
      <c r="I205" s="28">
        <f>LN(Index!I206/Index!I205)</f>
        <v>1.5652236269171407E-2</v>
      </c>
      <c r="J205" s="28">
        <f>LN(Index!J206/Index!J205)</f>
        <v>1.2718893332858814E-2</v>
      </c>
      <c r="K205" s="28">
        <f>LN(Index!K206/Index!K205)</f>
        <v>6.5374040436289499E-2</v>
      </c>
      <c r="L205" s="28">
        <f>LN(Index!L206/Index!L205)</f>
        <v>-1.000519281711785E-2</v>
      </c>
      <c r="M205" s="28">
        <f>LN(Index!M206/Index!M205)</f>
        <v>1.4070837967441144E-2</v>
      </c>
      <c r="N205" s="28">
        <f>LN(Index!N206/Index!N205)</f>
        <v>6.3260666370737904E-3</v>
      </c>
    </row>
    <row r="206" spans="1:14">
      <c r="A206" s="15">
        <v>39059</v>
      </c>
      <c r="B206" s="28">
        <f>LN(Index!B207/Index!B206)</f>
        <v>1.1291899565948603E-2</v>
      </c>
      <c r="C206" s="28">
        <f>LN(Index!C207/Index!C206)</f>
        <v>-4.9068564296476077E-3</v>
      </c>
      <c r="D206" s="28">
        <f>LN(Index!D207/Index!D206)</f>
        <v>2.916251041530908E-3</v>
      </c>
      <c r="E206" s="28">
        <f>LN(Index!E207/Index!E206)</f>
        <v>1.5186458201757503E-2</v>
      </c>
      <c r="F206" s="28">
        <f>LN(Index!F207/Index!F206)</f>
        <v>8.6182915017122966E-4</v>
      </c>
      <c r="G206" s="28">
        <f>LN(Index!G207/Index!G206)</f>
        <v>-2.6389107822568096E-3</v>
      </c>
      <c r="H206" s="28">
        <f>LN(Index!H207/Index!H206)</f>
        <v>8.5170201252733196E-3</v>
      </c>
      <c r="I206" s="28">
        <f>LN(Index!I207/Index!I206)</f>
        <v>-6.3576394161851818E-3</v>
      </c>
      <c r="J206" s="28">
        <f>LN(Index!J207/Index!J206)</f>
        <v>5.5730278082017533E-3</v>
      </c>
      <c r="K206" s="28">
        <f>LN(Index!K207/Index!K206)</f>
        <v>1.9922970078508698E-2</v>
      </c>
      <c r="L206" s="28">
        <f>LN(Index!L207/Index!L206)</f>
        <v>-1.1024035321690287E-2</v>
      </c>
      <c r="M206" s="28">
        <f>LN(Index!M207/Index!M206)</f>
        <v>2.8899516952732443E-3</v>
      </c>
      <c r="N206" s="28">
        <f>LN(Index!N207/Index!N206)</f>
        <v>1.9909982060549992E-2</v>
      </c>
    </row>
    <row r="207" spans="1:14">
      <c r="A207" s="15">
        <v>39066</v>
      </c>
      <c r="B207" s="28">
        <f>LN(Index!B208/Index!B207)</f>
        <v>9.6707443926711701E-3</v>
      </c>
      <c r="C207" s="28">
        <f>LN(Index!C208/Index!C207)</f>
        <v>-4.5063338145326622E-3</v>
      </c>
      <c r="D207" s="28">
        <f>LN(Index!D208/Index!D207)</f>
        <v>5.1735990142087081E-3</v>
      </c>
      <c r="E207" s="28">
        <f>LN(Index!E208/Index!E207)</f>
        <v>5.6447254580578761E-3</v>
      </c>
      <c r="F207" s="28">
        <f>LN(Index!F208/Index!F207)</f>
        <v>-1.0983464342816469E-3</v>
      </c>
      <c r="G207" s="28">
        <f>LN(Index!G208/Index!G207)</f>
        <v>5.8928889689953811E-3</v>
      </c>
      <c r="H207" s="28">
        <f>LN(Index!H208/Index!H207)</f>
        <v>1.9495606547581257E-2</v>
      </c>
      <c r="I207" s="28">
        <f>LN(Index!I208/Index!I207)</f>
        <v>1.7314600024663455E-2</v>
      </c>
      <c r="J207" s="28">
        <f>LN(Index!J208/Index!J207)</f>
        <v>1.0859628530417378E-2</v>
      </c>
      <c r="K207" s="28">
        <f>LN(Index!K208/Index!K207)</f>
        <v>-2.5655580117089103E-2</v>
      </c>
      <c r="L207" s="28">
        <f>LN(Index!L208/Index!L207)</f>
        <v>-1.0738944061236112E-2</v>
      </c>
      <c r="M207" s="28">
        <f>LN(Index!M208/Index!M207)</f>
        <v>-8.6059241810815552E-3</v>
      </c>
      <c r="N207" s="28">
        <f>LN(Index!N208/Index!N207)</f>
        <v>-5.4539987290916515E-3</v>
      </c>
    </row>
    <row r="208" spans="1:14">
      <c r="A208" s="15">
        <v>39073</v>
      </c>
      <c r="B208" s="28">
        <f>LN(Index!B209/Index!B208)</f>
        <v>-7.2917976194359297E-3</v>
      </c>
      <c r="C208" s="28">
        <f>LN(Index!C209/Index!C208)</f>
        <v>-1.7772974309822364E-3</v>
      </c>
      <c r="D208" s="28">
        <f>LN(Index!D209/Index!D208)</f>
        <v>-7.1776077009238709E-3</v>
      </c>
      <c r="E208" s="28">
        <f>LN(Index!E209/Index!E208)</f>
        <v>-1.8683704140923102E-2</v>
      </c>
      <c r="F208" s="28">
        <f>LN(Index!F209/Index!F208)</f>
        <v>-1.4404378700987172E-2</v>
      </c>
      <c r="G208" s="28">
        <f>LN(Index!G209/Index!G208)</f>
        <v>6.3040345731697261E-3</v>
      </c>
      <c r="H208" s="28">
        <f>LN(Index!H209/Index!H208)</f>
        <v>-1.3835139612441306E-2</v>
      </c>
      <c r="I208" s="28">
        <f>LN(Index!I209/Index!I208)</f>
        <v>8.4994867517995867E-3</v>
      </c>
      <c r="J208" s="28">
        <f>LN(Index!J209/Index!J208)</f>
        <v>-1.06341795101656E-2</v>
      </c>
      <c r="K208" s="28">
        <f>LN(Index!K209/Index!K208)</f>
        <v>8.4624740538478561E-3</v>
      </c>
      <c r="L208" s="28">
        <f>LN(Index!L209/Index!L208)</f>
        <v>-2.5263877929234135E-2</v>
      </c>
      <c r="M208" s="28">
        <f>LN(Index!M209/Index!M208)</f>
        <v>-7.0827815620851473E-3</v>
      </c>
      <c r="N208" s="28">
        <f>LN(Index!N209/Index!N208)</f>
        <v>-2.1776261007262585E-2</v>
      </c>
    </row>
    <row r="209" spans="1:14" ht="15.75" thickBot="1">
      <c r="A209" s="6">
        <v>39080</v>
      </c>
      <c r="B209" s="28">
        <f>LN(Index!B210/Index!B209)</f>
        <v>7.163737228676712E-3</v>
      </c>
      <c r="C209" s="28">
        <f>LN(Index!C210/Index!C209)</f>
        <v>-2.7106584131581851E-3</v>
      </c>
      <c r="D209" s="28">
        <f>LN(Index!D210/Index!D209)</f>
        <v>2.4499108758058243E-2</v>
      </c>
      <c r="E209" s="28">
        <f>LN(Index!E210/Index!E209)</f>
        <v>3.9855561725069457E-3</v>
      </c>
      <c r="F209" s="28">
        <f>LN(Index!F210/Index!F209)</f>
        <v>3.9269058134267319E-3</v>
      </c>
      <c r="G209" s="28">
        <f>LN(Index!G210/Index!G209)</f>
        <v>1.0146002531365623E-2</v>
      </c>
      <c r="H209" s="28">
        <f>LN(Index!H210/Index!H209)</f>
        <v>9.0473079193186109E-4</v>
      </c>
      <c r="I209" s="28">
        <f>LN(Index!I210/Index!I209)</f>
        <v>1.3268000311349807E-2</v>
      </c>
      <c r="J209" s="28">
        <f>LN(Index!J210/Index!J209)</f>
        <v>1.735090547368219E-3</v>
      </c>
      <c r="K209" s="28">
        <f>LN(Index!K210/Index!K209)</f>
        <v>-5.4700381594998976E-3</v>
      </c>
      <c r="L209" s="28">
        <f>LN(Index!L210/Index!L209)</f>
        <v>1.8634284321597909E-2</v>
      </c>
      <c r="M209" s="28">
        <f>LN(Index!M210/Index!M209)</f>
        <v>1.1480021391397555E-2</v>
      </c>
      <c r="N209" s="28">
        <f>LN(Index!N210/Index!N209)</f>
        <v>-1.8912012126925894E-3</v>
      </c>
    </row>
    <row r="210" spans="1:14">
      <c r="A210" s="15">
        <v>39087</v>
      </c>
      <c r="B210" s="28">
        <f>LN(Index!B211/Index!B210)</f>
        <v>-9.3317487072324071E-3</v>
      </c>
      <c r="C210" s="28">
        <f>LN(Index!C211/Index!C210)</f>
        <v>1.627276608605281E-3</v>
      </c>
      <c r="D210" s="28">
        <f>LN(Index!D211/Index!D210)</f>
        <v>-1.0869429133415563E-2</v>
      </c>
      <c r="E210" s="28">
        <f>LN(Index!E211/Index!E210)</f>
        <v>-2.9057802280566061E-2</v>
      </c>
      <c r="F210" s="28">
        <f>LN(Index!F211/Index!F210)</f>
        <v>-5.9437468639109998E-3</v>
      </c>
      <c r="G210" s="28">
        <f>LN(Index!G211/Index!G210)</f>
        <v>-1.0494952426963283E-2</v>
      </c>
      <c r="H210" s="28">
        <f>LN(Index!H211/Index!H210)</f>
        <v>-3.1194771296692486E-2</v>
      </c>
      <c r="I210" s="28">
        <f>LN(Index!I211/Index!I210)</f>
        <v>-1.1690124441829196E-2</v>
      </c>
      <c r="J210" s="28">
        <f>LN(Index!J211/Index!J210)</f>
        <v>-2.881534521309239E-2</v>
      </c>
      <c r="K210" s="28">
        <f>LN(Index!K211/Index!K210)</f>
        <v>-1.0829853990447702E-2</v>
      </c>
      <c r="L210" s="28">
        <f>LN(Index!L211/Index!L210)</f>
        <v>-1.5534229528180051E-3</v>
      </c>
      <c r="M210" s="28">
        <f>LN(Index!M211/Index!M210)</f>
        <v>-9.0563209826441445E-3</v>
      </c>
      <c r="N210" s="28">
        <f>LN(Index!N211/Index!N210)</f>
        <v>-9.2971197217263813E-3</v>
      </c>
    </row>
    <row r="211" spans="1:14">
      <c r="A211" s="15">
        <v>39094</v>
      </c>
      <c r="B211" s="28">
        <f>LN(Index!B212/Index!B211)</f>
        <v>1.2010856645987769E-2</v>
      </c>
      <c r="C211" s="28">
        <f>LN(Index!C212/Index!C211)</f>
        <v>-5.9796714636342835E-3</v>
      </c>
      <c r="D211" s="28">
        <f>LN(Index!D212/Index!D211)</f>
        <v>1.5175475340389344E-2</v>
      </c>
      <c r="E211" s="28">
        <f>LN(Index!E212/Index!E211)</f>
        <v>1.5667756915607185E-2</v>
      </c>
      <c r="F211" s="28">
        <f>LN(Index!F212/Index!F211)</f>
        <v>2.7048281346821938E-4</v>
      </c>
      <c r="G211" s="28">
        <f>LN(Index!G212/Index!G211)</f>
        <v>1.8951793846733567E-2</v>
      </c>
      <c r="H211" s="28">
        <f>LN(Index!H212/Index!H211)</f>
        <v>1.3537520690021433E-2</v>
      </c>
      <c r="I211" s="28">
        <f>LN(Index!I212/Index!I211)</f>
        <v>2.1760572245199585E-2</v>
      </c>
      <c r="J211" s="28">
        <f>LN(Index!J212/Index!J211)</f>
        <v>7.3075999112754315E-3</v>
      </c>
      <c r="K211" s="28">
        <f>LN(Index!K212/Index!K211)</f>
        <v>-1.5217694396305704E-2</v>
      </c>
      <c r="L211" s="28">
        <f>LN(Index!L212/Index!L211)</f>
        <v>5.493055012460079E-2</v>
      </c>
      <c r="M211" s="28">
        <f>LN(Index!M212/Index!M211)</f>
        <v>1.6876742433208927E-2</v>
      </c>
      <c r="N211" s="28">
        <f>LN(Index!N212/Index!N211)</f>
        <v>-1.8185346397820355E-2</v>
      </c>
    </row>
    <row r="212" spans="1:14">
      <c r="A212" s="15">
        <v>39101</v>
      </c>
      <c r="B212" s="28">
        <f>LN(Index!B213/Index!B212)</f>
        <v>4.0253381961621783E-3</v>
      </c>
      <c r="C212" s="28">
        <f>LN(Index!C213/Index!C212)</f>
        <v>7.7860400242834497E-4</v>
      </c>
      <c r="D212" s="28">
        <f>LN(Index!D213/Index!D212)</f>
        <v>2.5885752985282916E-2</v>
      </c>
      <c r="E212" s="28">
        <f>LN(Index!E213/Index!E212)</f>
        <v>4.0589520009112869E-3</v>
      </c>
      <c r="F212" s="28">
        <f>LN(Index!F213/Index!F212)</f>
        <v>4.5272234946946615E-3</v>
      </c>
      <c r="G212" s="28">
        <f>LN(Index!G213/Index!G212)</f>
        <v>2.1074812636798543E-2</v>
      </c>
      <c r="H212" s="28">
        <f>LN(Index!H213/Index!H212)</f>
        <v>4.295634819647353E-3</v>
      </c>
      <c r="I212" s="28">
        <f>LN(Index!I213/Index!I212)</f>
        <v>2.4372271127364325E-2</v>
      </c>
      <c r="J212" s="28">
        <f>LN(Index!J213/Index!J212)</f>
        <v>-1.7031640530602347E-5</v>
      </c>
      <c r="K212" s="28">
        <f>LN(Index!K213/Index!K212)</f>
        <v>3.5910388300474008E-2</v>
      </c>
      <c r="L212" s="28">
        <f>LN(Index!L213/Index!L212)</f>
        <v>2.0547225396464659E-2</v>
      </c>
      <c r="M212" s="28">
        <f>LN(Index!M213/Index!M212)</f>
        <v>5.7525122381460883E-3</v>
      </c>
      <c r="N212" s="28">
        <f>LN(Index!N213/Index!N212)</f>
        <v>3.5764798066268772E-4</v>
      </c>
    </row>
    <row r="213" spans="1:14">
      <c r="A213" s="15">
        <v>39108</v>
      </c>
      <c r="B213" s="28">
        <f>LN(Index!B214/Index!B213)</f>
        <v>-4.2001363383686232E-3</v>
      </c>
      <c r="C213" s="28">
        <f>LN(Index!C214/Index!C213)</f>
        <v>-4.0163045546065031E-3</v>
      </c>
      <c r="D213" s="28">
        <f>LN(Index!D214/Index!D213)</f>
        <v>9.7934720298474935E-3</v>
      </c>
      <c r="E213" s="28">
        <f>LN(Index!E214/Index!E213)</f>
        <v>2.8291147296543705E-3</v>
      </c>
      <c r="F213" s="28">
        <f>LN(Index!F214/Index!F213)</f>
        <v>-6.433546427485683E-4</v>
      </c>
      <c r="G213" s="28">
        <f>LN(Index!G214/Index!G213)</f>
        <v>-1.1474436684287404E-2</v>
      </c>
      <c r="H213" s="28">
        <f>LN(Index!H214/Index!H213)</f>
        <v>1.1827023937359652E-2</v>
      </c>
      <c r="I213" s="28">
        <f>LN(Index!I214/Index!I213)</f>
        <v>-1.5685907283597311E-2</v>
      </c>
      <c r="J213" s="28">
        <f>LN(Index!J214/Index!J213)</f>
        <v>-6.4888275501780489E-3</v>
      </c>
      <c r="K213" s="28">
        <f>LN(Index!K214/Index!K213)</f>
        <v>-1.4330630815900353E-2</v>
      </c>
      <c r="L213" s="28">
        <f>LN(Index!L214/Index!L213)</f>
        <v>-5.1818164791471496E-3</v>
      </c>
      <c r="M213" s="28">
        <f>LN(Index!M214/Index!M213)</f>
        <v>-1.0535442540891074E-2</v>
      </c>
      <c r="N213" s="28">
        <f>LN(Index!N214/Index!N213)</f>
        <v>2.3215992114475623E-3</v>
      </c>
    </row>
    <row r="214" spans="1:14">
      <c r="A214" s="15">
        <v>39115</v>
      </c>
      <c r="B214" s="28">
        <f>LN(Index!B215/Index!B214)</f>
        <v>1.8928177975332004E-2</v>
      </c>
      <c r="C214" s="28">
        <f>LN(Index!C215/Index!C214)</f>
        <v>4.1719526346123267E-3</v>
      </c>
      <c r="D214" s="28">
        <f>LN(Index!D215/Index!D214)</f>
        <v>3.217604874843457E-2</v>
      </c>
      <c r="E214" s="28">
        <f>LN(Index!E215/Index!E214)</f>
        <v>3.0857144367158199E-2</v>
      </c>
      <c r="F214" s="28">
        <f>LN(Index!F215/Index!F214)</f>
        <v>4.6289005164958253E-3</v>
      </c>
      <c r="G214" s="28">
        <f>LN(Index!G215/Index!G214)</f>
        <v>1.0593336626476556E-2</v>
      </c>
      <c r="H214" s="28">
        <f>LN(Index!H215/Index!H214)</f>
        <v>2.7788580328298187E-2</v>
      </c>
      <c r="I214" s="28">
        <f>LN(Index!I215/Index!I214)</f>
        <v>3.4730673866576731E-2</v>
      </c>
      <c r="J214" s="28">
        <f>LN(Index!J215/Index!J214)</f>
        <v>2.5957024905373244E-2</v>
      </c>
      <c r="K214" s="28">
        <f>LN(Index!K215/Index!K214)</f>
        <v>1.2248689782342172E-3</v>
      </c>
      <c r="L214" s="28">
        <f>LN(Index!L215/Index!L214)</f>
        <v>-5.4696209163233797E-3</v>
      </c>
      <c r="M214" s="28">
        <f>LN(Index!M215/Index!M214)</f>
        <v>1.4346094033986324E-2</v>
      </c>
      <c r="N214" s="28">
        <f>LN(Index!N215/Index!N214)</f>
        <v>1.0763429037530079E-2</v>
      </c>
    </row>
    <row r="215" spans="1:14">
      <c r="A215" s="15">
        <v>39122</v>
      </c>
      <c r="B215" s="28">
        <f>LN(Index!B216/Index!B215)</f>
        <v>-1.2939516177500744E-3</v>
      </c>
      <c r="C215" s="28">
        <f>LN(Index!C216/Index!C215)</f>
        <v>2.021223527933943E-3</v>
      </c>
      <c r="D215" s="28">
        <f>LN(Index!D216/Index!D215)</f>
        <v>1.1277231915253982E-2</v>
      </c>
      <c r="E215" s="28">
        <f>LN(Index!E216/Index!E215)</f>
        <v>1.487024765937172E-2</v>
      </c>
      <c r="F215" s="28">
        <f>LN(Index!F216/Index!F215)</f>
        <v>8.0616880386432388E-3</v>
      </c>
      <c r="G215" s="28">
        <f>LN(Index!G216/Index!G215)</f>
        <v>1.3486798158035539E-2</v>
      </c>
      <c r="H215" s="28">
        <f>LN(Index!H216/Index!H215)</f>
        <v>1.7792297911056642E-2</v>
      </c>
      <c r="I215" s="28">
        <f>LN(Index!I216/Index!I215)</f>
        <v>1.4416024294113157E-2</v>
      </c>
      <c r="J215" s="28">
        <f>LN(Index!J216/Index!J215)</f>
        <v>2.0190734142568421E-3</v>
      </c>
      <c r="K215" s="28">
        <f>LN(Index!K216/Index!K215)</f>
        <v>5.3320285776057462E-3</v>
      </c>
      <c r="L215" s="28">
        <f>LN(Index!L216/Index!L215)</f>
        <v>-4.7508852824662003E-4</v>
      </c>
      <c r="M215" s="28">
        <f>LN(Index!M216/Index!M215)</f>
        <v>1.1072589982727397E-2</v>
      </c>
      <c r="N215" s="28">
        <f>LN(Index!N216/Index!N215)</f>
        <v>1.4487890609357108E-2</v>
      </c>
    </row>
    <row r="216" spans="1:14">
      <c r="A216" s="15">
        <v>39129</v>
      </c>
      <c r="B216" s="28">
        <f>LN(Index!B217/Index!B216)</f>
        <v>1.5066667570508915E-2</v>
      </c>
      <c r="C216" s="28">
        <f>LN(Index!C217/Index!C216)</f>
        <v>7.389243827066223E-3</v>
      </c>
      <c r="D216" s="28">
        <f>LN(Index!D217/Index!D216)</f>
        <v>6.8927817405156789E-3</v>
      </c>
      <c r="E216" s="28">
        <f>LN(Index!E217/Index!E216)</f>
        <v>3.2507554743407266E-3</v>
      </c>
      <c r="F216" s="28">
        <f>LN(Index!F217/Index!F216)</f>
        <v>3.7808901359170006E-3</v>
      </c>
      <c r="G216" s="28">
        <f>LN(Index!G217/Index!G216)</f>
        <v>1.0737346234351627E-2</v>
      </c>
      <c r="H216" s="28">
        <f>LN(Index!H217/Index!H216)</f>
        <v>6.9848914271432143E-4</v>
      </c>
      <c r="I216" s="28">
        <f>LN(Index!I217/Index!I216)</f>
        <v>2.5975394448853044E-2</v>
      </c>
      <c r="J216" s="28">
        <f>LN(Index!J217/Index!J216)</f>
        <v>-3.1848157668237695E-3</v>
      </c>
      <c r="K216" s="28">
        <f>LN(Index!K217/Index!K216)</f>
        <v>2.0526878683852775E-2</v>
      </c>
      <c r="L216" s="28">
        <f>LN(Index!L217/Index!L216)</f>
        <v>5.9689091951201931E-3</v>
      </c>
      <c r="M216" s="28">
        <f>LN(Index!M217/Index!M216)</f>
        <v>2.0313830434632897E-3</v>
      </c>
      <c r="N216" s="28">
        <f>LN(Index!N217/Index!N216)</f>
        <v>8.010751781143393E-3</v>
      </c>
    </row>
    <row r="217" spans="1:14">
      <c r="A217" s="15">
        <v>39136</v>
      </c>
      <c r="B217" s="28">
        <f>LN(Index!B218/Index!B217)</f>
        <v>1.4240801972323371E-3</v>
      </c>
      <c r="C217" s="28">
        <f>LN(Index!C218/Index!C217)</f>
        <v>6.5504289019806456E-4</v>
      </c>
      <c r="D217" s="28">
        <f>LN(Index!D218/Index!D217)</f>
        <v>9.8283870691013991E-3</v>
      </c>
      <c r="E217" s="28">
        <f>LN(Index!E218/Index!E217)</f>
        <v>-2.3073645393525471E-3</v>
      </c>
      <c r="F217" s="28">
        <f>LN(Index!F218/Index!F217)</f>
        <v>1.9627470670869972E-4</v>
      </c>
      <c r="G217" s="28">
        <f>LN(Index!G218/Index!G217)</f>
        <v>1.9793108617455913E-2</v>
      </c>
      <c r="H217" s="28">
        <f>LN(Index!H218/Index!H217)</f>
        <v>3.3352668028339984E-3</v>
      </c>
      <c r="I217" s="28">
        <f>LN(Index!I218/Index!I217)</f>
        <v>1.723804336995241E-2</v>
      </c>
      <c r="J217" s="28">
        <f>LN(Index!J218/Index!J217)</f>
        <v>-7.869743519036819E-3</v>
      </c>
      <c r="K217" s="28">
        <f>LN(Index!K218/Index!K217)</f>
        <v>-7.2779633440319567E-3</v>
      </c>
      <c r="L217" s="28">
        <f>LN(Index!L218/Index!L217)</f>
        <v>-1.6730973877687758E-3</v>
      </c>
      <c r="M217" s="28">
        <f>LN(Index!M218/Index!M217)</f>
        <v>1.5977178429666675E-2</v>
      </c>
      <c r="N217" s="28">
        <f>LN(Index!N218/Index!N217)</f>
        <v>-6.8887453264703863E-3</v>
      </c>
    </row>
    <row r="218" spans="1:14">
      <c r="A218" s="15">
        <v>39143</v>
      </c>
      <c r="B218" s="28">
        <f>LN(Index!B219/Index!B218)</f>
        <v>-4.5797758436948964E-2</v>
      </c>
      <c r="C218" s="28">
        <f>LN(Index!C219/Index!C218)</f>
        <v>9.5456054401000072E-3</v>
      </c>
      <c r="D218" s="28">
        <f>LN(Index!D219/Index!D218)</f>
        <v>-6.5402883428957392E-2</v>
      </c>
      <c r="E218" s="28">
        <f>LN(Index!E219/Index!E218)</f>
        <v>-3.5202228971641734E-2</v>
      </c>
      <c r="F218" s="28">
        <f>LN(Index!F219/Index!F218)</f>
        <v>-3.8842796583578088E-2</v>
      </c>
      <c r="G218" s="28">
        <f>LN(Index!G219/Index!G218)</f>
        <v>-2.8892172090938882E-2</v>
      </c>
      <c r="H218" s="28">
        <f>LN(Index!H219/Index!H218)</f>
        <v>-3.2381097795845422E-2</v>
      </c>
      <c r="I218" s="28">
        <f>LN(Index!I219/Index!I218)</f>
        <v>-5.5659447845622413E-2</v>
      </c>
      <c r="J218" s="28">
        <f>LN(Index!J219/Index!J218)</f>
        <v>-5.7197081989890541E-2</v>
      </c>
      <c r="K218" s="28">
        <f>LN(Index!K219/Index!K218)</f>
        <v>-6.2105342312652453E-2</v>
      </c>
      <c r="L218" s="28">
        <f>LN(Index!L219/Index!L218)</f>
        <v>-6.7444167048440862E-2</v>
      </c>
      <c r="M218" s="28">
        <f>LN(Index!M219/Index!M218)</f>
        <v>-1.8252892456591813E-2</v>
      </c>
      <c r="N218" s="28">
        <f>LN(Index!N219/Index!N218)</f>
        <v>-2.528203578569644E-2</v>
      </c>
    </row>
    <row r="219" spans="1:14">
      <c r="A219" s="15">
        <v>39150</v>
      </c>
      <c r="B219" s="28">
        <f>LN(Index!B220/Index!B219)</f>
        <v>1.0280031111753131E-2</v>
      </c>
      <c r="C219" s="28">
        <f>LN(Index!C220/Index!C219)</f>
        <v>-3.0952087226401252E-3</v>
      </c>
      <c r="D219" s="28">
        <f>LN(Index!D220/Index!D219)</f>
        <v>1.3274625644398148E-2</v>
      </c>
      <c r="E219" s="28">
        <f>LN(Index!E220/Index!E219)</f>
        <v>1.3608673524666676E-2</v>
      </c>
      <c r="F219" s="28">
        <f>LN(Index!F220/Index!F219)</f>
        <v>4.5598275435032093E-3</v>
      </c>
      <c r="G219" s="28">
        <f>LN(Index!G220/Index!G219)</f>
        <v>6.2850214531813059E-3</v>
      </c>
      <c r="H219" s="28">
        <f>LN(Index!H220/Index!H219)</f>
        <v>1.2031220364322684E-2</v>
      </c>
      <c r="I219" s="28">
        <f>LN(Index!I220/Index!I219)</f>
        <v>1.7000881103773017E-2</v>
      </c>
      <c r="J219" s="28">
        <f>LN(Index!J220/Index!J219)</f>
        <v>1.3521115539239419E-2</v>
      </c>
      <c r="K219" s="28">
        <f>LN(Index!K220/Index!K219)</f>
        <v>1.8133082165661271E-2</v>
      </c>
      <c r="L219" s="28">
        <f>LN(Index!L220/Index!L219)</f>
        <v>1.1752194345192124E-2</v>
      </c>
      <c r="M219" s="28">
        <f>LN(Index!M220/Index!M219)</f>
        <v>3.1609092846029709E-3</v>
      </c>
      <c r="N219" s="28">
        <f>LN(Index!N220/Index!N219)</f>
        <v>5.6051211906765373E-3</v>
      </c>
    </row>
    <row r="220" spans="1:14">
      <c r="A220" s="15">
        <v>39157</v>
      </c>
      <c r="B220" s="28">
        <f>LN(Index!B221/Index!B220)</f>
        <v>-1.0531756623421873E-2</v>
      </c>
      <c r="C220" s="28">
        <f>LN(Index!C221/Index!C220)</f>
        <v>4.4677878614198018E-3</v>
      </c>
      <c r="D220" s="28">
        <f>LN(Index!D221/Index!D220)</f>
        <v>-1.9524511292881214E-2</v>
      </c>
      <c r="E220" s="28">
        <f>LN(Index!E221/Index!E220)</f>
        <v>4.7598640678598939E-3</v>
      </c>
      <c r="F220" s="28">
        <f>LN(Index!F221/Index!F220)</f>
        <v>1.2584298690759717E-3</v>
      </c>
      <c r="G220" s="28">
        <f>LN(Index!G221/Index!G220)</f>
        <v>2.5041906220192277E-2</v>
      </c>
      <c r="H220" s="28">
        <f>LN(Index!H221/Index!H220)</f>
        <v>1.8573449853183819E-4</v>
      </c>
      <c r="I220" s="28">
        <f>LN(Index!I221/Index!I220)</f>
        <v>7.6106033304604416E-3</v>
      </c>
      <c r="J220" s="28">
        <f>LN(Index!J221/Index!J220)</f>
        <v>-2.2651264097284765E-3</v>
      </c>
      <c r="K220" s="28">
        <f>LN(Index!K221/Index!K220)</f>
        <v>-1.0673876028093899E-2</v>
      </c>
      <c r="L220" s="28">
        <f>LN(Index!L221/Index!L220)</f>
        <v>2.5738616891934989E-3</v>
      </c>
      <c r="M220" s="28">
        <f>LN(Index!M221/Index!M220)</f>
        <v>2.4479580011397196E-2</v>
      </c>
      <c r="N220" s="28">
        <f>LN(Index!N221/Index!N220)</f>
        <v>1.8399762721941007E-3</v>
      </c>
    </row>
    <row r="221" spans="1:14">
      <c r="A221" s="15">
        <v>39164</v>
      </c>
      <c r="B221" s="28">
        <f>LN(Index!B222/Index!B221)</f>
        <v>3.8168903791200776E-2</v>
      </c>
      <c r="C221" s="28">
        <f>LN(Index!C222/Index!C221)</f>
        <v>-1.9450436139118307E-3</v>
      </c>
      <c r="D221" s="28">
        <f>LN(Index!D222/Index!D221)</f>
        <v>3.8009325966984177E-2</v>
      </c>
      <c r="E221" s="28">
        <f>LN(Index!E222/Index!E221)</f>
        <v>3.6033495041922048E-2</v>
      </c>
      <c r="F221" s="28">
        <f>LN(Index!F222/Index!F221)</f>
        <v>4.109235022218348E-2</v>
      </c>
      <c r="G221" s="28">
        <f>LN(Index!G222/Index!G221)</f>
        <v>1.9608246534539877E-2</v>
      </c>
      <c r="H221" s="28">
        <f>LN(Index!H222/Index!H221)</f>
        <v>3.4968128570275307E-2</v>
      </c>
      <c r="I221" s="28">
        <f>LN(Index!I222/Index!I221)</f>
        <v>4.428600469649311E-2</v>
      </c>
      <c r="J221" s="28">
        <f>LN(Index!J222/Index!J221)</f>
        <v>4.6598222742996319E-2</v>
      </c>
      <c r="K221" s="28">
        <f>LN(Index!K222/Index!K221)</f>
        <v>1.8802146078569396E-2</v>
      </c>
      <c r="L221" s="28">
        <f>LN(Index!L222/Index!L221)</f>
        <v>4.6928465392539122E-2</v>
      </c>
      <c r="M221" s="28">
        <f>LN(Index!M222/Index!M221)</f>
        <v>2.2562649248078638E-2</v>
      </c>
      <c r="N221" s="28">
        <f>LN(Index!N222/Index!N221)</f>
        <v>3.6054259813502409E-2</v>
      </c>
    </row>
    <row r="222" spans="1:14">
      <c r="A222" s="15">
        <v>39171</v>
      </c>
      <c r="B222" s="28">
        <f>LN(Index!B223/Index!B222)</f>
        <v>-8.3327512792915979E-3</v>
      </c>
      <c r="C222" s="28">
        <f>LN(Index!C223/Index!C222)</f>
        <v>-1.2988007020972249E-3</v>
      </c>
      <c r="D222" s="28">
        <f>LN(Index!D223/Index!D222)</f>
        <v>-8.1500043619245274E-3</v>
      </c>
      <c r="E222" s="28">
        <f>LN(Index!E223/Index!E222)</f>
        <v>1.1935104986915917E-2</v>
      </c>
      <c r="F222" s="28">
        <f>LN(Index!F223/Index!F222)</f>
        <v>-4.4045521429136487E-3</v>
      </c>
      <c r="G222" s="28">
        <f>LN(Index!G223/Index!G222)</f>
        <v>5.1080905936140425E-3</v>
      </c>
      <c r="H222" s="28">
        <f>LN(Index!H223/Index!H222)</f>
        <v>9.9822388670145774E-3</v>
      </c>
      <c r="I222" s="28">
        <f>LN(Index!I223/Index!I222)</f>
        <v>2.068771275286564E-3</v>
      </c>
      <c r="J222" s="28">
        <f>LN(Index!J223/Index!J222)</f>
        <v>-5.2903362812635685E-3</v>
      </c>
      <c r="K222" s="28">
        <f>LN(Index!K223/Index!K222)</f>
        <v>-3.4555277076222658E-3</v>
      </c>
      <c r="L222" s="28">
        <f>LN(Index!L223/Index!L222)</f>
        <v>-1.7666528542592357E-2</v>
      </c>
      <c r="M222" s="28">
        <f>LN(Index!M223/Index!M222)</f>
        <v>9.2461274502406259E-3</v>
      </c>
      <c r="N222" s="28">
        <f>LN(Index!N223/Index!N222)</f>
        <v>6.3077060860258511E-3</v>
      </c>
    </row>
    <row r="223" spans="1:14">
      <c r="A223" s="15">
        <v>39178</v>
      </c>
      <c r="B223" s="28">
        <f>LN(Index!B224/Index!B223)</f>
        <v>1.821920692060822E-2</v>
      </c>
      <c r="C223" s="28">
        <f>LN(Index!C224/Index!C223)</f>
        <v>3.4396438396863417E-4</v>
      </c>
      <c r="D223" s="28">
        <f>LN(Index!D224/Index!D223)</f>
        <v>9.3148268582175873E-3</v>
      </c>
      <c r="E223" s="28">
        <f>LN(Index!E224/Index!E223)</f>
        <v>2.4279154408928021E-2</v>
      </c>
      <c r="F223" s="28">
        <f>LN(Index!F224/Index!F223)</f>
        <v>7.7280250211250925E-3</v>
      </c>
      <c r="G223" s="28">
        <f>LN(Index!G224/Index!G223)</f>
        <v>1.8069543629279292E-2</v>
      </c>
      <c r="H223" s="28">
        <f>LN(Index!H224/Index!H223)</f>
        <v>2.0325629821614993E-2</v>
      </c>
      <c r="I223" s="28">
        <f>LN(Index!I224/Index!I223)</f>
        <v>2.2544559690882707E-2</v>
      </c>
      <c r="J223" s="28">
        <f>LN(Index!J224/Index!J223)</f>
        <v>2.3417569580851613E-2</v>
      </c>
      <c r="K223" s="28">
        <f>LN(Index!K224/Index!K223)</f>
        <v>1.9234295988772122E-2</v>
      </c>
      <c r="L223" s="28">
        <f>LN(Index!L224/Index!L223)</f>
        <v>6.7041148617433726E-3</v>
      </c>
      <c r="M223" s="28">
        <f>LN(Index!M224/Index!M223)</f>
        <v>1.8851268668863764E-2</v>
      </c>
      <c r="N223" s="28">
        <f>LN(Index!N224/Index!N223)</f>
        <v>1.0211680273565189E-2</v>
      </c>
    </row>
    <row r="224" spans="1:14">
      <c r="A224" s="15">
        <v>39185</v>
      </c>
      <c r="B224" s="28">
        <f>LN(Index!B225/Index!B224)</f>
        <v>7.5201925629559945E-3</v>
      </c>
      <c r="C224" s="28">
        <f>LN(Index!C225/Index!C224)</f>
        <v>-2.6017767967186061E-3</v>
      </c>
      <c r="D224" s="28">
        <f>LN(Index!D225/Index!D224)</f>
        <v>-7.1768646529208656E-3</v>
      </c>
      <c r="E224" s="28">
        <f>LN(Index!E225/Index!E224)</f>
        <v>2.7049284802608963E-3</v>
      </c>
      <c r="F224" s="28">
        <f>LN(Index!F225/Index!F224)</f>
        <v>5.1383397520023662E-3</v>
      </c>
      <c r="G224" s="28">
        <f>LN(Index!G225/Index!G224)</f>
        <v>2.6016546401738762E-2</v>
      </c>
      <c r="H224" s="28">
        <f>LN(Index!H225/Index!H224)</f>
        <v>-6.937215718118523E-3</v>
      </c>
      <c r="I224" s="28">
        <f>LN(Index!I225/Index!I224)</f>
        <v>1.1883827645565167E-2</v>
      </c>
      <c r="J224" s="28">
        <f>LN(Index!J225/Index!J224)</f>
        <v>9.4745305789019386E-3</v>
      </c>
      <c r="K224" s="28">
        <f>LN(Index!K225/Index!K224)</f>
        <v>-1.3319888175317575E-2</v>
      </c>
      <c r="L224" s="28">
        <f>LN(Index!L225/Index!L224)</f>
        <v>1.8065004874945209E-2</v>
      </c>
      <c r="M224" s="28">
        <f>LN(Index!M225/Index!M224)</f>
        <v>1.6069328688240739E-2</v>
      </c>
      <c r="N224" s="28">
        <f>LN(Index!N225/Index!N224)</f>
        <v>4.5356383499975906E-3</v>
      </c>
    </row>
    <row r="225" spans="1:14">
      <c r="A225" s="15">
        <v>39192</v>
      </c>
      <c r="B225" s="28">
        <f>LN(Index!B226/Index!B225)</f>
        <v>1.8796778871233821E-2</v>
      </c>
      <c r="C225" s="28">
        <f>LN(Index!C226/Index!C225)</f>
        <v>5.9968476730747067E-3</v>
      </c>
      <c r="D225" s="28">
        <f>LN(Index!D226/Index!D225)</f>
        <v>1.0580346127007713E-2</v>
      </c>
      <c r="E225" s="28">
        <f>LN(Index!E226/Index!E225)</f>
        <v>1.9097906641923294E-3</v>
      </c>
      <c r="F225" s="28">
        <f>LN(Index!F226/Index!F225)</f>
        <v>1.1038540213066418E-2</v>
      </c>
      <c r="G225" s="28">
        <f>LN(Index!G226/Index!G225)</f>
        <v>-1.5831204476288859E-3</v>
      </c>
      <c r="H225" s="28">
        <f>LN(Index!H226/Index!H225)</f>
        <v>2.6295830206801195E-3</v>
      </c>
      <c r="I225" s="28">
        <f>LN(Index!I226/Index!I225)</f>
        <v>-3.5880585083384862E-3</v>
      </c>
      <c r="J225" s="28">
        <f>LN(Index!J226/Index!J225)</f>
        <v>-3.7181934516550049E-3</v>
      </c>
      <c r="K225" s="28">
        <f>LN(Index!K226/Index!K225)</f>
        <v>1.9085100325335728E-2</v>
      </c>
      <c r="L225" s="28">
        <f>LN(Index!L226/Index!L225)</f>
        <v>8.0591093444707714E-3</v>
      </c>
      <c r="M225" s="28">
        <f>LN(Index!M226/Index!M225)</f>
        <v>1.7609405814453926E-3</v>
      </c>
      <c r="N225" s="28">
        <f>LN(Index!N226/Index!N225)</f>
        <v>1.4143782221379022E-2</v>
      </c>
    </row>
    <row r="226" spans="1:14">
      <c r="A226" s="15">
        <v>39199</v>
      </c>
      <c r="B226" s="28">
        <f>LN(Index!B227/Index!B226)</f>
        <v>5.9989330013279557E-4</v>
      </c>
      <c r="C226" s="28">
        <f>LN(Index!C227/Index!C226)</f>
        <v>-8.7627398692146578E-4</v>
      </c>
      <c r="D226" s="28">
        <f>LN(Index!D227/Index!D226)</f>
        <v>-1.2431368502492632E-4</v>
      </c>
      <c r="E226" s="28">
        <f>LN(Index!E227/Index!E226)</f>
        <v>-1.4288317676162288E-2</v>
      </c>
      <c r="F226" s="28">
        <f>LN(Index!F227/Index!F226)</f>
        <v>8.4445965567223806E-4</v>
      </c>
      <c r="G226" s="28">
        <f>LN(Index!G227/Index!G226)</f>
        <v>-1.4771931686988588E-3</v>
      </c>
      <c r="H226" s="28">
        <f>LN(Index!H227/Index!H226)</f>
        <v>-7.2726467919670482E-3</v>
      </c>
      <c r="I226" s="28">
        <f>LN(Index!I227/Index!I226)</f>
        <v>9.66746108390573E-3</v>
      </c>
      <c r="J226" s="28">
        <f>LN(Index!J227/Index!J226)</f>
        <v>-4.3471790208584552E-3</v>
      </c>
      <c r="K226" s="28">
        <f>LN(Index!K227/Index!K226)</f>
        <v>-2.5691467195447678E-2</v>
      </c>
      <c r="L226" s="28">
        <f>LN(Index!L227/Index!L226)</f>
        <v>-7.0482825687037823E-3</v>
      </c>
      <c r="M226" s="28">
        <f>LN(Index!M227/Index!M226)</f>
        <v>-1.6346035245337755E-2</v>
      </c>
      <c r="N226" s="28">
        <f>LN(Index!N227/Index!N226)</f>
        <v>-5.4914335019517493E-4</v>
      </c>
    </row>
    <row r="227" spans="1:14">
      <c r="A227" s="15">
        <v>39206</v>
      </c>
      <c r="B227" s="28">
        <f>LN(Index!B228/Index!B227)</f>
        <v>8.3922379188013461E-3</v>
      </c>
      <c r="C227" s="28">
        <f>LN(Index!C228/Index!C227)</f>
        <v>1.8659208399224084E-3</v>
      </c>
      <c r="D227" s="28">
        <f>LN(Index!D228/Index!D227)</f>
        <v>5.0430001056974314E-3</v>
      </c>
      <c r="E227" s="28">
        <f>LN(Index!E228/Index!E227)</f>
        <v>8.9998068511987876E-3</v>
      </c>
      <c r="F227" s="28">
        <f>LN(Index!F228/Index!F227)</f>
        <v>4.0311600491951373E-3</v>
      </c>
      <c r="G227" s="28">
        <f>LN(Index!G228/Index!G227)</f>
        <v>1.4172315452214449E-2</v>
      </c>
      <c r="H227" s="28">
        <f>LN(Index!H228/Index!H227)</f>
        <v>1.6706799620814061E-3</v>
      </c>
      <c r="I227" s="28">
        <f>LN(Index!I228/Index!I227)</f>
        <v>1.9482733511946192E-2</v>
      </c>
      <c r="J227" s="28">
        <f>LN(Index!J228/Index!J227)</f>
        <v>1.2512294753451586E-2</v>
      </c>
      <c r="K227" s="28">
        <f>LN(Index!K228/Index!K227)</f>
        <v>1.0228691942734219E-2</v>
      </c>
      <c r="L227" s="28">
        <f>LN(Index!L228/Index!L227)</f>
        <v>-5.127606867761981E-3</v>
      </c>
      <c r="M227" s="28">
        <f>LN(Index!M228/Index!M227)</f>
        <v>1.3475973749271073E-2</v>
      </c>
      <c r="N227" s="28">
        <f>LN(Index!N228/Index!N227)</f>
        <v>9.9178473137785245E-3</v>
      </c>
    </row>
    <row r="228" spans="1:14">
      <c r="A228" s="15">
        <v>39213</v>
      </c>
      <c r="B228" s="28">
        <f>LN(Index!B229/Index!B228)</f>
        <v>-2.2561489603309137E-3</v>
      </c>
      <c r="C228" s="28">
        <f>LN(Index!C229/Index!C228)</f>
        <v>-1.3324452337787119E-3</v>
      </c>
      <c r="D228" s="28">
        <f>LN(Index!D229/Index!D228)</f>
        <v>2.2651932010272105E-3</v>
      </c>
      <c r="E228" s="28">
        <f>LN(Index!E229/Index!E228)</f>
        <v>-4.2827233406035675E-3</v>
      </c>
      <c r="F228" s="28">
        <f>LN(Index!F229/Index!F228)</f>
        <v>3.6885015695560363E-3</v>
      </c>
      <c r="G228" s="28">
        <f>LN(Index!G229/Index!G228)</f>
        <v>2.374051005675947E-3</v>
      </c>
      <c r="H228" s="28">
        <f>LN(Index!H229/Index!H228)</f>
        <v>-1.0839116163527583E-2</v>
      </c>
      <c r="I228" s="28">
        <f>LN(Index!I229/Index!I228)</f>
        <v>-3.5040384046275653E-5</v>
      </c>
      <c r="J228" s="28">
        <f>LN(Index!J229/Index!J228)</f>
        <v>-7.1459571076921283E-3</v>
      </c>
      <c r="K228" s="28">
        <f>LN(Index!K229/Index!K228)</f>
        <v>-1.7713765569788459E-2</v>
      </c>
      <c r="L228" s="28">
        <f>LN(Index!L229/Index!L228)</f>
        <v>2.5312701240579626E-2</v>
      </c>
      <c r="M228" s="28">
        <f>LN(Index!M229/Index!M228)</f>
        <v>7.2410195440748932E-3</v>
      </c>
      <c r="N228" s="28">
        <f>LN(Index!N229/Index!N228)</f>
        <v>3.0155697554306991E-4</v>
      </c>
    </row>
    <row r="229" spans="1:14">
      <c r="A229" s="15">
        <v>39220</v>
      </c>
      <c r="B229" s="28">
        <f>LN(Index!B230/Index!B229)</f>
        <v>6.7407695068346513E-3</v>
      </c>
      <c r="C229" s="28">
        <f>LN(Index!C230/Index!C229)</f>
        <v>-5.2710102559362397E-3</v>
      </c>
      <c r="D229" s="28">
        <f>LN(Index!D230/Index!D229)</f>
        <v>-3.3634894841587347E-2</v>
      </c>
      <c r="E229" s="28">
        <f>LN(Index!E230/Index!E229)</f>
        <v>1.2103661073323035E-2</v>
      </c>
      <c r="F229" s="28">
        <f>LN(Index!F230/Index!F229)</f>
        <v>1.1850101858223267E-2</v>
      </c>
      <c r="G229" s="28">
        <f>LN(Index!G230/Index!G229)</f>
        <v>1.7231445007733718E-2</v>
      </c>
      <c r="H229" s="28">
        <f>LN(Index!H230/Index!H229)</f>
        <v>-2.0710004682676459E-3</v>
      </c>
      <c r="I229" s="28">
        <f>LN(Index!I230/Index!I229)</f>
        <v>3.2151688128194099E-2</v>
      </c>
      <c r="J229" s="28">
        <f>LN(Index!J230/Index!J229)</f>
        <v>1.2121162584509617E-2</v>
      </c>
      <c r="K229" s="28">
        <f>LN(Index!K230/Index!K229)</f>
        <v>1.4010538322297988E-2</v>
      </c>
      <c r="L229" s="28">
        <f>LN(Index!L230/Index!L229)</f>
        <v>2.1555439973686839E-2</v>
      </c>
      <c r="M229" s="28">
        <f>LN(Index!M230/Index!M229)</f>
        <v>1.3419553723597495E-2</v>
      </c>
      <c r="N229" s="28">
        <f>LN(Index!N230/Index!N229)</f>
        <v>1.8783113221456905E-2</v>
      </c>
    </row>
    <row r="230" spans="1:14">
      <c r="A230" s="15">
        <v>39227</v>
      </c>
      <c r="B230" s="28">
        <f>LN(Index!B231/Index!B230)</f>
        <v>-3.2584095096130339E-3</v>
      </c>
      <c r="C230" s="28">
        <f>LN(Index!C231/Index!C230)</f>
        <v>-2.7227597209261876E-3</v>
      </c>
      <c r="D230" s="28">
        <f>LN(Index!D231/Index!D230)</f>
        <v>-1.0564457443402593E-2</v>
      </c>
      <c r="E230" s="28">
        <f>LN(Index!E231/Index!E230)</f>
        <v>6.1529053277169527E-3</v>
      </c>
      <c r="F230" s="28">
        <f>LN(Index!F231/Index!F230)</f>
        <v>-1.7902024305970175E-2</v>
      </c>
      <c r="G230" s="28">
        <f>LN(Index!G231/Index!G230)</f>
        <v>-9.4265964360241219E-3</v>
      </c>
      <c r="H230" s="28">
        <f>LN(Index!H231/Index!H230)</f>
        <v>-1.2760772305537014E-2</v>
      </c>
      <c r="I230" s="28">
        <f>LN(Index!I231/Index!I230)</f>
        <v>-1.7475792250056164E-2</v>
      </c>
      <c r="J230" s="28">
        <f>LN(Index!J231/Index!J230)</f>
        <v>3.2855140289133604E-2</v>
      </c>
      <c r="K230" s="28">
        <f>LN(Index!K231/Index!K230)</f>
        <v>1.5087169820508244E-2</v>
      </c>
      <c r="L230" s="28">
        <f>LN(Index!L231/Index!L230)</f>
        <v>5.2711021185704084E-3</v>
      </c>
      <c r="M230" s="28">
        <f>LN(Index!M231/Index!M230)</f>
        <v>-7.4154757370613229E-3</v>
      </c>
      <c r="N230" s="28">
        <f>LN(Index!N231/Index!N230)</f>
        <v>-1.6758611125180605E-2</v>
      </c>
    </row>
    <row r="231" spans="1:14">
      <c r="A231" s="15">
        <v>39234</v>
      </c>
      <c r="B231" s="28">
        <f>LN(Index!B232/Index!B231)</f>
        <v>1.6014632317762997E-2</v>
      </c>
      <c r="C231" s="28">
        <f>LN(Index!C232/Index!C231)</f>
        <v>-3.3079497815780025E-3</v>
      </c>
      <c r="D231" s="28">
        <f>LN(Index!D232/Index!D231)</f>
        <v>4.0283517022226198E-2</v>
      </c>
      <c r="E231" s="28">
        <f>LN(Index!E232/Index!E231)</f>
        <v>6.2242034784140586E-3</v>
      </c>
      <c r="F231" s="28">
        <f>LN(Index!F232/Index!F231)</f>
        <v>1.7242416818666478E-2</v>
      </c>
      <c r="G231" s="28">
        <f>LN(Index!G232/Index!G231)</f>
        <v>1.9135511848223822E-2</v>
      </c>
      <c r="H231" s="28">
        <f>LN(Index!H232/Index!H231)</f>
        <v>1.1519255190455966E-2</v>
      </c>
      <c r="I231" s="28">
        <f>LN(Index!I232/Index!I231)</f>
        <v>2.0909390967308535E-2</v>
      </c>
      <c r="J231" s="28">
        <f>LN(Index!J232/Index!J231)</f>
        <v>-3.4221418222741109E-3</v>
      </c>
      <c r="K231" s="28">
        <f>LN(Index!K232/Index!K231)</f>
        <v>-2.0399681135459032E-3</v>
      </c>
      <c r="L231" s="28">
        <f>LN(Index!L232/Index!L231)</f>
        <v>3.4662087167325689E-2</v>
      </c>
      <c r="M231" s="28">
        <f>LN(Index!M232/Index!M231)</f>
        <v>3.1673154635262521E-3</v>
      </c>
      <c r="N231" s="28">
        <f>LN(Index!N232/Index!N231)</f>
        <v>1.4709459931547854E-2</v>
      </c>
    </row>
    <row r="232" spans="1:14">
      <c r="A232" s="15">
        <v>39241</v>
      </c>
      <c r="B232" s="28">
        <f>LN(Index!B233/Index!B232)</f>
        <v>-2.4472205186466763E-2</v>
      </c>
      <c r="C232" s="28">
        <f>LN(Index!C233/Index!C232)</f>
        <v>-7.1144405560093675E-3</v>
      </c>
      <c r="D232" s="28">
        <f>LN(Index!D233/Index!D232)</f>
        <v>-4.1746512119658977E-2</v>
      </c>
      <c r="E232" s="28">
        <f>LN(Index!E233/Index!E232)</f>
        <v>-5.7947613364467659E-2</v>
      </c>
      <c r="F232" s="28">
        <f>LN(Index!F233/Index!F232)</f>
        <v>-4.5709879917917771E-2</v>
      </c>
      <c r="G232" s="28">
        <f>LN(Index!G233/Index!G232)</f>
        <v>-1.145761395208726E-2</v>
      </c>
      <c r="H232" s="28">
        <f>LN(Index!H233/Index!H232)</f>
        <v>-6.9906096797538689E-2</v>
      </c>
      <c r="I232" s="28">
        <f>LN(Index!I233/Index!I232)</f>
        <v>-1.8585992431463937E-2</v>
      </c>
      <c r="J232" s="28">
        <f>LN(Index!J233/Index!J232)</f>
        <v>-5.129910106581119E-2</v>
      </c>
      <c r="K232" s="28">
        <f>LN(Index!K233/Index!K232)</f>
        <v>-5.1913727311057783E-2</v>
      </c>
      <c r="L232" s="28">
        <f>LN(Index!L233/Index!L232)</f>
        <v>-3.6561257971740216E-2</v>
      </c>
      <c r="M232" s="28">
        <f>LN(Index!M233/Index!M232)</f>
        <v>-2.7677745271088159E-2</v>
      </c>
      <c r="N232" s="28">
        <f>LN(Index!N233/Index!N232)</f>
        <v>-4.8419840773737476E-2</v>
      </c>
    </row>
    <row r="233" spans="1:14">
      <c r="A233" s="15">
        <v>39248</v>
      </c>
      <c r="B233" s="28">
        <f>LN(Index!B234/Index!B233)</f>
        <v>2.0773565766434212E-2</v>
      </c>
      <c r="C233" s="28">
        <f>LN(Index!C234/Index!C233)</f>
        <v>-2.7199270731665128E-3</v>
      </c>
      <c r="D233" s="28">
        <f>LN(Index!D234/Index!D233)</f>
        <v>-5.4837245300520549E-3</v>
      </c>
      <c r="E233" s="28">
        <f>LN(Index!E234/Index!E233)</f>
        <v>2.7356006298353979E-2</v>
      </c>
      <c r="F233" s="28">
        <f>LN(Index!F234/Index!F233)</f>
        <v>2.0057603841879785E-2</v>
      </c>
      <c r="G233" s="28">
        <f>LN(Index!G234/Index!G233)</f>
        <v>3.5003955450533927E-5</v>
      </c>
      <c r="H233" s="28">
        <f>LN(Index!H234/Index!H233)</f>
        <v>2.1113835937104516E-2</v>
      </c>
      <c r="I233" s="28">
        <f>LN(Index!I234/Index!I233)</f>
        <v>2.7942921836327302E-2</v>
      </c>
      <c r="J233" s="28">
        <f>LN(Index!J234/Index!J233)</f>
        <v>3.5744859985466074E-2</v>
      </c>
      <c r="K233" s="28">
        <f>LN(Index!K234/Index!K233)</f>
        <v>9.7067098768217046E-3</v>
      </c>
      <c r="L233" s="28">
        <f>LN(Index!L234/Index!L233)</f>
        <v>2.0053374783802473E-2</v>
      </c>
      <c r="M233" s="28">
        <f>LN(Index!M234/Index!M233)</f>
        <v>6.553419109693143E-3</v>
      </c>
      <c r="N233" s="28">
        <f>LN(Index!N234/Index!N233)</f>
        <v>2.346689915371411E-2</v>
      </c>
    </row>
    <row r="234" spans="1:14">
      <c r="A234" s="15">
        <v>39255</v>
      </c>
      <c r="B234" s="28">
        <f>LN(Index!B235/Index!B234)</f>
        <v>-1.3129128204456881E-2</v>
      </c>
      <c r="C234" s="28">
        <f>LN(Index!C235/Index!C234)</f>
        <v>1.9823923464904083E-3</v>
      </c>
      <c r="D234" s="28">
        <f>LN(Index!D235/Index!D234)</f>
        <v>-1.8661089974245759E-2</v>
      </c>
      <c r="E234" s="28">
        <f>LN(Index!E235/Index!E234)</f>
        <v>-2.0144302817547085E-2</v>
      </c>
      <c r="F234" s="28">
        <f>LN(Index!F235/Index!F234)</f>
        <v>-3.133851165067264E-2</v>
      </c>
      <c r="G234" s="28">
        <f>LN(Index!G235/Index!G234)</f>
        <v>3.5313988699752677E-2</v>
      </c>
      <c r="H234" s="28">
        <f>LN(Index!H235/Index!H234)</f>
        <v>-2.9978391390547733E-2</v>
      </c>
      <c r="I234" s="28">
        <f>LN(Index!I235/Index!I234)</f>
        <v>2.7912141009695312E-2</v>
      </c>
      <c r="J234" s="28">
        <f>LN(Index!J235/Index!J234)</f>
        <v>-2.0008751589858181E-2</v>
      </c>
      <c r="K234" s="28">
        <f>LN(Index!K235/Index!K234)</f>
        <v>3.4278410300306643E-2</v>
      </c>
      <c r="L234" s="28">
        <f>LN(Index!L235/Index!L234)</f>
        <v>-2.0456777435076394E-2</v>
      </c>
      <c r="M234" s="28">
        <f>LN(Index!M235/Index!M234)</f>
        <v>-7.6796721851564347E-3</v>
      </c>
      <c r="N234" s="28">
        <f>LN(Index!N235/Index!N234)</f>
        <v>-2.3803683681138131E-2</v>
      </c>
    </row>
    <row r="235" spans="1:14">
      <c r="A235" s="15">
        <v>39262</v>
      </c>
      <c r="B235" s="28">
        <f>LN(Index!B236/Index!B235)</f>
        <v>2.6621188928097929E-3</v>
      </c>
      <c r="C235" s="28">
        <f>LN(Index!C236/Index!C235)</f>
        <v>6.2710692101120907E-3</v>
      </c>
      <c r="D235" s="28">
        <f>LN(Index!D236/Index!D235)</f>
        <v>-1.3635262661211902E-2</v>
      </c>
      <c r="E235" s="28">
        <f>LN(Index!E236/Index!E235)</f>
        <v>6.8150267450159414E-3</v>
      </c>
      <c r="F235" s="28">
        <f>LN(Index!F236/Index!F235)</f>
        <v>8.7157159870543659E-3</v>
      </c>
      <c r="G235" s="28">
        <f>LN(Index!G236/Index!G235)</f>
        <v>-9.9631031035688957E-3</v>
      </c>
      <c r="H235" s="28">
        <f>LN(Index!H236/Index!H235)</f>
        <v>2.0088820860378963E-2</v>
      </c>
      <c r="I235" s="28">
        <f>LN(Index!I236/Index!I235)</f>
        <v>-5.0684736988324689E-3</v>
      </c>
      <c r="J235" s="28">
        <f>LN(Index!J236/Index!J235)</f>
        <v>-2.7753226986409158E-2</v>
      </c>
      <c r="K235" s="28">
        <f>LN(Index!K236/Index!K235)</f>
        <v>1.2191840836947321E-2</v>
      </c>
      <c r="L235" s="28">
        <f>LN(Index!L236/Index!L235)</f>
        <v>1.793483393058835E-2</v>
      </c>
      <c r="M235" s="28">
        <f>LN(Index!M236/Index!M235)</f>
        <v>3.8406049262427835E-3</v>
      </c>
      <c r="N235" s="28">
        <f>LN(Index!N236/Index!N235)</f>
        <v>4.882466710406032E-3</v>
      </c>
    </row>
    <row r="236" spans="1:14">
      <c r="A236" s="15">
        <v>39269</v>
      </c>
      <c r="B236" s="28">
        <f>LN(Index!B237/Index!B236)</f>
        <v>1.7942610099880546E-2</v>
      </c>
      <c r="C236" s="28">
        <f>LN(Index!C237/Index!C236)</f>
        <v>-4.4088712790472983E-3</v>
      </c>
      <c r="D236" s="28">
        <f>LN(Index!D237/Index!D236)</f>
        <v>2.3118584380429082E-2</v>
      </c>
      <c r="E236" s="28">
        <f>LN(Index!E237/Index!E236)</f>
        <v>9.0671995034939008E-3</v>
      </c>
      <c r="F236" s="28">
        <f>LN(Index!F237/Index!F236)</f>
        <v>1.7496393632562598E-2</v>
      </c>
      <c r="G236" s="28">
        <f>LN(Index!G237/Index!G236)</f>
        <v>6.8598594690147926E-3</v>
      </c>
      <c r="H236" s="28">
        <f>LN(Index!H237/Index!H236)</f>
        <v>-4.2780813910784244E-3</v>
      </c>
      <c r="I236" s="28">
        <f>LN(Index!I237/Index!I236)</f>
        <v>3.8549570651184167E-2</v>
      </c>
      <c r="J236" s="28">
        <f>LN(Index!J237/Index!J236)</f>
        <v>1.4750820605132166E-2</v>
      </c>
      <c r="K236" s="28">
        <f>LN(Index!K237/Index!K236)</f>
        <v>5.1169325394408251E-2</v>
      </c>
      <c r="L236" s="28">
        <f>LN(Index!L237/Index!L236)</f>
        <v>2.7151727606031469E-2</v>
      </c>
      <c r="M236" s="28">
        <f>LN(Index!M237/Index!M236)</f>
        <v>1.091823238177139E-2</v>
      </c>
      <c r="N236" s="28">
        <f>LN(Index!N237/Index!N236)</f>
        <v>1.4195579383111501E-2</v>
      </c>
    </row>
    <row r="237" spans="1:14">
      <c r="A237" s="15">
        <v>39276</v>
      </c>
      <c r="B237" s="28">
        <f>LN(Index!B238/Index!B237)</f>
        <v>1.4260003003503009E-2</v>
      </c>
      <c r="C237" s="28">
        <f>LN(Index!C238/Index!C237)</f>
        <v>6.2209199676432408E-3</v>
      </c>
      <c r="D237" s="28">
        <f>LN(Index!D238/Index!D237)</f>
        <v>-8.7431699558684559E-4</v>
      </c>
      <c r="E237" s="28">
        <f>LN(Index!E238/Index!E237)</f>
        <v>2.5466630529819271E-5</v>
      </c>
      <c r="F237" s="28">
        <f>LN(Index!F238/Index!F237)</f>
        <v>1.7982655449657922E-2</v>
      </c>
      <c r="G237" s="28">
        <f>LN(Index!G238/Index!G237)</f>
        <v>1.1746130427896144E-2</v>
      </c>
      <c r="H237" s="28">
        <f>LN(Index!H238/Index!H237)</f>
        <v>2.9932381904380794E-3</v>
      </c>
      <c r="I237" s="28">
        <f>LN(Index!I238/Index!I237)</f>
        <v>8.0815263214073091E-3</v>
      </c>
      <c r="J237" s="28">
        <f>LN(Index!J238/Index!J237)</f>
        <v>7.602531224858127E-3</v>
      </c>
      <c r="K237" s="28">
        <f>LN(Index!K238/Index!K237)</f>
        <v>2.2910653141045175E-2</v>
      </c>
      <c r="L237" s="28">
        <f>LN(Index!L238/Index!L237)</f>
        <v>2.0689061790857288E-2</v>
      </c>
      <c r="M237" s="28">
        <f>LN(Index!M238/Index!M237)</f>
        <v>9.3260090857560148E-3</v>
      </c>
      <c r="N237" s="28">
        <f>LN(Index!N238/Index!N237)</f>
        <v>1.3423955010975378E-2</v>
      </c>
    </row>
    <row r="238" spans="1:14">
      <c r="A238" s="15">
        <v>39283</v>
      </c>
      <c r="B238" s="28">
        <f>LN(Index!B239/Index!B238)</f>
        <v>-7.6433493125680121E-3</v>
      </c>
      <c r="C238" s="28">
        <f>LN(Index!C239/Index!C238)</f>
        <v>8.0565156095693327E-3</v>
      </c>
      <c r="D238" s="28">
        <f>LN(Index!D239/Index!D238)</f>
        <v>-1.5647702191377639E-2</v>
      </c>
      <c r="E238" s="28">
        <f>LN(Index!E239/Index!E238)</f>
        <v>1.2379715925749858E-2</v>
      </c>
      <c r="F238" s="28">
        <f>LN(Index!F239/Index!F238)</f>
        <v>1.279684535810677E-4</v>
      </c>
      <c r="G238" s="28">
        <f>LN(Index!G239/Index!G238)</f>
        <v>4.7387751844659414E-3</v>
      </c>
      <c r="H238" s="28">
        <f>LN(Index!H239/Index!H238)</f>
        <v>6.4686005776337097E-3</v>
      </c>
      <c r="I238" s="28">
        <f>LN(Index!I239/Index!I238)</f>
        <v>5.0840650448101639E-3</v>
      </c>
      <c r="J238" s="28">
        <f>LN(Index!J239/Index!J238)</f>
        <v>1.0319874165805279E-2</v>
      </c>
      <c r="K238" s="28">
        <f>LN(Index!K239/Index!K238)</f>
        <v>-2.6876814885736813E-2</v>
      </c>
      <c r="L238" s="28">
        <f>LN(Index!L239/Index!L238)</f>
        <v>8.9601827850886821E-3</v>
      </c>
      <c r="M238" s="28">
        <f>LN(Index!M239/Index!M238)</f>
        <v>8.9095914282137176E-3</v>
      </c>
      <c r="N238" s="28">
        <f>LN(Index!N239/Index!N238)</f>
        <v>2.2897420721475878E-3</v>
      </c>
    </row>
    <row r="239" spans="1:14">
      <c r="A239" s="15">
        <v>39290</v>
      </c>
      <c r="B239" s="28">
        <f>LN(Index!B240/Index!B239)</f>
        <v>-5.4194768342338488E-2</v>
      </c>
      <c r="C239" s="28">
        <f>LN(Index!C240/Index!C239)</f>
        <v>4.7268795365231365E-3</v>
      </c>
      <c r="D239" s="28">
        <f>LN(Index!D240/Index!D239)</f>
        <v>-7.4306194306721751E-2</v>
      </c>
      <c r="E239" s="28">
        <f>LN(Index!E240/Index!E239)</f>
        <v>-5.1876521948994524E-2</v>
      </c>
      <c r="F239" s="28">
        <f>LN(Index!F240/Index!F239)</f>
        <v>-6.5344205411410228E-2</v>
      </c>
      <c r="G239" s="28">
        <f>LN(Index!G240/Index!G239)</f>
        <v>-5.2318048960571656E-2</v>
      </c>
      <c r="H239" s="28">
        <f>LN(Index!H240/Index!H239)</f>
        <v>-4.0761168783208158E-2</v>
      </c>
      <c r="I239" s="28">
        <f>LN(Index!I240/Index!I239)</f>
        <v>-3.9698998050208066E-2</v>
      </c>
      <c r="J239" s="28">
        <f>LN(Index!J240/Index!J239)</f>
        <v>-6.4407164473570616E-2</v>
      </c>
      <c r="K239" s="28">
        <f>LN(Index!K240/Index!K239)</f>
        <v>-5.9478375073281881E-2</v>
      </c>
      <c r="L239" s="28">
        <f>LN(Index!L240/Index!L239)</f>
        <v>-8.5641934575797662E-2</v>
      </c>
      <c r="M239" s="28">
        <f>LN(Index!M240/Index!M239)</f>
        <v>-6.1772313709263393E-2</v>
      </c>
      <c r="N239" s="28">
        <f>LN(Index!N240/Index!N239)</f>
        <v>-6.508712096453001E-2</v>
      </c>
    </row>
    <row r="240" spans="1:14">
      <c r="A240" s="15">
        <v>39297</v>
      </c>
      <c r="B240" s="28">
        <f>LN(Index!B241/Index!B240)</f>
        <v>-8.6450381041588802E-3</v>
      </c>
      <c r="C240" s="28">
        <f>LN(Index!C241/Index!C240)</f>
        <v>4.9317247149939141E-3</v>
      </c>
      <c r="D240" s="28">
        <f>LN(Index!D241/Index!D240)</f>
        <v>2.2464937870791046E-3</v>
      </c>
      <c r="E240" s="28">
        <f>LN(Index!E241/Index!E240)</f>
        <v>9.6344721109053785E-3</v>
      </c>
      <c r="F240" s="28">
        <f>LN(Index!F241/Index!F240)</f>
        <v>-6.8178217178712511E-3</v>
      </c>
      <c r="G240" s="28">
        <f>LN(Index!G241/Index!G240)</f>
        <v>4.0738394904617494E-3</v>
      </c>
      <c r="H240" s="28">
        <f>LN(Index!H241/Index!H240)</f>
        <v>1.0166101892194713E-2</v>
      </c>
      <c r="I240" s="28">
        <f>LN(Index!I241/Index!I240)</f>
        <v>8.5749954355749062E-3</v>
      </c>
      <c r="J240" s="28">
        <f>LN(Index!J241/Index!J240)</f>
        <v>2.5332865501568776E-2</v>
      </c>
      <c r="K240" s="28">
        <f>LN(Index!K241/Index!K240)</f>
        <v>4.6494968892205751E-3</v>
      </c>
      <c r="L240" s="28">
        <f>LN(Index!L241/Index!L240)</f>
        <v>-4.7377053397554911E-3</v>
      </c>
      <c r="M240" s="28">
        <f>LN(Index!M241/Index!M240)</f>
        <v>2.6673631929386098E-3</v>
      </c>
      <c r="N240" s="28">
        <f>LN(Index!N241/Index!N240)</f>
        <v>-9.7267261193379854E-3</v>
      </c>
    </row>
    <row r="241" spans="1:14">
      <c r="A241" s="15">
        <v>39304</v>
      </c>
      <c r="B241" s="28">
        <f>LN(Index!B242/Index!B241)</f>
        <v>-7.0015902893000841E-3</v>
      </c>
      <c r="C241" s="28">
        <f>LN(Index!C242/Index!C241)</f>
        <v>-2.7284112571664522E-3</v>
      </c>
      <c r="D241" s="28">
        <f>LN(Index!D242/Index!D241)</f>
        <v>1.0165392495153686E-2</v>
      </c>
      <c r="E241" s="28">
        <f>LN(Index!E242/Index!E241)</f>
        <v>-1.6710174874417977E-2</v>
      </c>
      <c r="F241" s="28">
        <f>LN(Index!F242/Index!F241)</f>
        <v>2.3325890992788513E-2</v>
      </c>
      <c r="G241" s="28">
        <f>LN(Index!G242/Index!G241)</f>
        <v>-2.0433651776403793E-2</v>
      </c>
      <c r="H241" s="28">
        <f>LN(Index!H242/Index!H241)</f>
        <v>1.4164558806848434E-2</v>
      </c>
      <c r="I241" s="28">
        <f>LN(Index!I242/Index!I241)</f>
        <v>-1.2600782378285024E-2</v>
      </c>
      <c r="J241" s="28">
        <f>LN(Index!J242/Index!J241)</f>
        <v>-3.5169631436806764E-2</v>
      </c>
      <c r="K241" s="28">
        <f>LN(Index!K242/Index!K241)</f>
        <v>2.4429377642168064E-2</v>
      </c>
      <c r="L241" s="28">
        <f>LN(Index!L242/Index!L241)</f>
        <v>1.5210642453375642E-2</v>
      </c>
      <c r="M241" s="28">
        <f>LN(Index!M242/Index!M241)</f>
        <v>-1.4119074684213622E-2</v>
      </c>
      <c r="N241" s="28">
        <f>LN(Index!N242/Index!N241)</f>
        <v>3.6744961080386221E-3</v>
      </c>
    </row>
    <row r="242" spans="1:14">
      <c r="A242" s="15">
        <v>39311</v>
      </c>
      <c r="B242" s="28">
        <f>LN(Index!B243/Index!B242)</f>
        <v>-2.1904323676399721E-2</v>
      </c>
      <c r="C242" s="28">
        <f>LN(Index!C243/Index!C242)</f>
        <v>6.1284900899584048E-3</v>
      </c>
      <c r="D242" s="28">
        <f>LN(Index!D243/Index!D242)</f>
        <v>-5.2540275101464619E-2</v>
      </c>
      <c r="E242" s="28">
        <f>LN(Index!E243/Index!E242)</f>
        <v>-3.807198208210117E-2</v>
      </c>
      <c r="F242" s="28">
        <f>LN(Index!F243/Index!F242)</f>
        <v>-3.081131562936686E-2</v>
      </c>
      <c r="G242" s="28">
        <f>LN(Index!G243/Index!G242)</f>
        <v>-0.111539510681937</v>
      </c>
      <c r="H242" s="28">
        <f>LN(Index!H243/Index!H242)</f>
        <v>-2.3409511039214841E-2</v>
      </c>
      <c r="I242" s="28">
        <f>LN(Index!I243/Index!I242)</f>
        <v>-0.11464993695057425</v>
      </c>
      <c r="J242" s="28">
        <f>LN(Index!J243/Index!J242)</f>
        <v>-2.49990865291644E-2</v>
      </c>
      <c r="K242" s="28">
        <f>LN(Index!K243/Index!K242)</f>
        <v>-0.13297742029182172</v>
      </c>
      <c r="L242" s="28">
        <f>LN(Index!L243/Index!L242)</f>
        <v>-3.6986422535571613E-2</v>
      </c>
      <c r="M242" s="28">
        <f>LN(Index!M243/Index!M242)</f>
        <v>-6.6816787624426791E-2</v>
      </c>
      <c r="N242" s="28">
        <f>LN(Index!N243/Index!N242)</f>
        <v>-3.9170752507864115E-2</v>
      </c>
    </row>
    <row r="243" spans="1:14">
      <c r="A243" s="15">
        <v>39318</v>
      </c>
      <c r="B243" s="28">
        <f>LN(Index!B244/Index!B243)</f>
        <v>3.5659181349309989E-2</v>
      </c>
      <c r="C243" s="28">
        <f>LN(Index!C244/Index!C243)</f>
        <v>1.0554488521720366E-3</v>
      </c>
      <c r="D243" s="28">
        <f>LN(Index!D244/Index!D243)</f>
        <v>6.3632178076092852E-2</v>
      </c>
      <c r="E243" s="28">
        <f>LN(Index!E244/Index!E243)</f>
        <v>3.8464487893749205E-2</v>
      </c>
      <c r="F243" s="28">
        <f>LN(Index!F244/Index!F243)</f>
        <v>2.1391434370777101E-2</v>
      </c>
      <c r="G243" s="28">
        <f>LN(Index!G244/Index!G243)</f>
        <v>9.6308132289062057E-2</v>
      </c>
      <c r="H243" s="28">
        <f>LN(Index!H244/Index!H243)</f>
        <v>3.1878706378679789E-2</v>
      </c>
      <c r="I243" s="28">
        <f>LN(Index!I244/Index!I243)</f>
        <v>8.9594842465098884E-2</v>
      </c>
      <c r="J243" s="28">
        <f>LN(Index!J244/Index!J243)</f>
        <v>4.3640894672397054E-2</v>
      </c>
      <c r="K243" s="28">
        <f>LN(Index!K244/Index!K243)</f>
        <v>0.12163695938806503</v>
      </c>
      <c r="L243" s="28">
        <f>LN(Index!L244/Index!L243)</f>
        <v>1.69201231073252E-2</v>
      </c>
      <c r="M243" s="28">
        <f>LN(Index!M244/Index!M243)</f>
        <v>5.7174808606247809E-2</v>
      </c>
      <c r="N243" s="28">
        <f>LN(Index!N244/Index!N243)</f>
        <v>2.7148138775444815E-2</v>
      </c>
    </row>
    <row r="244" spans="1:14">
      <c r="A244" s="15">
        <v>39325</v>
      </c>
      <c r="B244" s="28">
        <f>LN(Index!B245/Index!B244)</f>
        <v>5.7542657379985917E-3</v>
      </c>
      <c r="C244" s="28">
        <f>LN(Index!C245/Index!C244)</f>
        <v>3.7603925032114313E-3</v>
      </c>
      <c r="D244" s="28">
        <f>LN(Index!D245/Index!D244)</f>
        <v>9.906366621534414E-3</v>
      </c>
      <c r="E244" s="28">
        <f>LN(Index!E245/Index!E244)</f>
        <v>2.3689618213164964E-2</v>
      </c>
      <c r="F244" s="28">
        <f>LN(Index!F245/Index!F244)</f>
        <v>-8.4298007345524565E-3</v>
      </c>
      <c r="G244" s="28">
        <f>LN(Index!G245/Index!G244)</f>
        <v>1.7400182013923918E-2</v>
      </c>
      <c r="H244" s="28">
        <f>LN(Index!H245/Index!H244)</f>
        <v>2.8498135183184698E-3</v>
      </c>
      <c r="I244" s="28">
        <f>LN(Index!I245/Index!I244)</f>
        <v>1.8653048619832299E-2</v>
      </c>
      <c r="J244" s="28">
        <f>LN(Index!J245/Index!J244)</f>
        <v>3.7741759696887985E-2</v>
      </c>
      <c r="K244" s="28">
        <f>LN(Index!K245/Index!K244)</f>
        <v>4.0726298594156378E-2</v>
      </c>
      <c r="L244" s="28">
        <f>LN(Index!L245/Index!L244)</f>
        <v>-1.3545123251568235E-3</v>
      </c>
      <c r="M244" s="28">
        <f>LN(Index!M245/Index!M244)</f>
        <v>1.8234481453550649E-2</v>
      </c>
      <c r="N244" s="28">
        <f>LN(Index!N245/Index!N244)</f>
        <v>-3.5684905605883359E-3</v>
      </c>
    </row>
    <row r="245" spans="1:14">
      <c r="A245" s="15">
        <v>39332</v>
      </c>
      <c r="B245" s="28">
        <f>LN(Index!B246/Index!B245)</f>
        <v>-1.220929853845004E-2</v>
      </c>
      <c r="C245" s="28">
        <f>LN(Index!C246/Index!C245)</f>
        <v>1.2161606284671061E-2</v>
      </c>
      <c r="D245" s="28">
        <f>LN(Index!D246/Index!D245)</f>
        <v>-2.2417112058931512E-2</v>
      </c>
      <c r="E245" s="28">
        <f>LN(Index!E246/Index!E245)</f>
        <v>-2.3095436604648072E-2</v>
      </c>
      <c r="F245" s="28">
        <f>LN(Index!F246/Index!F245)</f>
        <v>-1.1474408114142812E-2</v>
      </c>
      <c r="G245" s="28">
        <f>LN(Index!G246/Index!G245)</f>
        <v>1.0749342853225775E-2</v>
      </c>
      <c r="H245" s="28">
        <f>LN(Index!H246/Index!H245)</f>
        <v>-1.340672165811263E-2</v>
      </c>
      <c r="I245" s="28">
        <f>LN(Index!I246/Index!I245)</f>
        <v>1.876076281216869E-2</v>
      </c>
      <c r="J245" s="28">
        <f>LN(Index!J246/Index!J245)</f>
        <v>-3.1387992223167176E-2</v>
      </c>
      <c r="K245" s="28">
        <f>LN(Index!K246/Index!K245)</f>
        <v>-2.8230381240329304E-2</v>
      </c>
      <c r="L245" s="28">
        <f>LN(Index!L246/Index!L245)</f>
        <v>-2.443662230218191E-2</v>
      </c>
      <c r="M245" s="28">
        <f>LN(Index!M246/Index!M245)</f>
        <v>-1.5284524189777542E-2</v>
      </c>
      <c r="N245" s="28">
        <f>LN(Index!N246/Index!N245)</f>
        <v>-6.3257048252553837E-3</v>
      </c>
    </row>
    <row r="246" spans="1:14">
      <c r="A246" s="15">
        <v>39339</v>
      </c>
      <c r="B246" s="28">
        <f>LN(Index!B247/Index!B246)</f>
        <v>1.5361364215067137E-2</v>
      </c>
      <c r="C246" s="28">
        <f>LN(Index!C247/Index!C246)</f>
        <v>-4.6829788994266364E-3</v>
      </c>
      <c r="D246" s="28">
        <f>LN(Index!D247/Index!D246)</f>
        <v>2.901322905789392E-2</v>
      </c>
      <c r="E246" s="28">
        <f>LN(Index!E247/Index!E246)</f>
        <v>1.3389308704245626E-2</v>
      </c>
      <c r="F246" s="28">
        <f>LN(Index!F247/Index!F246)</f>
        <v>2.3799917220852819E-2</v>
      </c>
      <c r="G246" s="28">
        <f>LN(Index!G247/Index!G246)</f>
        <v>2.3850005164417813E-2</v>
      </c>
      <c r="H246" s="28">
        <f>LN(Index!H247/Index!H246)</f>
        <v>2.3658741291194874E-2</v>
      </c>
      <c r="I246" s="28">
        <f>LN(Index!I247/Index!I246)</f>
        <v>-4.6866017932280539E-3</v>
      </c>
      <c r="J246" s="28">
        <f>LN(Index!J247/Index!J246)</f>
        <v>2.0463103193265095E-2</v>
      </c>
      <c r="K246" s="28">
        <f>LN(Index!K247/Index!K246)</f>
        <v>5.406443192057081E-2</v>
      </c>
      <c r="L246" s="28">
        <f>LN(Index!L247/Index!L246)</f>
        <v>3.5779229604576565E-2</v>
      </c>
      <c r="M246" s="28">
        <f>LN(Index!M247/Index!M246)</f>
        <v>9.1560405903679375E-3</v>
      </c>
      <c r="N246" s="28">
        <f>LN(Index!N247/Index!N246)</f>
        <v>1.9033496401599927E-2</v>
      </c>
    </row>
    <row r="247" spans="1:14">
      <c r="A247" s="15">
        <v>39346</v>
      </c>
      <c r="B247" s="28">
        <f>LN(Index!B248/Index!B247)</f>
        <v>2.992712253663652E-2</v>
      </c>
      <c r="C247" s="28">
        <f>LN(Index!C248/Index!C247)</f>
        <v>-6.3351284982258874E-4</v>
      </c>
      <c r="D247" s="28">
        <f>LN(Index!D248/Index!D247)</f>
        <v>2.2817097494701965E-2</v>
      </c>
      <c r="E247" s="28">
        <f>LN(Index!E248/Index!E247)</f>
        <v>3.1450435446964915E-2</v>
      </c>
      <c r="F247" s="28">
        <f>LN(Index!F248/Index!F247)</f>
        <v>3.3978944317614543E-2</v>
      </c>
      <c r="G247" s="28">
        <f>LN(Index!G248/Index!G247)</f>
        <v>2.7010130941613475E-2</v>
      </c>
      <c r="H247" s="28">
        <f>LN(Index!H248/Index!H247)</f>
        <v>2.3154922470613983E-2</v>
      </c>
      <c r="I247" s="28">
        <f>LN(Index!I248/Index!I247)</f>
        <v>3.6725206628429347E-2</v>
      </c>
      <c r="J247" s="28">
        <f>LN(Index!J248/Index!J247)</f>
        <v>2.0593600555340541E-2</v>
      </c>
      <c r="K247" s="28">
        <f>LN(Index!K248/Index!K247)</f>
        <v>9.3833348272954101E-2</v>
      </c>
      <c r="L247" s="28">
        <f>LN(Index!L248/Index!L247)</f>
        <v>4.9497593738278556E-2</v>
      </c>
      <c r="M247" s="28">
        <f>LN(Index!M248/Index!M247)</f>
        <v>1.9699093842396792E-2</v>
      </c>
      <c r="N247" s="28">
        <f>LN(Index!N248/Index!N247)</f>
        <v>3.7693539123855604E-2</v>
      </c>
    </row>
    <row r="248" spans="1:14">
      <c r="A248" s="15">
        <v>39353</v>
      </c>
      <c r="B248" s="28">
        <f>LN(Index!B249/Index!B248)</f>
        <v>1.199020427328428E-2</v>
      </c>
      <c r="C248" s="28">
        <f>LN(Index!C249/Index!C248)</f>
        <v>5.5760153395463738E-3</v>
      </c>
      <c r="D248" s="28">
        <f>LN(Index!D249/Index!D248)</f>
        <v>3.3756242357577883E-2</v>
      </c>
      <c r="E248" s="28">
        <f>LN(Index!E249/Index!E248)</f>
        <v>2.0240279244828449E-2</v>
      </c>
      <c r="F248" s="28">
        <f>LN(Index!F249/Index!F248)</f>
        <v>-6.3866849471110401E-4</v>
      </c>
      <c r="G248" s="28">
        <f>LN(Index!G249/Index!G248)</f>
        <v>3.86371968718369E-2</v>
      </c>
      <c r="H248" s="28">
        <f>LN(Index!H249/Index!H248)</f>
        <v>2.0294839245560376E-2</v>
      </c>
      <c r="I248" s="28">
        <f>LN(Index!I249/Index!I248)</f>
        <v>2.8784854613806126E-2</v>
      </c>
      <c r="J248" s="28">
        <f>LN(Index!J249/Index!J248)</f>
        <v>5.8527826803189895E-3</v>
      </c>
      <c r="K248" s="28">
        <f>LN(Index!K249/Index!K248)</f>
        <v>1.4094800719185653E-2</v>
      </c>
      <c r="L248" s="28">
        <f>LN(Index!L249/Index!L248)</f>
        <v>3.5051175239243781E-2</v>
      </c>
      <c r="M248" s="28">
        <f>LN(Index!M249/Index!M248)</f>
        <v>2.1619793046194082E-2</v>
      </c>
      <c r="N248" s="28">
        <f>LN(Index!N249/Index!N248)</f>
        <v>-6.7854939529782303E-3</v>
      </c>
    </row>
    <row r="249" spans="1:14">
      <c r="A249" s="15">
        <v>39360</v>
      </c>
      <c r="B249" s="28">
        <f>LN(Index!B250/Index!B249)</f>
        <v>1.8294154736513229E-2</v>
      </c>
      <c r="C249" s="28">
        <f>LN(Index!C250/Index!C249)</f>
        <v>-2.8212952116514786E-3</v>
      </c>
      <c r="D249" s="28">
        <f>LN(Index!D250/Index!D249)</f>
        <v>2.5352564299081476E-2</v>
      </c>
      <c r="E249" s="28">
        <f>LN(Index!E250/Index!E249)</f>
        <v>1.0971262870936466E-2</v>
      </c>
      <c r="F249" s="28">
        <f>LN(Index!F250/Index!F249)</f>
        <v>1.6940691824113799E-2</v>
      </c>
      <c r="G249" s="28">
        <f>LN(Index!G250/Index!G249)</f>
        <v>-3.4452563368987939E-3</v>
      </c>
      <c r="H249" s="28">
        <f>LN(Index!H250/Index!H249)</f>
        <v>5.1384010668571786E-3</v>
      </c>
      <c r="I249" s="28">
        <f>LN(Index!I250/Index!I249)</f>
        <v>-1.7691388855217058E-3</v>
      </c>
      <c r="J249" s="28">
        <f>LN(Index!J250/Index!J249)</f>
        <v>3.433245001036131E-2</v>
      </c>
      <c r="K249" s="28">
        <f>LN(Index!K250/Index!K249)</f>
        <v>-2.127798511864969E-2</v>
      </c>
      <c r="L249" s="28">
        <f>LN(Index!L250/Index!L249)</f>
        <v>-2.0660072832807342E-2</v>
      </c>
      <c r="M249" s="28">
        <f>LN(Index!M250/Index!M249)</f>
        <v>2.8058031118134003E-2</v>
      </c>
      <c r="N249" s="28">
        <f>LN(Index!N250/Index!N249)</f>
        <v>1.9987877281271823E-2</v>
      </c>
    </row>
    <row r="250" spans="1:14">
      <c r="A250" s="15">
        <v>39367</v>
      </c>
      <c r="B250" s="28">
        <f>LN(Index!B251/Index!B250)</f>
        <v>6.9182044286560324E-3</v>
      </c>
      <c r="C250" s="28">
        <f>LN(Index!C251/Index!C250)</f>
        <v>-1.1158639803936017E-3</v>
      </c>
      <c r="D250" s="28">
        <f>LN(Index!D251/Index!D250)</f>
        <v>-2.6721539451204416E-3</v>
      </c>
      <c r="E250" s="28">
        <f>LN(Index!E251/Index!E250)</f>
        <v>1.8641158996733877E-2</v>
      </c>
      <c r="F250" s="28">
        <f>LN(Index!F251/Index!F250)</f>
        <v>9.6466739910028524E-3</v>
      </c>
      <c r="G250" s="28">
        <f>LN(Index!G251/Index!G250)</f>
        <v>1.0571184326583917E-3</v>
      </c>
      <c r="H250" s="28">
        <f>LN(Index!H251/Index!H250)</f>
        <v>1.0250136666432678E-2</v>
      </c>
      <c r="I250" s="28">
        <f>LN(Index!I251/Index!I250)</f>
        <v>2.1494212467979324E-2</v>
      </c>
      <c r="J250" s="28">
        <f>LN(Index!J251/Index!J250)</f>
        <v>9.6840067370948246E-3</v>
      </c>
      <c r="K250" s="28">
        <f>LN(Index!K251/Index!K250)</f>
        <v>3.1572976072961122E-3</v>
      </c>
      <c r="L250" s="28">
        <f>LN(Index!L251/Index!L250)</f>
        <v>8.0372110148553173E-3</v>
      </c>
      <c r="M250" s="28">
        <f>LN(Index!M251/Index!M250)</f>
        <v>2.3670927578938474E-3</v>
      </c>
      <c r="N250" s="28">
        <f>LN(Index!N251/Index!N250)</f>
        <v>1.9165733661164235E-2</v>
      </c>
    </row>
    <row r="251" spans="1:14">
      <c r="A251" s="15">
        <v>39374</v>
      </c>
      <c r="B251" s="28">
        <f>LN(Index!B252/Index!B251)</f>
        <v>-2.8990345872865662E-2</v>
      </c>
      <c r="C251" s="28">
        <f>LN(Index!C252/Index!C251)</f>
        <v>1.4776774230097239E-2</v>
      </c>
      <c r="D251" s="28">
        <f>LN(Index!D252/Index!D251)</f>
        <v>-4.8558719304829252E-2</v>
      </c>
      <c r="E251" s="28">
        <f>LN(Index!E252/Index!E251)</f>
        <v>-2.8755437470246365E-3</v>
      </c>
      <c r="F251" s="28">
        <f>LN(Index!F252/Index!F251)</f>
        <v>-3.2592369405922236E-2</v>
      </c>
      <c r="G251" s="28">
        <f>LN(Index!G252/Index!G251)</f>
        <v>-1.2697602661419543E-2</v>
      </c>
      <c r="H251" s="28">
        <f>LN(Index!H252/Index!H251)</f>
        <v>-9.5638649544916524E-3</v>
      </c>
      <c r="I251" s="28">
        <f>LN(Index!I252/Index!I251)</f>
        <v>-1.7453374573965902E-3</v>
      </c>
      <c r="J251" s="28">
        <f>LN(Index!J252/Index!J251)</f>
        <v>-4.2872778496962027E-2</v>
      </c>
      <c r="K251" s="28">
        <f>LN(Index!K252/Index!K251)</f>
        <v>-2.3509562691089045E-2</v>
      </c>
      <c r="L251" s="28">
        <f>LN(Index!L252/Index!L251)</f>
        <v>-2.8073706724205935E-2</v>
      </c>
      <c r="M251" s="28">
        <f>LN(Index!M252/Index!M251)</f>
        <v>-2.7750036655308785E-3</v>
      </c>
      <c r="N251" s="28">
        <f>LN(Index!N252/Index!N251)</f>
        <v>-2.0715585422932451E-2</v>
      </c>
    </row>
    <row r="252" spans="1:14">
      <c r="A252" s="15">
        <v>39381</v>
      </c>
      <c r="B252" s="28">
        <f>LN(Index!B253/Index!B252)</f>
        <v>1.9188933369891883E-2</v>
      </c>
      <c r="C252" s="28">
        <f>LN(Index!C253/Index!C252)</f>
        <v>3.0755736018624E-3</v>
      </c>
      <c r="D252" s="28">
        <f>LN(Index!D253/Index!D252)</f>
        <v>3.5304998146252965E-2</v>
      </c>
      <c r="E252" s="28">
        <f>LN(Index!E253/Index!E252)</f>
        <v>2.2704793693757098E-2</v>
      </c>
      <c r="F252" s="28">
        <f>LN(Index!F253/Index!F252)</f>
        <v>4.3369179334061099E-2</v>
      </c>
      <c r="G252" s="28">
        <f>LN(Index!G253/Index!G252)</f>
        <v>2.5988743562189585E-2</v>
      </c>
      <c r="H252" s="28">
        <f>LN(Index!H253/Index!H252)</f>
        <v>2.6735222266502431E-2</v>
      </c>
      <c r="I252" s="28">
        <f>LN(Index!I253/Index!I252)</f>
        <v>5.0937150318878252E-4</v>
      </c>
      <c r="J252" s="28">
        <f>LN(Index!J253/Index!J252)</f>
        <v>2.8827256536906327E-2</v>
      </c>
      <c r="K252" s="28">
        <f>LN(Index!K253/Index!K252)</f>
        <v>9.6900198472369498E-2</v>
      </c>
      <c r="L252" s="28">
        <f>LN(Index!L253/Index!L252)</f>
        <v>6.9125155036843605E-2</v>
      </c>
      <c r="M252" s="28">
        <f>LN(Index!M253/Index!M252)</f>
        <v>2.2917160172491916E-2</v>
      </c>
      <c r="N252" s="28">
        <f>LN(Index!N253/Index!N252)</f>
        <v>3.1778853723085414E-2</v>
      </c>
    </row>
    <row r="253" spans="1:14">
      <c r="A253" s="15">
        <v>39388</v>
      </c>
      <c r="B253" s="28">
        <f>LN(Index!B254/Index!B253)</f>
        <v>-7.1869203061453594E-3</v>
      </c>
      <c r="C253" s="28">
        <f>LN(Index!C254/Index!C253)</f>
        <v>3.9768737310558805E-3</v>
      </c>
      <c r="D253" s="28">
        <f>LN(Index!D254/Index!D253)</f>
        <v>-2.276634336627158E-2</v>
      </c>
      <c r="E253" s="28">
        <f>LN(Index!E254/Index!E253)</f>
        <v>8.5914638024228718E-3</v>
      </c>
      <c r="F253" s="28">
        <f>LN(Index!F254/Index!F253)</f>
        <v>4.6980108271159728E-3</v>
      </c>
      <c r="G253" s="28">
        <f>LN(Index!G254/Index!G253)</f>
        <v>-3.5422123618818382E-3</v>
      </c>
      <c r="H253" s="28">
        <f>LN(Index!H254/Index!H253)</f>
        <v>1.1169958070101654E-2</v>
      </c>
      <c r="I253" s="28">
        <f>LN(Index!I254/Index!I253)</f>
        <v>-2.1898317437453282E-2</v>
      </c>
      <c r="J253" s="28">
        <f>LN(Index!J254/Index!J253)</f>
        <v>3.0069869940611178E-3</v>
      </c>
      <c r="K253" s="28">
        <f>LN(Index!K254/Index!K253)</f>
        <v>5.0814061447431301E-2</v>
      </c>
      <c r="L253" s="28">
        <f>LN(Index!L254/Index!L253)</f>
        <v>-2.4964667280504022E-3</v>
      </c>
      <c r="M253" s="28">
        <f>LN(Index!M254/Index!M253)</f>
        <v>6.2786201787954502E-3</v>
      </c>
      <c r="N253" s="28">
        <f>LN(Index!N254/Index!N253)</f>
        <v>4.0150103757145067E-3</v>
      </c>
    </row>
    <row r="254" spans="1:14">
      <c r="A254" s="15">
        <v>39395</v>
      </c>
      <c r="B254" s="28">
        <f>LN(Index!B255/Index!B254)</f>
        <v>-3.0195043141034088E-2</v>
      </c>
      <c r="C254" s="28">
        <f>LN(Index!C255/Index!C254)</f>
        <v>6.1710664837929868E-3</v>
      </c>
      <c r="D254" s="28">
        <f>LN(Index!D255/Index!D254)</f>
        <v>-3.736614650046443E-2</v>
      </c>
      <c r="E254" s="28">
        <f>LN(Index!E255/Index!E254)</f>
        <v>-5.8955188013196875E-3</v>
      </c>
      <c r="F254" s="28">
        <f>LN(Index!F255/Index!F254)</f>
        <v>-2.9303556152375662E-2</v>
      </c>
      <c r="G254" s="28">
        <f>LN(Index!G255/Index!G254)</f>
        <v>-2.891394593962214E-2</v>
      </c>
      <c r="H254" s="28">
        <f>LN(Index!H255/Index!H254)</f>
        <v>4.9943395795197694E-3</v>
      </c>
      <c r="I254" s="28">
        <f>LN(Index!I255/Index!I254)</f>
        <v>-2.1794524458641298E-2</v>
      </c>
      <c r="J254" s="28">
        <f>LN(Index!J255/Index!J254)</f>
        <v>-4.2791430778101831E-2</v>
      </c>
      <c r="K254" s="28">
        <f>LN(Index!K255/Index!K254)</f>
        <v>-5.703079273666601E-2</v>
      </c>
      <c r="L254" s="28">
        <f>LN(Index!L255/Index!L254)</f>
        <v>-7.6286506209398239E-2</v>
      </c>
      <c r="M254" s="28">
        <f>LN(Index!M255/Index!M254)</f>
        <v>-7.9283577733890911E-3</v>
      </c>
      <c r="N254" s="28">
        <f>LN(Index!N255/Index!N254)</f>
        <v>-1.6816785038776139E-2</v>
      </c>
    </row>
    <row r="255" spans="1:14">
      <c r="A255" s="15">
        <v>39402</v>
      </c>
      <c r="B255" s="28">
        <f>LN(Index!B256/Index!B255)</f>
        <v>-1.0682101335254237E-2</v>
      </c>
      <c r="C255" s="28">
        <f>LN(Index!C256/Index!C255)</f>
        <v>1.3380831246264224E-3</v>
      </c>
      <c r="D255" s="28">
        <f>LN(Index!D256/Index!D255)</f>
        <v>-2.8699899756403802E-2</v>
      </c>
      <c r="E255" s="28">
        <f>LN(Index!E256/Index!E255)</f>
        <v>3.1490037726601938E-4</v>
      </c>
      <c r="F255" s="28">
        <f>LN(Index!F256/Index!F255)</f>
        <v>7.9343397341535855E-3</v>
      </c>
      <c r="G255" s="28">
        <f>LN(Index!G256/Index!G255)</f>
        <v>-4.6216737611145205E-2</v>
      </c>
      <c r="H255" s="28">
        <f>LN(Index!H256/Index!H255)</f>
        <v>-7.4983670186295689E-3</v>
      </c>
      <c r="I255" s="28">
        <f>LN(Index!I256/Index!I255)</f>
        <v>-1.1305728502639866E-2</v>
      </c>
      <c r="J255" s="28">
        <f>LN(Index!J256/Index!J255)</f>
        <v>7.4814031743471524E-3</v>
      </c>
      <c r="K255" s="28">
        <f>LN(Index!K256/Index!K255)</f>
        <v>-5.6670800128195808E-2</v>
      </c>
      <c r="L255" s="28">
        <f>LN(Index!L256/Index!L255)</f>
        <v>6.9483132993362701E-2</v>
      </c>
      <c r="M255" s="28">
        <f>LN(Index!M256/Index!M255)</f>
        <v>-2.5584761230748258E-2</v>
      </c>
      <c r="N255" s="28">
        <f>LN(Index!N256/Index!N255)</f>
        <v>-1.2365326583517444E-2</v>
      </c>
    </row>
    <row r="256" spans="1:14">
      <c r="A256" s="15">
        <v>39409</v>
      </c>
      <c r="B256" s="28">
        <f>LN(Index!B257/Index!B256)</f>
        <v>-9.0216622057365629E-3</v>
      </c>
      <c r="C256" s="28">
        <f>LN(Index!C257/Index!C256)</f>
        <v>8.4570904415623392E-3</v>
      </c>
      <c r="D256" s="28">
        <f>LN(Index!D257/Index!D256)</f>
        <v>-1.4688726545655124E-2</v>
      </c>
      <c r="E256" s="28">
        <f>LN(Index!E257/Index!E256)</f>
        <v>1.3431381036143181E-3</v>
      </c>
      <c r="F256" s="28">
        <f>LN(Index!F257/Index!F256)</f>
        <v>-8.3166995680883458E-3</v>
      </c>
      <c r="G256" s="28">
        <f>LN(Index!G257/Index!G256)</f>
        <v>-3.9973375543832179E-2</v>
      </c>
      <c r="H256" s="28">
        <f>LN(Index!H257/Index!H256)</f>
        <v>6.872123200606532E-4</v>
      </c>
      <c r="I256" s="28">
        <f>LN(Index!I257/Index!I256)</f>
        <v>-2.9751089550921019E-2</v>
      </c>
      <c r="J256" s="28">
        <f>LN(Index!J257/Index!J256)</f>
        <v>3.4655732091109955E-2</v>
      </c>
      <c r="K256" s="28">
        <f>LN(Index!K257/Index!K256)</f>
        <v>-0.11080614960921807</v>
      </c>
      <c r="L256" s="28">
        <f>LN(Index!L257/Index!L256)</f>
        <v>-1.2190167964265643E-2</v>
      </c>
      <c r="M256" s="28">
        <f>LN(Index!M257/Index!M256)</f>
        <v>-2.1923556678510436E-2</v>
      </c>
      <c r="N256" s="28">
        <f>LN(Index!N257/Index!N256)</f>
        <v>-1.1824120956804419E-2</v>
      </c>
    </row>
    <row r="257" spans="1:14">
      <c r="A257" s="15">
        <v>39416</v>
      </c>
      <c r="B257" s="28">
        <f>LN(Index!B258/Index!B257)</f>
        <v>2.7718714425180035E-2</v>
      </c>
      <c r="C257" s="28">
        <f>LN(Index!C258/Index!C257)</f>
        <v>-3.1585396489736146E-3</v>
      </c>
      <c r="D257" s="28">
        <f>LN(Index!D258/Index!D257)</f>
        <v>4.5443280815723235E-2</v>
      </c>
      <c r="E257" s="28">
        <f>LN(Index!E258/Index!E257)</f>
        <v>2.7478012154476723E-2</v>
      </c>
      <c r="F257" s="28">
        <f>LN(Index!F258/Index!F257)</f>
        <v>1.1133516157549161E-2</v>
      </c>
      <c r="G257" s="28">
        <f>LN(Index!G258/Index!G257)</f>
        <v>7.2554322034483837E-2</v>
      </c>
      <c r="H257" s="28">
        <f>LN(Index!H258/Index!H257)</f>
        <v>2.0741232482648465E-2</v>
      </c>
      <c r="I257" s="28">
        <f>LN(Index!I258/Index!I257)</f>
        <v>3.0462521437138838E-2</v>
      </c>
      <c r="J257" s="28">
        <f>LN(Index!J258/Index!J257)</f>
        <v>3.8670840652959948E-2</v>
      </c>
      <c r="K257" s="28">
        <f>LN(Index!K258/Index!K257)</f>
        <v>0.15463352896688157</v>
      </c>
      <c r="L257" s="28">
        <f>LN(Index!L258/Index!L257)</f>
        <v>2.9734528934214383E-2</v>
      </c>
      <c r="M257" s="28">
        <f>LN(Index!M258/Index!M257)</f>
        <v>4.8671273203693986E-2</v>
      </c>
      <c r="N257" s="28">
        <f>LN(Index!N258/Index!N257)</f>
        <v>4.2620863569860813E-3</v>
      </c>
    </row>
    <row r="258" spans="1:14">
      <c r="A258" s="15">
        <v>39423</v>
      </c>
      <c r="B258" s="28">
        <f>LN(Index!B259/Index!B258)</f>
        <v>1.1792829641427435E-2</v>
      </c>
      <c r="C258" s="28">
        <f>LN(Index!C259/Index!C258)</f>
        <v>-8.1214689568834524E-3</v>
      </c>
      <c r="D258" s="28">
        <f>LN(Index!D259/Index!D258)</f>
        <v>1.5209418663528708E-2</v>
      </c>
      <c r="E258" s="28">
        <f>LN(Index!E259/Index!E258)</f>
        <v>1.5250769602765501E-3</v>
      </c>
      <c r="F258" s="28">
        <f>LN(Index!F259/Index!F258)</f>
        <v>4.8104450923259767E-3</v>
      </c>
      <c r="G258" s="28">
        <f>LN(Index!G259/Index!G258)</f>
        <v>1.8016537988308212E-2</v>
      </c>
      <c r="H258" s="28">
        <f>LN(Index!H259/Index!H258)</f>
        <v>1.2913617147649006E-2</v>
      </c>
      <c r="I258" s="28">
        <f>LN(Index!I259/Index!I258)</f>
        <v>-7.1973668278654335E-3</v>
      </c>
      <c r="J258" s="28">
        <f>LN(Index!J259/Index!J258)</f>
        <v>-4.8633955901512841E-3</v>
      </c>
      <c r="K258" s="28">
        <f>LN(Index!K259/Index!K258)</f>
        <v>-1.5500631027861751E-3</v>
      </c>
      <c r="L258" s="28">
        <f>LN(Index!L259/Index!L258)</f>
        <v>-2.8230194736146897E-2</v>
      </c>
      <c r="M258" s="28">
        <f>LN(Index!M259/Index!M258)</f>
        <v>1.2064891313390728E-2</v>
      </c>
      <c r="N258" s="28">
        <f>LN(Index!N259/Index!N258)</f>
        <v>1.9069377293531507E-2</v>
      </c>
    </row>
    <row r="259" spans="1:14">
      <c r="A259" s="15">
        <v>39430</v>
      </c>
      <c r="B259" s="28">
        <f>LN(Index!B260/Index!B259)</f>
        <v>-2.9844969375901455E-2</v>
      </c>
      <c r="C259" s="28">
        <f>LN(Index!C260/Index!C259)</f>
        <v>-5.5240727768554147E-3</v>
      </c>
      <c r="D259" s="28">
        <f>LN(Index!D260/Index!D259)</f>
        <v>-6.7742209916457338E-2</v>
      </c>
      <c r="E259" s="28">
        <f>LN(Index!E260/Index!E259)</f>
        <v>-6.8250202725747772E-3</v>
      </c>
      <c r="F259" s="28">
        <f>LN(Index!F260/Index!F259)</f>
        <v>-2.560870328327837E-2</v>
      </c>
      <c r="G259" s="28">
        <f>LN(Index!G260/Index!G259)</f>
        <v>-5.0683722748452738E-2</v>
      </c>
      <c r="H259" s="28">
        <f>LN(Index!H260/Index!H259)</f>
        <v>3.6624223670638281E-4</v>
      </c>
      <c r="I259" s="28">
        <f>LN(Index!I260/Index!I259)</f>
        <v>-3.740647028047505E-2</v>
      </c>
      <c r="J259" s="28">
        <f>LN(Index!J260/Index!J259)</f>
        <v>-2.0164123715327695E-2</v>
      </c>
      <c r="K259" s="28">
        <f>LN(Index!K260/Index!K259)</f>
        <v>-4.3439692703890385E-2</v>
      </c>
      <c r="L259" s="28">
        <f>LN(Index!L260/Index!L259)</f>
        <v>-5.6588233398828409E-2</v>
      </c>
      <c r="M259" s="28">
        <f>LN(Index!M260/Index!M259)</f>
        <v>-2.9131865794457791E-2</v>
      </c>
      <c r="N259" s="28">
        <f>LN(Index!N260/Index!N259)</f>
        <v>-1.8103938411441672E-2</v>
      </c>
    </row>
    <row r="260" spans="1:14">
      <c r="A260" s="15">
        <v>39437</v>
      </c>
      <c r="B260" s="28">
        <f>LN(Index!B261/Index!B260)</f>
        <v>-9.9283208742252768E-4</v>
      </c>
      <c r="C260" s="28">
        <f>LN(Index!C261/Index!C260)</f>
        <v>9.0695343251860905E-3</v>
      </c>
      <c r="D260" s="28">
        <f>LN(Index!D261/Index!D260)</f>
        <v>-1.7555370595437738E-2</v>
      </c>
      <c r="E260" s="28">
        <f>LN(Index!E261/Index!E260)</f>
        <v>-2.1677813633992828E-2</v>
      </c>
      <c r="F260" s="28">
        <f>LN(Index!F261/Index!F260)</f>
        <v>2.7704844520392333E-2</v>
      </c>
      <c r="G260" s="28">
        <f>LN(Index!G261/Index!G260)</f>
        <v>-1.3670961819966018E-2</v>
      </c>
      <c r="H260" s="28">
        <f>LN(Index!H261/Index!H260)</f>
        <v>-1.2038781019822316E-2</v>
      </c>
      <c r="I260" s="28">
        <f>LN(Index!I261/Index!I260)</f>
        <v>-2.0956079049780266E-2</v>
      </c>
      <c r="J260" s="28">
        <f>LN(Index!J261/Index!J260)</f>
        <v>-1.7634526189742293E-3</v>
      </c>
      <c r="K260" s="28">
        <f>LN(Index!K261/Index!K260)</f>
        <v>1.3511948170599928E-3</v>
      </c>
      <c r="L260" s="28">
        <f>LN(Index!L261/Index!L260)</f>
        <v>3.5873127310862847E-2</v>
      </c>
      <c r="M260" s="28">
        <f>LN(Index!M261/Index!M260)</f>
        <v>-1.5015364797988737E-2</v>
      </c>
      <c r="N260" s="28">
        <f>LN(Index!N261/Index!N260)</f>
        <v>1.7001862226860769E-2</v>
      </c>
    </row>
    <row r="261" spans="1:14">
      <c r="A261" s="15">
        <v>39444</v>
      </c>
      <c r="B261" s="28">
        <f>LN(Index!B262/Index!B261)</f>
        <v>8.9691783951639809E-3</v>
      </c>
      <c r="C261" s="28">
        <f>LN(Index!C262/Index!C261)</f>
        <v>-1.0840109462581145E-3</v>
      </c>
      <c r="D261" s="28">
        <f>LN(Index!D262/Index!D261)</f>
        <v>1.3200676618084547E-3</v>
      </c>
      <c r="E261" s="28">
        <f>LN(Index!E262/Index!E261)</f>
        <v>1.1918299472709422E-2</v>
      </c>
      <c r="F261" s="28">
        <f>LN(Index!F262/Index!F261)</f>
        <v>3.5571298365690597E-3</v>
      </c>
      <c r="G261" s="28">
        <f>LN(Index!G262/Index!G261)</f>
        <v>7.8447621121173188E-3</v>
      </c>
      <c r="H261" s="28">
        <f>LN(Index!H262/Index!H261)</f>
        <v>8.2036852358799116E-3</v>
      </c>
      <c r="I261" s="28">
        <f>LN(Index!I262/Index!I261)</f>
        <v>2.0378864717648885E-2</v>
      </c>
      <c r="J261" s="28">
        <f>LN(Index!J262/Index!J261)</f>
        <v>-1.0369441486133882E-3</v>
      </c>
      <c r="K261" s="28">
        <f>LN(Index!K262/Index!K261)</f>
        <v>1.4649678331832748E-2</v>
      </c>
      <c r="L261" s="28">
        <f>LN(Index!L262/Index!L261)</f>
        <v>8.1921331509663166E-3</v>
      </c>
      <c r="M261" s="28">
        <f>LN(Index!M262/Index!M261)</f>
        <v>2.5398402281043364E-3</v>
      </c>
      <c r="N261" s="28">
        <f>LN(Index!N262/Index!N261)</f>
        <v>7.9602065792147188E-3</v>
      </c>
    </row>
    <row r="262" spans="1:14">
      <c r="A262" s="15">
        <v>39451</v>
      </c>
      <c r="B262" s="28">
        <f>LN(Index!B263/Index!B262)</f>
        <v>-3.2812605601426979E-2</v>
      </c>
      <c r="C262" s="28">
        <f>LN(Index!C263/Index!C262)</f>
        <v>1.8412240601502834E-2</v>
      </c>
      <c r="D262" s="28">
        <f>LN(Index!D263/Index!D262)</f>
        <v>-2.3931920898160052E-2</v>
      </c>
      <c r="E262" s="28">
        <f>LN(Index!E263/Index!E262)</f>
        <v>-1.902302269471863E-2</v>
      </c>
      <c r="F262" s="28">
        <f>LN(Index!F263/Index!F262)</f>
        <v>-3.5518637857286872E-2</v>
      </c>
      <c r="G262" s="28">
        <f>LN(Index!G263/Index!G262)</f>
        <v>-1.2819591513541955E-2</v>
      </c>
      <c r="H262" s="28">
        <f>LN(Index!H263/Index!H262)</f>
        <v>-1.824558568916107E-2</v>
      </c>
      <c r="I262" s="28">
        <f>LN(Index!I263/Index!I262)</f>
        <v>-4.7792596317870759E-3</v>
      </c>
      <c r="J262" s="28">
        <f>LN(Index!J263/Index!J262)</f>
        <v>-2.1505781274518306E-2</v>
      </c>
      <c r="K262" s="28">
        <f>LN(Index!K263/Index!K262)</f>
        <v>-1.0321426016623081E-2</v>
      </c>
      <c r="L262" s="28">
        <f>LN(Index!L263/Index!L262)</f>
        <v>-6.6601815993775182E-2</v>
      </c>
      <c r="M262" s="28">
        <f>LN(Index!M263/Index!M262)</f>
        <v>-1.7793988286538057E-2</v>
      </c>
      <c r="N262" s="28">
        <f>LN(Index!N263/Index!N262)</f>
        <v>-2.5037854897342997E-2</v>
      </c>
    </row>
    <row r="263" spans="1:14">
      <c r="A263" s="15">
        <v>39458</v>
      </c>
      <c r="B263" s="28">
        <f>LN(Index!B264/Index!B263)</f>
        <v>-1.7900348513604922E-2</v>
      </c>
      <c r="C263" s="28">
        <f>LN(Index!C264/Index!C263)</f>
        <v>9.9333057692306353E-4</v>
      </c>
      <c r="D263" s="28">
        <f>LN(Index!D264/Index!D263)</f>
        <v>-4.0701065703396273E-2</v>
      </c>
      <c r="E263" s="28">
        <f>LN(Index!E264/Index!E263)</f>
        <v>-1.1907470307843991E-2</v>
      </c>
      <c r="F263" s="28">
        <f>LN(Index!F264/Index!F263)</f>
        <v>-6.5704121460003623E-3</v>
      </c>
      <c r="G263" s="28">
        <f>LN(Index!G264/Index!G263)</f>
        <v>-6.3286999101780234E-3</v>
      </c>
      <c r="H263" s="28">
        <f>LN(Index!H264/Index!H263)</f>
        <v>-6.6505656204364294E-3</v>
      </c>
      <c r="I263" s="28">
        <f>LN(Index!I264/Index!I263)</f>
        <v>-8.0105152966067853E-3</v>
      </c>
      <c r="J263" s="28">
        <f>LN(Index!J264/Index!J263)</f>
        <v>-2.9120577595338072E-2</v>
      </c>
      <c r="K263" s="28">
        <f>LN(Index!K264/Index!K263)</f>
        <v>-4.1040541201565486E-2</v>
      </c>
      <c r="L263" s="28">
        <f>LN(Index!L264/Index!L263)</f>
        <v>-2.8577730091005362E-2</v>
      </c>
      <c r="M263" s="28">
        <f>LN(Index!M264/Index!M263)</f>
        <v>-5.9758863741371992E-3</v>
      </c>
      <c r="N263" s="28">
        <f>LN(Index!N264/Index!N263)</f>
        <v>1.0669542038253913E-2</v>
      </c>
    </row>
    <row r="264" spans="1:14">
      <c r="A264" s="15">
        <v>39465</v>
      </c>
      <c r="B264" s="28">
        <f>LN(Index!B265/Index!B264)</f>
        <v>-5.2914944444007128E-2</v>
      </c>
      <c r="C264" s="28">
        <f>LN(Index!C265/Index!C264)</f>
        <v>5.9041022825400491E-3</v>
      </c>
      <c r="D264" s="28">
        <f>LN(Index!D265/Index!D264)</f>
        <v>-2.1175402750069988E-2</v>
      </c>
      <c r="E264" s="28">
        <f>LN(Index!E265/Index!E264)</f>
        <v>-8.3210750333292428E-3</v>
      </c>
      <c r="F264" s="28">
        <f>LN(Index!F265/Index!F264)</f>
        <v>-5.2582281539439737E-2</v>
      </c>
      <c r="G264" s="28">
        <f>LN(Index!G265/Index!G264)</f>
        <v>-7.4042677331251736E-2</v>
      </c>
      <c r="H264" s="28">
        <f>LN(Index!H265/Index!H264)</f>
        <v>-2.6372379952721389E-2</v>
      </c>
      <c r="I264" s="28">
        <f>LN(Index!I265/Index!I264)</f>
        <v>-5.3992531454867279E-2</v>
      </c>
      <c r="J264" s="28">
        <f>LN(Index!J265/Index!J264)</f>
        <v>3.8533483932598422E-3</v>
      </c>
      <c r="K264" s="28">
        <f>LN(Index!K265/Index!K264)</f>
        <v>-9.7210096299093468E-2</v>
      </c>
      <c r="L264" s="28">
        <f>LN(Index!L265/Index!L264)</f>
        <v>-7.3894967340452963E-2</v>
      </c>
      <c r="M264" s="28">
        <f>LN(Index!M265/Index!M264)</f>
        <v>-3.1172028055836385E-2</v>
      </c>
      <c r="N264" s="28">
        <f>LN(Index!N265/Index!N264)</f>
        <v>-3.9704931127228948E-2</v>
      </c>
    </row>
    <row r="265" spans="1:14">
      <c r="A265" s="15">
        <v>39472</v>
      </c>
      <c r="B265" s="28">
        <f>LN(Index!B266/Index!B265)</f>
        <v>8.0646286994414675E-4</v>
      </c>
      <c r="C265" s="28">
        <f>LN(Index!C266/Index!C265)</f>
        <v>1.5145914379852826E-3</v>
      </c>
      <c r="D265" s="28">
        <f>LN(Index!D266/Index!D265)</f>
        <v>4.8932118886115851E-2</v>
      </c>
      <c r="E265" s="28">
        <f>LN(Index!E266/Index!E265)</f>
        <v>-3.6004985088810289E-2</v>
      </c>
      <c r="F265" s="28">
        <f>LN(Index!F266/Index!F265)</f>
        <v>-1.8158586920321861E-2</v>
      </c>
      <c r="G265" s="28">
        <f>LN(Index!G266/Index!G265)</f>
        <v>9.2919185716430781E-3</v>
      </c>
      <c r="H265" s="28">
        <f>LN(Index!H266/Index!H265)</f>
        <v>-3.6732465499902972E-2</v>
      </c>
      <c r="I265" s="28">
        <f>LN(Index!I266/Index!I265)</f>
        <v>-1.3843656668088971E-2</v>
      </c>
      <c r="J265" s="28">
        <f>LN(Index!J266/Index!J265)</f>
        <v>-2.4740125919018668E-2</v>
      </c>
      <c r="K265" s="28">
        <f>LN(Index!K266/Index!K265)</f>
        <v>4.1826804464607289E-3</v>
      </c>
      <c r="L265" s="28">
        <f>LN(Index!L266/Index!L265)</f>
        <v>-1.763217940073906E-3</v>
      </c>
      <c r="M265" s="28">
        <f>LN(Index!M266/Index!M265)</f>
        <v>-1.8825903967194794E-2</v>
      </c>
      <c r="N265" s="28">
        <f>LN(Index!N266/Index!N265)</f>
        <v>-2.5411972040285478E-2</v>
      </c>
    </row>
    <row r="266" spans="1:14">
      <c r="A266" s="15">
        <v>39479</v>
      </c>
      <c r="B266" s="28">
        <f>LN(Index!B267/Index!B266)</f>
        <v>3.3216563321043169E-2</v>
      </c>
      <c r="C266" s="28">
        <f>LN(Index!C267/Index!C266)</f>
        <v>3.9693046125758467E-3</v>
      </c>
      <c r="D266" s="28">
        <f>LN(Index!D267/Index!D266)</f>
        <v>1.6790220001987741E-2</v>
      </c>
      <c r="E266" s="28">
        <f>LN(Index!E267/Index!E266)</f>
        <v>2.0701501033903513E-2</v>
      </c>
      <c r="F266" s="28">
        <f>LN(Index!F267/Index!F266)</f>
        <v>4.9396730435946015E-2</v>
      </c>
      <c r="G266" s="28">
        <f>LN(Index!G267/Index!G266)</f>
        <v>2.2912415506386421E-2</v>
      </c>
      <c r="H266" s="28">
        <f>LN(Index!H267/Index!H266)</f>
        <v>1.7927900634841197E-2</v>
      </c>
      <c r="I266" s="28">
        <f>LN(Index!I267/Index!I266)</f>
        <v>3.0929137989120257E-2</v>
      </c>
      <c r="J266" s="28">
        <f>LN(Index!J267/Index!J266)</f>
        <v>9.5771515886845134E-3</v>
      </c>
      <c r="K266" s="28">
        <f>LN(Index!K267/Index!K266)</f>
        <v>-3.404260926456099E-3</v>
      </c>
      <c r="L266" s="28">
        <f>LN(Index!L267/Index!L266)</f>
        <v>7.7071286000395159E-2</v>
      </c>
      <c r="M266" s="28">
        <f>LN(Index!M267/Index!M266)</f>
        <v>3.48143086042393E-2</v>
      </c>
      <c r="N266" s="28">
        <f>LN(Index!N267/Index!N266)</f>
        <v>4.1781465788287869E-2</v>
      </c>
    </row>
    <row r="267" spans="1:14">
      <c r="A267" s="15">
        <v>39486</v>
      </c>
      <c r="B267" s="28">
        <f>LN(Index!B268/Index!B267)</f>
        <v>-5.0304526511118476E-2</v>
      </c>
      <c r="C267" s="28">
        <f>LN(Index!C268/Index!C267)</f>
        <v>-4.2509154282920208E-3</v>
      </c>
      <c r="D267" s="28">
        <f>LN(Index!D268/Index!D267)</f>
        <v>-6.4179662304795979E-2</v>
      </c>
      <c r="E267" s="28">
        <f>LN(Index!E268/Index!E267)</f>
        <v>-3.2117906535540267E-2</v>
      </c>
      <c r="F267" s="28">
        <f>LN(Index!F268/Index!F267)</f>
        <v>-2.2089904358361594E-2</v>
      </c>
      <c r="G267" s="28">
        <f>LN(Index!G268/Index!G267)</f>
        <v>-3.5007683912401756E-2</v>
      </c>
      <c r="H267" s="28">
        <f>LN(Index!H268/Index!H267)</f>
        <v>-2.0972434621791814E-2</v>
      </c>
      <c r="I267" s="28">
        <f>LN(Index!I268/Index!I267)</f>
        <v>-3.2417471314699374E-2</v>
      </c>
      <c r="J267" s="28">
        <f>LN(Index!J268/Index!J267)</f>
        <v>-3.202287161952929E-2</v>
      </c>
      <c r="K267" s="28">
        <f>LN(Index!K268/Index!K267)</f>
        <v>-7.4148926499188486E-2</v>
      </c>
      <c r="L267" s="28">
        <f>LN(Index!L268/Index!L267)</f>
        <v>-4.0063553392575342E-2</v>
      </c>
      <c r="M267" s="28">
        <f>LN(Index!M268/Index!M267)</f>
        <v>-4.6125223838391335E-2</v>
      </c>
      <c r="N267" s="28">
        <f>LN(Index!N268/Index!N267)</f>
        <v>-1.3289779757651082E-2</v>
      </c>
    </row>
    <row r="268" spans="1:14">
      <c r="A268" s="15">
        <v>39493</v>
      </c>
      <c r="B268" s="28">
        <f>LN(Index!B269/Index!B268)</f>
        <v>1.7463163822590461E-2</v>
      </c>
      <c r="C268" s="28">
        <f>LN(Index!C269/Index!C268)</f>
        <v>-6.7825609739144942E-3</v>
      </c>
      <c r="D268" s="28">
        <f>LN(Index!D269/Index!D268)</f>
        <v>1.5140214823590644E-2</v>
      </c>
      <c r="E268" s="28">
        <f>LN(Index!E269/Index!E268)</f>
        <v>2.8068402418709781E-2</v>
      </c>
      <c r="F268" s="28">
        <f>LN(Index!F269/Index!F268)</f>
        <v>4.078649225452047E-3</v>
      </c>
      <c r="G268" s="28">
        <f>LN(Index!G269/Index!G268)</f>
        <v>1.8343513669954313E-2</v>
      </c>
      <c r="H268" s="28">
        <f>LN(Index!H269/Index!H268)</f>
        <v>5.7863190395184396E-3</v>
      </c>
      <c r="I268" s="28">
        <f>LN(Index!I269/Index!I268)</f>
        <v>1.8952604752232351E-2</v>
      </c>
      <c r="J268" s="28">
        <f>LN(Index!J269/Index!J268)</f>
        <v>1.0052263896990566E-2</v>
      </c>
      <c r="K268" s="28">
        <f>LN(Index!K269/Index!K268)</f>
        <v>5.9683779150414978E-2</v>
      </c>
      <c r="L268" s="28">
        <f>LN(Index!L269/Index!L268)</f>
        <v>2.7799076903362838E-2</v>
      </c>
      <c r="M268" s="28">
        <f>LN(Index!M269/Index!M268)</f>
        <v>2.9103983839917823E-2</v>
      </c>
      <c r="N268" s="28">
        <f>LN(Index!N269/Index!N268)</f>
        <v>1.1830370277715097E-2</v>
      </c>
    </row>
    <row r="269" spans="1:14">
      <c r="A269" s="15">
        <v>39500</v>
      </c>
      <c r="B269" s="28">
        <f>LN(Index!B270/Index!B269)</f>
        <v>6.5295219227819116E-3</v>
      </c>
      <c r="C269" s="28">
        <f>LN(Index!C270/Index!C269)</f>
        <v>1.7353429885650004E-3</v>
      </c>
      <c r="D269" s="28">
        <f>LN(Index!D270/Index!D269)</f>
        <v>-2.1057865039329101E-2</v>
      </c>
      <c r="E269" s="28">
        <f>LN(Index!E270/Index!E269)</f>
        <v>-6.0731088389193106E-3</v>
      </c>
      <c r="F269" s="28">
        <f>LN(Index!F270/Index!F269)</f>
        <v>6.1071286791609738E-3</v>
      </c>
      <c r="G269" s="28">
        <f>LN(Index!G270/Index!G269)</f>
        <v>-1.6250737767989172E-3</v>
      </c>
      <c r="H269" s="28">
        <f>LN(Index!H270/Index!H269)</f>
        <v>-1.5832316912263097E-2</v>
      </c>
      <c r="I269" s="28">
        <f>LN(Index!I270/Index!I269)</f>
        <v>3.0057235976656084E-2</v>
      </c>
      <c r="J269" s="28">
        <f>LN(Index!J270/Index!J269)</f>
        <v>-4.5958131947409454E-3</v>
      </c>
      <c r="K269" s="28">
        <f>LN(Index!K270/Index!K269)</f>
        <v>-9.8318643699384124E-3</v>
      </c>
      <c r="L269" s="28">
        <f>LN(Index!L270/Index!L269)</f>
        <v>2.9696594524934367E-2</v>
      </c>
      <c r="M269" s="28">
        <f>LN(Index!M270/Index!M269)</f>
        <v>-3.4001513467313313E-3</v>
      </c>
      <c r="N269" s="28">
        <f>LN(Index!N270/Index!N269)</f>
        <v>1.8840303331531902E-3</v>
      </c>
    </row>
    <row r="270" spans="1:14">
      <c r="A270" s="15">
        <v>39507</v>
      </c>
      <c r="B270" s="28">
        <f>LN(Index!B271/Index!B270)</f>
        <v>4.5653533084637071E-3</v>
      </c>
      <c r="C270" s="28">
        <f>LN(Index!C271/Index!C270)</f>
        <v>1.6633129625207264E-2</v>
      </c>
      <c r="D270" s="28">
        <f>LN(Index!D271/Index!D270)</f>
        <v>1.8436631559454797E-2</v>
      </c>
      <c r="E270" s="28">
        <f>LN(Index!E271/Index!E270)</f>
        <v>1.7119248617702466E-2</v>
      </c>
      <c r="F270" s="28">
        <f>LN(Index!F271/Index!F270)</f>
        <v>-2.0342517363459295E-2</v>
      </c>
      <c r="G270" s="28">
        <f>LN(Index!G271/Index!G270)</f>
        <v>4.4672879723008921E-3</v>
      </c>
      <c r="H270" s="28">
        <f>LN(Index!H271/Index!H270)</f>
        <v>-1.3033411583624409E-2</v>
      </c>
      <c r="I270" s="28">
        <f>LN(Index!I271/Index!I270)</f>
        <v>-4.3316603702003038E-3</v>
      </c>
      <c r="J270" s="28">
        <f>LN(Index!J271/Index!J270)</f>
        <v>1.4207801413226353E-2</v>
      </c>
      <c r="K270" s="28">
        <f>LN(Index!K271/Index!K270)</f>
        <v>3.548548016730417E-2</v>
      </c>
      <c r="L270" s="28">
        <f>LN(Index!L271/Index!L270)</f>
        <v>-2.9544059200479575E-2</v>
      </c>
      <c r="M270" s="28">
        <f>LN(Index!M271/Index!M270)</f>
        <v>1.8987298751955078E-2</v>
      </c>
      <c r="N270" s="28">
        <f>LN(Index!N271/Index!N270)</f>
        <v>1.119520410149407E-3</v>
      </c>
    </row>
    <row r="271" spans="1:14">
      <c r="A271" s="15">
        <v>39514</v>
      </c>
      <c r="B271" s="28">
        <f>LN(Index!B272/Index!B271)</f>
        <v>-3.0900698086543089E-2</v>
      </c>
      <c r="C271" s="28">
        <f>LN(Index!C272/Index!C271)</f>
        <v>-4.0101178314001472E-3</v>
      </c>
      <c r="D271" s="28">
        <f>LN(Index!D272/Index!D271)</f>
        <v>-5.8474703576622523E-2</v>
      </c>
      <c r="E271" s="28">
        <f>LN(Index!E272/Index!E271)</f>
        <v>-1.8206350529174027E-2</v>
      </c>
      <c r="F271" s="28">
        <f>LN(Index!F272/Index!F271)</f>
        <v>-1.2937903751201189E-2</v>
      </c>
      <c r="G271" s="28">
        <f>LN(Index!G272/Index!G271)</f>
        <v>-9.7800330101280017E-2</v>
      </c>
      <c r="H271" s="28">
        <f>LN(Index!H272/Index!H271)</f>
        <v>-1.2866020516827559E-2</v>
      </c>
      <c r="I271" s="28">
        <f>LN(Index!I272/Index!I271)</f>
        <v>-4.3002751465437979E-2</v>
      </c>
      <c r="J271" s="28">
        <f>LN(Index!J272/Index!J271)</f>
        <v>-2.3433176296301695E-2</v>
      </c>
      <c r="K271" s="28">
        <f>LN(Index!K272/Index!K271)</f>
        <v>-9.8311791289311792E-2</v>
      </c>
      <c r="L271" s="28">
        <f>LN(Index!L272/Index!L271)</f>
        <v>-4.5123519702404087E-2</v>
      </c>
      <c r="M271" s="28">
        <f>LN(Index!M272/Index!M271)</f>
        <v>-4.3121194846544184E-2</v>
      </c>
      <c r="N271" s="28">
        <f>LN(Index!N272/Index!N271)</f>
        <v>-8.9656781690302077E-3</v>
      </c>
    </row>
    <row r="272" spans="1:14">
      <c r="A272" s="15">
        <v>39521</v>
      </c>
      <c r="B272" s="28">
        <f>LN(Index!B273/Index!B272)</f>
        <v>-2.3268527768940507E-3</v>
      </c>
      <c r="C272" s="28">
        <f>LN(Index!C273/Index!C272)</f>
        <v>1.042762316225916E-2</v>
      </c>
      <c r="D272" s="28">
        <f>LN(Index!D273/Index!D272)</f>
        <v>-4.7418570901881117E-3</v>
      </c>
      <c r="E272" s="28">
        <f>LN(Index!E273/Index!E272)</f>
        <v>9.1446085922924775E-3</v>
      </c>
      <c r="F272" s="28">
        <f>LN(Index!F273/Index!F272)</f>
        <v>-2.935157116842091E-3</v>
      </c>
      <c r="G272" s="28">
        <f>LN(Index!G273/Index!G272)</f>
        <v>-8.0277156038676203E-3</v>
      </c>
      <c r="H272" s="28">
        <f>LN(Index!H273/Index!H272)</f>
        <v>1.6346959436732726E-3</v>
      </c>
      <c r="I272" s="28">
        <f>LN(Index!I273/Index!I272)</f>
        <v>-1.0678329458104886E-2</v>
      </c>
      <c r="J272" s="28">
        <f>LN(Index!J273/Index!J272)</f>
        <v>1.2976735001925388E-2</v>
      </c>
      <c r="K272" s="28">
        <f>LN(Index!K273/Index!K272)</f>
        <v>-4.4000174654994215E-2</v>
      </c>
      <c r="L272" s="28">
        <f>LN(Index!L273/Index!L272)</f>
        <v>2.434645926405033E-3</v>
      </c>
      <c r="M272" s="28">
        <f>LN(Index!M273/Index!M272)</f>
        <v>-6.2556546167628095E-3</v>
      </c>
      <c r="N272" s="28">
        <f>LN(Index!N273/Index!N272)</f>
        <v>1.1450721992117911E-2</v>
      </c>
    </row>
    <row r="273" spans="1:14">
      <c r="A273" s="15">
        <v>39528</v>
      </c>
      <c r="B273" s="28">
        <f>LN(Index!B274/Index!B273)</f>
        <v>-7.1759204775937834E-4</v>
      </c>
      <c r="C273" s="28">
        <f>LN(Index!C274/Index!C273)</f>
        <v>4.4162368214709291E-3</v>
      </c>
      <c r="D273" s="28">
        <f>LN(Index!D274/Index!D273)</f>
        <v>1.8724234161842414E-2</v>
      </c>
      <c r="E273" s="28">
        <f>LN(Index!E274/Index!E273)</f>
        <v>-3.9606389631486209E-2</v>
      </c>
      <c r="F273" s="28">
        <f>LN(Index!F274/Index!F273)</f>
        <v>-1.19281105926682E-2</v>
      </c>
      <c r="G273" s="28">
        <f>LN(Index!G274/Index!G273)</f>
        <v>-5.091925286458094E-2</v>
      </c>
      <c r="H273" s="28">
        <f>LN(Index!H274/Index!H273)</f>
        <v>-2.4509431871247753E-2</v>
      </c>
      <c r="I273" s="28">
        <f>LN(Index!I274/Index!I273)</f>
        <v>-4.809355807932323E-2</v>
      </c>
      <c r="J273" s="28">
        <f>LN(Index!J274/Index!J273)</f>
        <v>-1.2628437035947472E-2</v>
      </c>
      <c r="K273" s="28">
        <f>LN(Index!K274/Index!K273)</f>
        <v>-2.5067381647707113E-2</v>
      </c>
      <c r="L273" s="28">
        <f>LN(Index!L274/Index!L273)</f>
        <v>7.0598422080692972E-3</v>
      </c>
      <c r="M273" s="28">
        <f>LN(Index!M274/Index!M273)</f>
        <v>-5.1204255834357074E-2</v>
      </c>
      <c r="N273" s="28">
        <f>LN(Index!N274/Index!N273)</f>
        <v>-3.6855509843795688E-2</v>
      </c>
    </row>
    <row r="274" spans="1:14">
      <c r="A274" s="15">
        <v>39535</v>
      </c>
      <c r="B274" s="28">
        <f>LN(Index!B275/Index!B274)</f>
        <v>2.0151248261360857E-2</v>
      </c>
      <c r="C274" s="28">
        <f>LN(Index!C275/Index!C274)</f>
        <v>-3.4485171081533902E-3</v>
      </c>
      <c r="D274" s="28">
        <f>LN(Index!D275/Index!D274)</f>
        <v>2.9791622864429452E-2</v>
      </c>
      <c r="E274" s="28">
        <f>LN(Index!E275/Index!E274)</f>
        <v>2.350493250596683E-2</v>
      </c>
      <c r="F274" s="28">
        <f>LN(Index!F275/Index!F274)</f>
        <v>7.0046913830684576E-3</v>
      </c>
      <c r="G274" s="28">
        <f>LN(Index!G275/Index!G274)</f>
        <v>8.539316984018816E-2</v>
      </c>
      <c r="H274" s="28">
        <f>LN(Index!H275/Index!H274)</f>
        <v>-3.3019799091135848E-3</v>
      </c>
      <c r="I274" s="28">
        <f>LN(Index!I275/Index!I274)</f>
        <v>6.5647506273519854E-2</v>
      </c>
      <c r="J274" s="28">
        <f>LN(Index!J275/Index!J274)</f>
        <v>1.0558847983829701E-2</v>
      </c>
      <c r="K274" s="28">
        <f>LN(Index!K275/Index!K274)</f>
        <v>9.3103970298562488E-2</v>
      </c>
      <c r="L274" s="28">
        <f>LN(Index!L275/Index!L274)</f>
        <v>1.8780306147136657E-2</v>
      </c>
      <c r="M274" s="28">
        <f>LN(Index!M275/Index!M274)</f>
        <v>5.3325612317600642E-2</v>
      </c>
      <c r="N274" s="28">
        <f>LN(Index!N275/Index!N274)</f>
        <v>1.955728661618902E-2</v>
      </c>
    </row>
    <row r="275" spans="1:14">
      <c r="A275" s="15">
        <v>39542</v>
      </c>
      <c r="B275" s="28">
        <f>LN(Index!B276/Index!B275)</f>
        <v>3.8902654705820085E-2</v>
      </c>
      <c r="C275" s="28">
        <f>LN(Index!C276/Index!C275)</f>
        <v>-6.5503552701474651E-3</v>
      </c>
      <c r="D275" s="28">
        <f>LN(Index!D276/Index!D275)</f>
        <v>5.8855720143933581E-2</v>
      </c>
      <c r="E275" s="28">
        <f>LN(Index!E276/Index!E275)</f>
        <v>2.404898501104516E-2</v>
      </c>
      <c r="F275" s="28">
        <f>LN(Index!F276/Index!F275)</f>
        <v>3.9639705159250985E-2</v>
      </c>
      <c r="G275" s="28">
        <f>LN(Index!G276/Index!G275)</f>
        <v>3.7766505588382904E-2</v>
      </c>
      <c r="H275" s="28">
        <f>LN(Index!H276/Index!H275)</f>
        <v>4.3209180624220814E-2</v>
      </c>
      <c r="I275" s="28">
        <f>LN(Index!I276/Index!I275)</f>
        <v>1.1380680331391233E-2</v>
      </c>
      <c r="J275" s="28">
        <f>LN(Index!J276/Index!J275)</f>
        <v>2.325255918757058E-2</v>
      </c>
      <c r="K275" s="28">
        <f>LN(Index!K276/Index!K275)</f>
        <v>4.5692340097529136E-2</v>
      </c>
      <c r="L275" s="28">
        <f>LN(Index!L276/Index!L275)</f>
        <v>5.418654150652346E-2</v>
      </c>
      <c r="M275" s="28">
        <f>LN(Index!M276/Index!M275)</f>
        <v>3.3295774255385532E-2</v>
      </c>
      <c r="N275" s="28">
        <f>LN(Index!N276/Index!N275)</f>
        <v>2.5409325230104651E-2</v>
      </c>
    </row>
    <row r="276" spans="1:14">
      <c r="A276" s="15">
        <v>39549</v>
      </c>
      <c r="B276" s="28">
        <f>LN(Index!B277/Index!B276)</f>
        <v>-2.1090900568941029E-2</v>
      </c>
      <c r="C276" s="28">
        <f>LN(Index!C277/Index!C276)</f>
        <v>9.3445685858237204E-3</v>
      </c>
      <c r="D276" s="28">
        <f>LN(Index!D277/Index!D276)</f>
        <v>-3.0806189649681546E-2</v>
      </c>
      <c r="E276" s="28">
        <f>LN(Index!E277/Index!E276)</f>
        <v>-1.1593923944793198E-2</v>
      </c>
      <c r="F276" s="28">
        <f>LN(Index!F277/Index!F276)</f>
        <v>-1.8277104791662439E-2</v>
      </c>
      <c r="G276" s="28">
        <f>LN(Index!G277/Index!G276)</f>
        <v>-4.3275451400005729E-2</v>
      </c>
      <c r="H276" s="28">
        <f>LN(Index!H277/Index!H276)</f>
        <v>-1.0310645225196799E-2</v>
      </c>
      <c r="I276" s="28">
        <f>LN(Index!I277/Index!I276)</f>
        <v>-2.8074329323051102E-2</v>
      </c>
      <c r="J276" s="28">
        <f>LN(Index!J277/Index!J276)</f>
        <v>-2.5096270123826168E-2</v>
      </c>
      <c r="K276" s="28">
        <f>LN(Index!K277/Index!K276)</f>
        <v>-2.8849211386789659E-2</v>
      </c>
      <c r="L276" s="28">
        <f>LN(Index!L277/Index!L276)</f>
        <v>-3.6022565025445152E-2</v>
      </c>
      <c r="M276" s="28">
        <f>LN(Index!M277/Index!M276)</f>
        <v>-3.0914614970251681E-2</v>
      </c>
      <c r="N276" s="28">
        <f>LN(Index!N277/Index!N276)</f>
        <v>-1.1163417341537635E-2</v>
      </c>
    </row>
    <row r="277" spans="1:14">
      <c r="A277" s="15">
        <v>39556</v>
      </c>
      <c r="B277" s="28">
        <f>LN(Index!B278/Index!B277)</f>
        <v>2.9091930863302914E-2</v>
      </c>
      <c r="C277" s="28">
        <f>LN(Index!C278/Index!C277)</f>
        <v>-1.4259439835014343E-2</v>
      </c>
      <c r="D277" s="28">
        <f>LN(Index!D278/Index!D277)</f>
        <v>2.2686928727426052E-2</v>
      </c>
      <c r="E277" s="28">
        <f>LN(Index!E278/Index!E277)</f>
        <v>1.4247773406767632E-2</v>
      </c>
      <c r="F277" s="28">
        <f>LN(Index!F278/Index!F277)</f>
        <v>4.285327027553585E-2</v>
      </c>
      <c r="G277" s="28">
        <f>LN(Index!G278/Index!G277)</f>
        <v>-5.0036133571991033E-3</v>
      </c>
      <c r="H277" s="28">
        <f>LN(Index!H278/Index!H277)</f>
        <v>9.4513670207038453E-3</v>
      </c>
      <c r="I277" s="28">
        <f>LN(Index!I278/Index!I277)</f>
        <v>7.0984109704204975E-4</v>
      </c>
      <c r="J277" s="28">
        <f>LN(Index!J278/Index!J277)</f>
        <v>1.8495118165309805E-2</v>
      </c>
      <c r="K277" s="28">
        <f>LN(Index!K278/Index!K277)</f>
        <v>4.3986060291164003E-2</v>
      </c>
      <c r="L277" s="28">
        <f>LN(Index!L278/Index!L277)</f>
        <v>5.3661700135648152E-2</v>
      </c>
      <c r="M277" s="28">
        <f>LN(Index!M278/Index!M277)</f>
        <v>2.0368084233695728E-2</v>
      </c>
      <c r="N277" s="28">
        <f>LN(Index!N278/Index!N277)</f>
        <v>3.8794359789565504E-2</v>
      </c>
    </row>
    <row r="278" spans="1:14">
      <c r="A278" s="15">
        <v>39563</v>
      </c>
      <c r="B278" s="28">
        <f>LN(Index!B279/Index!B278)</f>
        <v>6.5980604247166666E-3</v>
      </c>
      <c r="C278" s="28">
        <f>LN(Index!C279/Index!C278)</f>
        <v>-3.2900523184859927E-3</v>
      </c>
      <c r="D278" s="28">
        <f>LN(Index!D279/Index!D278)</f>
        <v>2.1688260888487514E-2</v>
      </c>
      <c r="E278" s="28">
        <f>LN(Index!E279/Index!E278)</f>
        <v>7.2290017100496767E-3</v>
      </c>
      <c r="F278" s="28">
        <f>LN(Index!F279/Index!F278)</f>
        <v>5.2163215224019701E-3</v>
      </c>
      <c r="G278" s="28">
        <f>LN(Index!G279/Index!G278)</f>
        <v>3.1109553584650139E-2</v>
      </c>
      <c r="H278" s="28">
        <f>LN(Index!H279/Index!H278)</f>
        <v>-4.2635096093088035E-3</v>
      </c>
      <c r="I278" s="28">
        <f>LN(Index!I279/Index!I278)</f>
        <v>1.5596123439272571E-2</v>
      </c>
      <c r="J278" s="28">
        <f>LN(Index!J279/Index!J278)</f>
        <v>2.3539254205102198E-2</v>
      </c>
      <c r="K278" s="28">
        <f>LN(Index!K279/Index!K278)</f>
        <v>5.9864095034090486E-2</v>
      </c>
      <c r="L278" s="28">
        <f>LN(Index!L279/Index!L278)</f>
        <v>3.8596229769659061E-2</v>
      </c>
      <c r="M278" s="28">
        <f>LN(Index!M279/Index!M278)</f>
        <v>5.2476748698793317E-3</v>
      </c>
      <c r="N278" s="28">
        <f>LN(Index!N279/Index!N278)</f>
        <v>-3.6887937325158591E-4</v>
      </c>
    </row>
    <row r="279" spans="1:14">
      <c r="A279" s="15">
        <v>39570</v>
      </c>
      <c r="B279" s="28">
        <f>LN(Index!B280/Index!B279)</f>
        <v>1.0293353624406301E-2</v>
      </c>
      <c r="C279" s="28">
        <f>LN(Index!C280/Index!C279)</f>
        <v>2.3811202510151432E-3</v>
      </c>
      <c r="D279" s="28">
        <f>LN(Index!D280/Index!D279)</f>
        <v>2.3311535542104717E-2</v>
      </c>
      <c r="E279" s="28">
        <f>LN(Index!E280/Index!E279)</f>
        <v>-6.8304825181740719E-3</v>
      </c>
      <c r="F279" s="28">
        <f>LN(Index!F280/Index!F279)</f>
        <v>1.001193977678138E-2</v>
      </c>
      <c r="G279" s="28">
        <f>LN(Index!G280/Index!G279)</f>
        <v>3.1639399096428163E-2</v>
      </c>
      <c r="H279" s="28">
        <f>LN(Index!H280/Index!H279)</f>
        <v>8.6942786921864138E-3</v>
      </c>
      <c r="I279" s="28">
        <f>LN(Index!I280/Index!I279)</f>
        <v>1.284229614818581E-3</v>
      </c>
      <c r="J279" s="28">
        <f>LN(Index!J280/Index!J279)</f>
        <v>-9.5712585021526329E-3</v>
      </c>
      <c r="K279" s="28">
        <f>LN(Index!K280/Index!K279)</f>
        <v>-1.2419974819986444E-2</v>
      </c>
      <c r="L279" s="28">
        <f>LN(Index!L280/Index!L279)</f>
        <v>9.195680989838511E-3</v>
      </c>
      <c r="M279" s="28">
        <f>LN(Index!M280/Index!M279)</f>
        <v>2.0083597410463727E-2</v>
      </c>
      <c r="N279" s="28">
        <f>LN(Index!N280/Index!N279)</f>
        <v>5.2498452403650043E-3</v>
      </c>
    </row>
    <row r="280" spans="1:14">
      <c r="A280" s="15">
        <v>39577</v>
      </c>
      <c r="B280" s="28">
        <f>LN(Index!B281/Index!B280)</f>
        <v>-1.0841532265111319E-2</v>
      </c>
      <c r="C280" s="28">
        <f>LN(Index!C281/Index!C280)</f>
        <v>6.9358798865281693E-3</v>
      </c>
      <c r="D280" s="28">
        <f>LN(Index!D281/Index!D280)</f>
        <v>-3.432228375569607E-2</v>
      </c>
      <c r="E280" s="28">
        <f>LN(Index!E281/Index!E280)</f>
        <v>-1.3370312047264549E-2</v>
      </c>
      <c r="F280" s="28">
        <f>LN(Index!F281/Index!F280)</f>
        <v>1.0436506746781895E-2</v>
      </c>
      <c r="G280" s="28">
        <f>LN(Index!G281/Index!G280)</f>
        <v>-2.9462298651894262E-2</v>
      </c>
      <c r="H280" s="28">
        <f>LN(Index!H281/Index!H280)</f>
        <v>-1.6998946970737148E-2</v>
      </c>
      <c r="I280" s="28">
        <f>LN(Index!I281/Index!I280)</f>
        <v>-3.0523549745965193E-2</v>
      </c>
      <c r="J280" s="28">
        <f>LN(Index!J281/Index!J280)</f>
        <v>-3.8344779737493964E-2</v>
      </c>
      <c r="K280" s="28">
        <f>LN(Index!K281/Index!K280)</f>
        <v>-6.1400955904233022E-2</v>
      </c>
      <c r="L280" s="28">
        <f>LN(Index!L281/Index!L280)</f>
        <v>5.2997396485961711E-3</v>
      </c>
      <c r="M280" s="28">
        <f>LN(Index!M281/Index!M280)</f>
        <v>-1.1537808268283913E-2</v>
      </c>
      <c r="N280" s="28">
        <f>LN(Index!N281/Index!N280)</f>
        <v>2.6773066388067552E-2</v>
      </c>
    </row>
    <row r="281" spans="1:14">
      <c r="A281" s="15">
        <v>39584</v>
      </c>
      <c r="B281" s="28">
        <f>LN(Index!B282/Index!B281)</f>
        <v>2.7317373230855934E-2</v>
      </c>
      <c r="C281" s="28">
        <f>LN(Index!C282/Index!C281)</f>
        <v>-3.7930899965799274E-3</v>
      </c>
      <c r="D281" s="28">
        <f>LN(Index!D282/Index!D281)</f>
        <v>2.566843034256135E-2</v>
      </c>
      <c r="E281" s="28">
        <f>LN(Index!E282/Index!E281)</f>
        <v>1.8999004935409514E-2</v>
      </c>
      <c r="F281" s="28">
        <f>LN(Index!F282/Index!F281)</f>
        <v>2.0057508829923291E-2</v>
      </c>
      <c r="G281" s="28">
        <f>LN(Index!G282/Index!G281)</f>
        <v>1.0970287532834822E-2</v>
      </c>
      <c r="H281" s="28">
        <f>LN(Index!H282/Index!H281)</f>
        <v>1.7897999756651177E-2</v>
      </c>
      <c r="I281" s="28">
        <f>LN(Index!I282/Index!I281)</f>
        <v>1.9630704133956726E-2</v>
      </c>
      <c r="J281" s="28">
        <f>LN(Index!J282/Index!J281)</f>
        <v>1.2927313163138226E-2</v>
      </c>
      <c r="K281" s="28">
        <f>LN(Index!K282/Index!K281)</f>
        <v>1.6392004984343334E-2</v>
      </c>
      <c r="L281" s="28">
        <f>LN(Index!L282/Index!L281)</f>
        <v>3.8093119091017889E-2</v>
      </c>
      <c r="M281" s="28">
        <f>LN(Index!M282/Index!M281)</f>
        <v>1.3934927495217672E-2</v>
      </c>
      <c r="N281" s="28">
        <f>LN(Index!N282/Index!N281)</f>
        <v>1.5271370157542494E-2</v>
      </c>
    </row>
    <row r="282" spans="1:14">
      <c r="A282" s="15">
        <v>39591</v>
      </c>
      <c r="B282" s="28">
        <f>LN(Index!B283/Index!B282)</f>
        <v>-2.4862817546318011E-2</v>
      </c>
      <c r="C282" s="28">
        <f>LN(Index!C283/Index!C282)</f>
        <v>1.672124684177651E-3</v>
      </c>
      <c r="D282" s="28">
        <f>LN(Index!D283/Index!D282)</f>
        <v>-4.1117041297483392E-2</v>
      </c>
      <c r="E282" s="28">
        <f>LN(Index!E283/Index!E282)</f>
        <v>9.5913296779208835E-3</v>
      </c>
      <c r="F282" s="28">
        <f>LN(Index!F283/Index!F282)</f>
        <v>-1.2418988282867291E-2</v>
      </c>
      <c r="G282" s="28">
        <f>LN(Index!G283/Index!G282)</f>
        <v>-1.9354899124832573E-2</v>
      </c>
      <c r="H282" s="28">
        <f>LN(Index!H283/Index!H282)</f>
        <v>1.1253963930327647E-2</v>
      </c>
      <c r="I282" s="28">
        <f>LN(Index!I283/Index!I282)</f>
        <v>-2.7352059591276089E-2</v>
      </c>
      <c r="J282" s="28">
        <f>LN(Index!J283/Index!J282)</f>
        <v>2.3797810251899791E-3</v>
      </c>
      <c r="K282" s="28">
        <f>LN(Index!K283/Index!K282)</f>
        <v>-2.8774879896942895E-2</v>
      </c>
      <c r="L282" s="28">
        <f>LN(Index!L283/Index!L282)</f>
        <v>-4.1150055905284928E-2</v>
      </c>
      <c r="M282" s="28">
        <f>LN(Index!M283/Index!M282)</f>
        <v>2.0496312976252861E-3</v>
      </c>
      <c r="N282" s="28">
        <f>LN(Index!N283/Index!N282)</f>
        <v>-2.3581925197331895E-3</v>
      </c>
    </row>
    <row r="283" spans="1:14">
      <c r="A283" s="15">
        <v>39598</v>
      </c>
      <c r="B283" s="28">
        <f>LN(Index!B284/Index!B283)</f>
        <v>5.4680499289273673E-3</v>
      </c>
      <c r="C283" s="28">
        <f>LN(Index!C284/Index!C283)</f>
        <v>-1.1341482532261899E-2</v>
      </c>
      <c r="D283" s="28">
        <f>LN(Index!D284/Index!D283)</f>
        <v>6.4912241721314448E-3</v>
      </c>
      <c r="E283" s="28">
        <f>LN(Index!E284/Index!E283)</f>
        <v>1.3359404726798113E-2</v>
      </c>
      <c r="F283" s="28">
        <f>LN(Index!F284/Index!F283)</f>
        <v>1.4103377502036137E-2</v>
      </c>
      <c r="G283" s="28">
        <f>LN(Index!G284/Index!G283)</f>
        <v>-4.2610388565334348E-2</v>
      </c>
      <c r="H283" s="28">
        <f>LN(Index!H284/Index!H283)</f>
        <v>1.3410885142247808E-2</v>
      </c>
      <c r="I283" s="28">
        <f>LN(Index!I284/Index!I283)</f>
        <v>-3.0432536988641703E-2</v>
      </c>
      <c r="J283" s="28">
        <f>LN(Index!J284/Index!J283)</f>
        <v>3.936148866747239E-2</v>
      </c>
      <c r="K283" s="28">
        <f>LN(Index!K284/Index!K283)</f>
        <v>4.1885171554767835E-3</v>
      </c>
      <c r="L283" s="28">
        <f>LN(Index!L284/Index!L283)</f>
        <v>3.973507948160801E-2</v>
      </c>
      <c r="M283" s="28">
        <f>LN(Index!M284/Index!M283)</f>
        <v>-1.9248573150535676E-2</v>
      </c>
      <c r="N283" s="28">
        <f>LN(Index!N284/Index!N283)</f>
        <v>9.7777451285896671E-4</v>
      </c>
    </row>
    <row r="284" spans="1:14">
      <c r="A284" s="15">
        <v>39605</v>
      </c>
      <c r="B284" s="28">
        <f>LN(Index!B285/Index!B284)</f>
        <v>-1.935730034505902E-2</v>
      </c>
      <c r="C284" s="28">
        <f>LN(Index!C285/Index!C284)</f>
        <v>4.2856706618481987E-3</v>
      </c>
      <c r="D284" s="28">
        <f>LN(Index!D285/Index!D284)</f>
        <v>-1.7078746032132906E-2</v>
      </c>
      <c r="E284" s="28">
        <f>LN(Index!E285/Index!E284)</f>
        <v>-2.5804687149482131E-2</v>
      </c>
      <c r="F284" s="28">
        <f>LN(Index!F285/Index!F284)</f>
        <v>-2.5269713910826486E-2</v>
      </c>
      <c r="G284" s="28">
        <f>LN(Index!G285/Index!G284)</f>
        <v>-5.7834042078197638E-3</v>
      </c>
      <c r="H284" s="28">
        <f>LN(Index!H285/Index!H284)</f>
        <v>-3.2999734647510139E-2</v>
      </c>
      <c r="I284" s="28">
        <f>LN(Index!I285/Index!I284)</f>
        <v>-2.3193626933705417E-2</v>
      </c>
      <c r="J284" s="28">
        <f>LN(Index!J285/Index!J284)</f>
        <v>-1.6249541709863553E-2</v>
      </c>
      <c r="K284" s="28">
        <f>LN(Index!K285/Index!K284)</f>
        <v>-1.0281045201827108E-2</v>
      </c>
      <c r="L284" s="28">
        <f>LN(Index!L285/Index!L284)</f>
        <v>-6.7591985191192444E-2</v>
      </c>
      <c r="M284" s="28">
        <f>LN(Index!M285/Index!M284)</f>
        <v>-2.2920639551594145E-2</v>
      </c>
      <c r="N284" s="28">
        <f>LN(Index!N285/Index!N284)</f>
        <v>-4.2989959111267538E-3</v>
      </c>
    </row>
    <row r="285" spans="1:14">
      <c r="A285" s="15">
        <v>39612</v>
      </c>
      <c r="B285" s="28">
        <f>LN(Index!B286/Index!B285)</f>
        <v>-2.4713495145628487E-2</v>
      </c>
      <c r="C285" s="28">
        <f>LN(Index!C286/Index!C285)</f>
        <v>-1.8038900346862299E-2</v>
      </c>
      <c r="D285" s="28">
        <f>LN(Index!D286/Index!D285)</f>
        <v>-5.4687300128739152E-2</v>
      </c>
      <c r="E285" s="28">
        <f>LN(Index!E286/Index!E285)</f>
        <v>-4.4628900020609708E-2</v>
      </c>
      <c r="F285" s="28">
        <f>LN(Index!F286/Index!F285)</f>
        <v>7.7706663224826542E-3</v>
      </c>
      <c r="G285" s="28">
        <f>LN(Index!G286/Index!G285)</f>
        <v>-7.0848542336912332E-2</v>
      </c>
      <c r="H285" s="28">
        <f>LN(Index!H286/Index!H285)</f>
        <v>-1.0483960315716511E-2</v>
      </c>
      <c r="I285" s="28">
        <f>LN(Index!I286/Index!I285)</f>
        <v>-7.029586600041865E-2</v>
      </c>
      <c r="J285" s="28">
        <f>LN(Index!J286/Index!J285)</f>
        <v>-1.401297079793064E-2</v>
      </c>
      <c r="K285" s="28">
        <f>LN(Index!K286/Index!K285)</f>
        <v>-7.638424041088536E-2</v>
      </c>
      <c r="L285" s="28">
        <f>LN(Index!L286/Index!L285)</f>
        <v>2.5427985419021554E-2</v>
      </c>
      <c r="M285" s="28">
        <f>LN(Index!M286/Index!M285)</f>
        <v>-6.5742146896089509E-2</v>
      </c>
      <c r="N285" s="28">
        <f>LN(Index!N286/Index!N285)</f>
        <v>-1.1905298093084599E-2</v>
      </c>
    </row>
    <row r="286" spans="1:14">
      <c r="A286" s="15">
        <v>39619</v>
      </c>
      <c r="B286" s="28">
        <f>LN(Index!B287/Index!B286)</f>
        <v>-2.0420099306537199E-2</v>
      </c>
      <c r="C286" s="28">
        <f>LN(Index!C287/Index!C286)</f>
        <v>7.0774724164199042E-3</v>
      </c>
      <c r="D286" s="28">
        <f>LN(Index!D287/Index!D286)</f>
        <v>-1.0152925642286507E-2</v>
      </c>
      <c r="E286" s="28">
        <f>LN(Index!E287/Index!E286)</f>
        <v>-1.2435412409316801E-2</v>
      </c>
      <c r="F286" s="28">
        <f>LN(Index!F287/Index!F286)</f>
        <v>-1.2685709695380309E-3</v>
      </c>
      <c r="G286" s="28">
        <f>LN(Index!G287/Index!G286)</f>
        <v>-5.7225839088788415E-2</v>
      </c>
      <c r="H286" s="28">
        <f>LN(Index!H287/Index!H286)</f>
        <v>-1.6174638809269705E-2</v>
      </c>
      <c r="I286" s="28">
        <f>LN(Index!I287/Index!I286)</f>
        <v>-3.1960960925512844E-2</v>
      </c>
      <c r="J286" s="28">
        <f>LN(Index!J287/Index!J286)</f>
        <v>-1.5192876363062817E-2</v>
      </c>
      <c r="K286" s="28">
        <f>LN(Index!K287/Index!K286)</f>
        <v>4.1225118594014265E-3</v>
      </c>
      <c r="L286" s="28">
        <f>LN(Index!L287/Index!L286)</f>
        <v>6.1968005375663754E-4</v>
      </c>
      <c r="M286" s="28">
        <f>LN(Index!M287/Index!M286)</f>
        <v>-4.4787107638277493E-2</v>
      </c>
      <c r="N286" s="28">
        <f>LN(Index!N287/Index!N286)</f>
        <v>3.2990585660151437E-3</v>
      </c>
    </row>
    <row r="287" spans="1:14">
      <c r="A287" s="15">
        <v>39626</v>
      </c>
      <c r="B287" s="28">
        <f>LN(Index!B288/Index!B287)</f>
        <v>-2.3232764562894585E-2</v>
      </c>
      <c r="C287" s="28">
        <f>LN(Index!C288/Index!C287)</f>
        <v>5.3371161415100591E-3</v>
      </c>
      <c r="D287" s="28">
        <f>LN(Index!D288/Index!D287)</f>
        <v>-4.844732504675911E-2</v>
      </c>
      <c r="E287" s="28">
        <f>LN(Index!E288/Index!E287)</f>
        <v>-3.3923565140415134E-2</v>
      </c>
      <c r="F287" s="28">
        <f>LN(Index!F288/Index!F287)</f>
        <v>-2.1150031159590039E-2</v>
      </c>
      <c r="G287" s="28">
        <f>LN(Index!G288/Index!G287)</f>
        <v>-6.7558582642314388E-2</v>
      </c>
      <c r="H287" s="28">
        <f>LN(Index!H288/Index!H287)</f>
        <v>-3.2876123396661301E-2</v>
      </c>
      <c r="I287" s="28">
        <f>LN(Index!I288/Index!I287)</f>
        <v>-4.3607924248484843E-2</v>
      </c>
      <c r="J287" s="28">
        <f>LN(Index!J288/Index!J287)</f>
        <v>-4.0035762804666135E-2</v>
      </c>
      <c r="K287" s="28">
        <f>LN(Index!K288/Index!K287)</f>
        <v>-3.9131022901785724E-2</v>
      </c>
      <c r="L287" s="28">
        <f>LN(Index!L288/Index!L287)</f>
        <v>-4.8052069118168596E-2</v>
      </c>
      <c r="M287" s="28">
        <f>LN(Index!M288/Index!M287)</f>
        <v>-6.4970132259012728E-2</v>
      </c>
      <c r="N287" s="28">
        <f>LN(Index!N288/Index!N287)</f>
        <v>-5.6654932517803431E-4</v>
      </c>
    </row>
    <row r="288" spans="1:14">
      <c r="A288" s="15">
        <v>39633</v>
      </c>
      <c r="B288" s="28">
        <f>LN(Index!B289/Index!B288)</f>
        <v>-2.2101506219514698E-2</v>
      </c>
      <c r="C288" s="28">
        <f>LN(Index!C289/Index!C288)</f>
        <v>8.104442029954011E-4</v>
      </c>
      <c r="D288" s="28">
        <f>LN(Index!D289/Index!D288)</f>
        <v>-2.3481138256529078E-2</v>
      </c>
      <c r="E288" s="28">
        <f>LN(Index!E289/Index!E288)</f>
        <v>-3.0633406556116155E-2</v>
      </c>
      <c r="F288" s="28">
        <f>LN(Index!F289/Index!F288)</f>
        <v>-2.1147203624357302E-2</v>
      </c>
      <c r="G288" s="28">
        <f>LN(Index!G289/Index!G288)</f>
        <v>1.9949538857318809E-2</v>
      </c>
      <c r="H288" s="28">
        <f>LN(Index!H289/Index!H288)</f>
        <v>-3.3981465525123634E-3</v>
      </c>
      <c r="I288" s="28">
        <f>LN(Index!I289/Index!I288)</f>
        <v>-1.7832895310485403E-2</v>
      </c>
      <c r="J288" s="28">
        <f>LN(Index!J289/Index!J288)</f>
        <v>-5.2751856708888505E-3</v>
      </c>
      <c r="K288" s="28">
        <f>LN(Index!K289/Index!K288)</f>
        <v>-6.8470983839341734E-2</v>
      </c>
      <c r="L288" s="28">
        <f>LN(Index!L289/Index!L288)</f>
        <v>-4.0887509341569428E-2</v>
      </c>
      <c r="M288" s="28">
        <f>LN(Index!M289/Index!M288)</f>
        <v>-3.648537986517883E-2</v>
      </c>
      <c r="N288" s="28">
        <f>LN(Index!N289/Index!N288)</f>
        <v>-1.8082928070410967E-2</v>
      </c>
    </row>
    <row r="289" spans="1:14">
      <c r="A289" s="15">
        <v>39640</v>
      </c>
      <c r="B289" s="28">
        <f>LN(Index!B290/Index!B289)</f>
        <v>-1.5904424077312743E-2</v>
      </c>
      <c r="C289" s="28">
        <f>LN(Index!C290/Index!C289)</f>
        <v>8.3130663415035434E-3</v>
      </c>
      <c r="D289" s="28">
        <f>LN(Index!D290/Index!D289)</f>
        <v>-1.2398201228113057E-2</v>
      </c>
      <c r="E289" s="28">
        <f>LN(Index!E290/Index!E289)</f>
        <v>-2.2619130511845019E-2</v>
      </c>
      <c r="F289" s="28">
        <f>LN(Index!F290/Index!F289)</f>
        <v>-9.4989083398558122E-4</v>
      </c>
      <c r="G289" s="28">
        <f>LN(Index!G290/Index!G289)</f>
        <v>4.1308243632973529E-2</v>
      </c>
      <c r="H289" s="28">
        <f>LN(Index!H290/Index!H289)</f>
        <v>-6.1429914789056807E-4</v>
      </c>
      <c r="I289" s="28">
        <f>LN(Index!I290/Index!I289)</f>
        <v>-1.4296808802441266E-2</v>
      </c>
      <c r="J289" s="28">
        <f>LN(Index!J290/Index!J289)</f>
        <v>-9.8263330298598676E-3</v>
      </c>
      <c r="K289" s="28">
        <f>LN(Index!K290/Index!K289)</f>
        <v>8.6314311041982353E-3</v>
      </c>
      <c r="L289" s="28">
        <f>LN(Index!L290/Index!L289)</f>
        <v>-1.2651791225055269E-3</v>
      </c>
      <c r="M289" s="28">
        <f>LN(Index!M290/Index!M289)</f>
        <v>-1.5563127098610791E-2</v>
      </c>
      <c r="N289" s="28">
        <f>LN(Index!N290/Index!N289)</f>
        <v>-4.2276991429154214E-3</v>
      </c>
    </row>
    <row r="290" spans="1:14">
      <c r="A290" s="15">
        <v>39647</v>
      </c>
      <c r="B290" s="28">
        <f>LN(Index!B291/Index!B290)</f>
        <v>1.2592531954394481E-2</v>
      </c>
      <c r="C290" s="28">
        <f>LN(Index!C291/Index!C290)</f>
        <v>-1.3752085188977041E-2</v>
      </c>
      <c r="D290" s="28">
        <f>LN(Index!D291/Index!D290)</f>
        <v>7.7890812088570825E-3</v>
      </c>
      <c r="E290" s="28">
        <f>LN(Index!E291/Index!E290)</f>
        <v>2.9472059223115629E-2</v>
      </c>
      <c r="F290" s="28">
        <f>LN(Index!F291/Index!F290)</f>
        <v>-2.1072990906984213E-2</v>
      </c>
      <c r="G290" s="28">
        <f>LN(Index!G291/Index!G290)</f>
        <v>-2.8547337896209429E-2</v>
      </c>
      <c r="H290" s="28">
        <f>LN(Index!H291/Index!H290)</f>
        <v>6.236583745216605E-3</v>
      </c>
      <c r="I290" s="28">
        <f>LN(Index!I291/Index!I290)</f>
        <v>5.59738439376166E-3</v>
      </c>
      <c r="J290" s="28">
        <f>LN(Index!J291/Index!J290)</f>
        <v>2.6513735156439233E-2</v>
      </c>
      <c r="K290" s="28">
        <f>LN(Index!K291/Index!K290)</f>
        <v>-1.3814986993015931E-2</v>
      </c>
      <c r="L290" s="28">
        <f>LN(Index!L291/Index!L290)</f>
        <v>-5.0986736315633335E-3</v>
      </c>
      <c r="M290" s="28">
        <f>LN(Index!M291/Index!M290)</f>
        <v>6.5177302399588759E-3</v>
      </c>
      <c r="N290" s="28">
        <f>LN(Index!N291/Index!N290)</f>
        <v>-2.3906463378686186E-2</v>
      </c>
    </row>
    <row r="291" spans="1:14">
      <c r="A291" s="15">
        <v>39654</v>
      </c>
      <c r="B291" s="28">
        <f>LN(Index!B292/Index!B291)</f>
        <v>-1.3440023174614577E-3</v>
      </c>
      <c r="C291" s="28">
        <f>LN(Index!C292/Index!C291)</f>
        <v>-1.5239853386402188E-3</v>
      </c>
      <c r="D291" s="28">
        <f>LN(Index!D292/Index!D291)</f>
        <v>3.1883802312475978E-2</v>
      </c>
      <c r="E291" s="28">
        <f>LN(Index!E292/Index!E291)</f>
        <v>5.3064173719159771E-3</v>
      </c>
      <c r="F291" s="28">
        <f>LN(Index!F292/Index!F291)</f>
        <v>1.4906806006978652E-2</v>
      </c>
      <c r="G291" s="28">
        <f>LN(Index!G292/Index!G291)</f>
        <v>7.9164374778597654E-2</v>
      </c>
      <c r="H291" s="28">
        <f>LN(Index!H292/Index!H291)</f>
        <v>2.6775332755396689E-3</v>
      </c>
      <c r="I291" s="28">
        <f>LN(Index!I292/Index!I291)</f>
        <v>3.8364341695280607E-2</v>
      </c>
      <c r="J291" s="28">
        <f>LN(Index!J292/Index!J291)</f>
        <v>2.1136547475731286E-2</v>
      </c>
      <c r="K291" s="28">
        <f>LN(Index!K292/Index!K291)</f>
        <v>4.4662170395350656E-2</v>
      </c>
      <c r="L291" s="28">
        <f>LN(Index!L292/Index!L291)</f>
        <v>3.8861813299931908E-2</v>
      </c>
      <c r="M291" s="28">
        <f>LN(Index!M292/Index!M291)</f>
        <v>5.3315855984984513E-2</v>
      </c>
      <c r="N291" s="28">
        <f>LN(Index!N292/Index!N291)</f>
        <v>6.6362851826346535E-3</v>
      </c>
    </row>
    <row r="292" spans="1:14">
      <c r="A292" s="15">
        <v>39661</v>
      </c>
      <c r="B292" s="28">
        <f>LN(Index!B293/Index!B292)</f>
        <v>-6.4735166714648259E-3</v>
      </c>
      <c r="C292" s="28">
        <f>LN(Index!C293/Index!C292)</f>
        <v>6.9277811361461751E-3</v>
      </c>
      <c r="D292" s="28">
        <f>LN(Index!D293/Index!D292)</f>
        <v>-7.0814078700899997E-3</v>
      </c>
      <c r="E292" s="28">
        <f>LN(Index!E293/Index!E292)</f>
        <v>-3.4295448968536056E-2</v>
      </c>
      <c r="F292" s="28">
        <f>LN(Index!F293/Index!F292)</f>
        <v>8.9133982080598848E-3</v>
      </c>
      <c r="G292" s="28">
        <f>LN(Index!G293/Index!G292)</f>
        <v>-4.776017681887914E-2</v>
      </c>
      <c r="H292" s="28">
        <f>LN(Index!H293/Index!H292)</f>
        <v>-1.8694102937305335E-2</v>
      </c>
      <c r="I292" s="28">
        <f>LN(Index!I293/Index!I292)</f>
        <v>-1.4238106626370471E-2</v>
      </c>
      <c r="J292" s="28">
        <f>LN(Index!J293/Index!J292)</f>
        <v>-2.0044372147309992E-2</v>
      </c>
      <c r="K292" s="28">
        <f>LN(Index!K293/Index!K292)</f>
        <v>-5.5172459366485481E-2</v>
      </c>
      <c r="L292" s="28">
        <f>LN(Index!L293/Index!L292)</f>
        <v>2.7526127646412E-3</v>
      </c>
      <c r="M292" s="28">
        <f>LN(Index!M293/Index!M292)</f>
        <v>-5.8044637763257093E-2</v>
      </c>
      <c r="N292" s="28">
        <f>LN(Index!N293/Index!N292)</f>
        <v>5.3612807692307576E-3</v>
      </c>
    </row>
    <row r="293" spans="1:14">
      <c r="A293" s="15">
        <v>39668</v>
      </c>
      <c r="B293" s="28">
        <f>LN(Index!B294/Index!B293)</f>
        <v>4.3694298483809325E-3</v>
      </c>
      <c r="C293" s="28">
        <f>LN(Index!C294/Index!C293)</f>
        <v>-1.3746675646026751E-3</v>
      </c>
      <c r="D293" s="28">
        <f>LN(Index!D294/Index!D293)</f>
        <v>-3.8785541689242298E-3</v>
      </c>
      <c r="E293" s="28">
        <f>LN(Index!E294/Index!E293)</f>
        <v>2.374030531526143E-4</v>
      </c>
      <c r="F293" s="28">
        <f>LN(Index!F294/Index!F293)</f>
        <v>4.2110355357289171E-3</v>
      </c>
      <c r="G293" s="28">
        <f>LN(Index!G294/Index!G293)</f>
        <v>-2.8616124747635851E-3</v>
      </c>
      <c r="H293" s="28">
        <f>LN(Index!H294/Index!H293)</f>
        <v>2.1699951832811301E-2</v>
      </c>
      <c r="I293" s="28">
        <f>LN(Index!I294/Index!I293)</f>
        <v>1.6746281542139741E-2</v>
      </c>
      <c r="J293" s="28">
        <f>LN(Index!J294/Index!J293)</f>
        <v>3.0822307996871941E-3</v>
      </c>
      <c r="K293" s="28">
        <f>LN(Index!K294/Index!K293)</f>
        <v>-1.7453914360333028E-2</v>
      </c>
      <c r="L293" s="28">
        <f>LN(Index!L294/Index!L293)</f>
        <v>-6.4820026306880413E-5</v>
      </c>
      <c r="M293" s="28">
        <f>LN(Index!M294/Index!M293)</f>
        <v>3.6512589293441764E-3</v>
      </c>
      <c r="N293" s="28">
        <f>LN(Index!N294/Index!N293)</f>
        <v>-1.9512013112251037E-2</v>
      </c>
    </row>
    <row r="294" spans="1:14">
      <c r="A294" s="15">
        <v>39675</v>
      </c>
      <c r="B294" s="28">
        <f>LN(Index!B295/Index!B294)</f>
        <v>-1.1011704174043862E-2</v>
      </c>
      <c r="C294" s="28">
        <f>LN(Index!C295/Index!C294)</f>
        <v>-3.3210884114873804E-3</v>
      </c>
      <c r="D294" s="28">
        <f>LN(Index!D295/Index!D294)</f>
        <v>-2.0923840273461811E-2</v>
      </c>
      <c r="E294" s="28">
        <f>LN(Index!E295/Index!E294)</f>
        <v>-8.6471474068011336E-3</v>
      </c>
      <c r="F294" s="28">
        <f>LN(Index!F295/Index!F294)</f>
        <v>-4.2459526947725241E-3</v>
      </c>
      <c r="G294" s="28">
        <f>LN(Index!G295/Index!G294)</f>
        <v>-3.8079452549291529E-2</v>
      </c>
      <c r="H294" s="28">
        <f>LN(Index!H295/Index!H294)</f>
        <v>-5.3054213523606175E-3</v>
      </c>
      <c r="I294" s="28">
        <f>LN(Index!I295/Index!I294)</f>
        <v>-4.8286683450838683E-2</v>
      </c>
      <c r="J294" s="28">
        <f>LN(Index!J295/Index!J294)</f>
        <v>-1.5745800518536371E-2</v>
      </c>
      <c r="K294" s="28">
        <f>LN(Index!K295/Index!K294)</f>
        <v>5.4484452229177456E-3</v>
      </c>
      <c r="L294" s="28">
        <f>LN(Index!L295/Index!L294)</f>
        <v>8.5916328104552638E-3</v>
      </c>
      <c r="M294" s="28">
        <f>LN(Index!M295/Index!M294)</f>
        <v>-2.0393707469367927E-2</v>
      </c>
      <c r="N294" s="28">
        <f>LN(Index!N295/Index!N294)</f>
        <v>-8.305796174123508E-3</v>
      </c>
    </row>
    <row r="295" spans="1:14">
      <c r="A295" s="15">
        <v>39682</v>
      </c>
      <c r="B295" s="28">
        <f>LN(Index!B296/Index!B295)</f>
        <v>-4.0515035890015504E-3</v>
      </c>
      <c r="C295" s="28">
        <f>LN(Index!C296/Index!C295)</f>
        <v>1.9092071985158695E-3</v>
      </c>
      <c r="D295" s="28">
        <f>LN(Index!D296/Index!D295)</f>
        <v>-2.3430379454237153E-2</v>
      </c>
      <c r="E295" s="28">
        <f>LN(Index!E296/Index!E295)</f>
        <v>5.964031289377926E-3</v>
      </c>
      <c r="F295" s="28">
        <f>LN(Index!F296/Index!F295)</f>
        <v>4.5439353543866579E-3</v>
      </c>
      <c r="G295" s="28">
        <f>LN(Index!G296/Index!G295)</f>
        <v>-5.9360653512858325E-2</v>
      </c>
      <c r="H295" s="28">
        <f>LN(Index!H296/Index!H295)</f>
        <v>1.704496656111933E-2</v>
      </c>
      <c r="I295" s="28">
        <f>LN(Index!I296/Index!I295)</f>
        <v>1.4235679727769056E-2</v>
      </c>
      <c r="J295" s="28">
        <f>LN(Index!J296/Index!J295)</f>
        <v>1.0302974802176533E-2</v>
      </c>
      <c r="K295" s="28">
        <f>LN(Index!K296/Index!K295)</f>
        <v>-1.3296387198172419E-2</v>
      </c>
      <c r="L295" s="28">
        <f>LN(Index!L296/Index!L295)</f>
        <v>-2.7691816759462817E-2</v>
      </c>
      <c r="M295" s="28">
        <f>LN(Index!M296/Index!M295)</f>
        <v>-5.0716457320756414E-2</v>
      </c>
      <c r="N295" s="28">
        <f>LN(Index!N296/Index!N295)</f>
        <v>1.2332872762248528E-2</v>
      </c>
    </row>
    <row r="296" spans="1:14">
      <c r="A296" s="15">
        <v>39689</v>
      </c>
      <c r="B296" s="28">
        <f>LN(Index!B297/Index!B296)</f>
        <v>5.4652889737926841E-3</v>
      </c>
      <c r="C296" s="28">
        <f>LN(Index!C297/Index!C296)</f>
        <v>4.0889760521682474E-3</v>
      </c>
      <c r="D296" s="28">
        <f>LN(Index!D297/Index!D296)</f>
        <v>2.6269274192661996E-2</v>
      </c>
      <c r="E296" s="28">
        <f>LN(Index!E297/Index!E296)</f>
        <v>-1.0601164256016971E-2</v>
      </c>
      <c r="F296" s="28">
        <f>LN(Index!F297/Index!F296)</f>
        <v>4.6469544071421603E-3</v>
      </c>
      <c r="G296" s="28">
        <f>LN(Index!G297/Index!G296)</f>
        <v>2.1759308086784956E-2</v>
      </c>
      <c r="H296" s="28">
        <f>LN(Index!H297/Index!H296)</f>
        <v>-1.4200311719544403E-2</v>
      </c>
      <c r="I296" s="28">
        <f>LN(Index!I297/Index!I296)</f>
        <v>2.8891596641458767E-2</v>
      </c>
      <c r="J296" s="28">
        <f>LN(Index!J297/Index!J296)</f>
        <v>-3.3330337504177583E-2</v>
      </c>
      <c r="K296" s="28">
        <f>LN(Index!K297/Index!K296)</f>
        <v>3.0673375586619603E-2</v>
      </c>
      <c r="L296" s="28">
        <f>LN(Index!L297/Index!L296)</f>
        <v>6.4689902516067276E-3</v>
      </c>
      <c r="M296" s="28">
        <f>LN(Index!M297/Index!M296)</f>
        <v>6.8934225280735447E-3</v>
      </c>
      <c r="N296" s="28">
        <f>LN(Index!N297/Index!N296)</f>
        <v>1.135162792332331E-2</v>
      </c>
    </row>
    <row r="297" spans="1:14">
      <c r="A297" s="15">
        <v>39696</v>
      </c>
      <c r="B297" s="28">
        <f>LN(Index!B298/Index!B297)</f>
        <v>-5.7958292063074082E-2</v>
      </c>
      <c r="C297" s="28">
        <f>LN(Index!C298/Index!C297)</f>
        <v>3.4064404065831805E-3</v>
      </c>
      <c r="D297" s="28">
        <f>LN(Index!D298/Index!D297)</f>
        <v>-4.5862137521035878E-2</v>
      </c>
      <c r="E297" s="28">
        <f>LN(Index!E298/Index!E297)</f>
        <v>-7.7144690863445067E-2</v>
      </c>
      <c r="F297" s="28">
        <f>LN(Index!F298/Index!F297)</f>
        <v>-5.1365615282155039E-2</v>
      </c>
      <c r="G297" s="28">
        <f>LN(Index!G298/Index!G297)</f>
        <v>-7.5431368242289992E-2</v>
      </c>
      <c r="H297" s="28">
        <f>LN(Index!H298/Index!H297)</f>
        <v>-5.767893042517374E-2</v>
      </c>
      <c r="I297" s="28">
        <f>LN(Index!I298/Index!I297)</f>
        <v>-6.8479866394767414E-2</v>
      </c>
      <c r="J297" s="28">
        <f>LN(Index!J298/Index!J297)</f>
        <v>-8.2724327358743729E-2</v>
      </c>
      <c r="K297" s="28">
        <f>LN(Index!K298/Index!K297)</f>
        <v>-6.7581696274510591E-2</v>
      </c>
      <c r="L297" s="28">
        <f>LN(Index!L298/Index!L297)</f>
        <v>-6.6417764296440432E-2</v>
      </c>
      <c r="M297" s="28">
        <f>LN(Index!M298/Index!M297)</f>
        <v>-6.9742491474050705E-2</v>
      </c>
      <c r="N297" s="28">
        <f>LN(Index!N298/Index!N297)</f>
        <v>-5.7374131821402753E-2</v>
      </c>
    </row>
    <row r="298" spans="1:14">
      <c r="A298" s="15">
        <v>39703</v>
      </c>
      <c r="B298" s="28">
        <f>LN(Index!B299/Index!B298)</f>
        <v>1.0978572578442015E-2</v>
      </c>
      <c r="C298" s="28">
        <f>LN(Index!C299/Index!C298)</f>
        <v>-2.8085961447857567E-3</v>
      </c>
      <c r="D298" s="28">
        <f>LN(Index!D299/Index!D298)</f>
        <v>3.9641554056668221E-2</v>
      </c>
      <c r="E298" s="28">
        <f>LN(Index!E299/Index!E298)</f>
        <v>2.1884884690934317E-2</v>
      </c>
      <c r="F298" s="28">
        <f>LN(Index!F299/Index!F298)</f>
        <v>1.3678704147964309E-2</v>
      </c>
      <c r="G298" s="28">
        <f>LN(Index!G299/Index!G298)</f>
        <v>9.6324118449550959E-3</v>
      </c>
      <c r="H298" s="28">
        <f>LN(Index!H299/Index!H298)</f>
        <v>4.1266531208605989E-2</v>
      </c>
      <c r="I298" s="28">
        <f>LN(Index!I299/Index!I298)</f>
        <v>-3.1623546832923117E-3</v>
      </c>
      <c r="J298" s="28">
        <f>LN(Index!J299/Index!J298)</f>
        <v>2.206972717480973E-2</v>
      </c>
      <c r="K298" s="28">
        <f>LN(Index!K299/Index!K298)</f>
        <v>-5.6804106337991794E-2</v>
      </c>
      <c r="L298" s="28">
        <f>LN(Index!L299/Index!L298)</f>
        <v>-2.6258290055386547E-3</v>
      </c>
      <c r="M298" s="28">
        <f>LN(Index!M299/Index!M298)</f>
        <v>2.0611343160568708E-2</v>
      </c>
      <c r="N298" s="28">
        <f>LN(Index!N299/Index!N298)</f>
        <v>-1.2054286230520155E-4</v>
      </c>
    </row>
    <row r="299" spans="1:14">
      <c r="A299" s="15">
        <v>39710</v>
      </c>
      <c r="B299" s="28">
        <f>LN(Index!B300/Index!B299)</f>
        <v>2.5685145543226729E-3</v>
      </c>
      <c r="C299" s="28">
        <f>LN(Index!C300/Index!C299)</f>
        <v>-1.0389887435572082E-2</v>
      </c>
      <c r="D299" s="28">
        <f>LN(Index!D300/Index!D299)</f>
        <v>-1.3160445969693572E-2</v>
      </c>
      <c r="E299" s="28">
        <f>LN(Index!E300/Index!E299)</f>
        <v>3.0472090557103496E-2</v>
      </c>
      <c r="F299" s="28">
        <f>LN(Index!F300/Index!F299)</f>
        <v>1.4167358028607184E-2</v>
      </c>
      <c r="G299" s="28">
        <f>LN(Index!G300/Index!G299)</f>
        <v>-2.9721413527290144E-2</v>
      </c>
      <c r="H299" s="28">
        <f>LN(Index!H300/Index!H299)</f>
        <v>1.4015297805520565E-2</v>
      </c>
      <c r="I299" s="28">
        <f>LN(Index!I300/Index!I299)</f>
        <v>-5.1169809760376918E-2</v>
      </c>
      <c r="J299" s="28">
        <f>LN(Index!J300/Index!J299)</f>
        <v>4.5747389895569077E-2</v>
      </c>
      <c r="K299" s="28">
        <f>LN(Index!K300/Index!K299)</f>
        <v>9.2947929688535231E-3</v>
      </c>
      <c r="L299" s="28">
        <f>LN(Index!L300/Index!L299)</f>
        <v>1.3856371174537238E-2</v>
      </c>
      <c r="M299" s="28">
        <f>LN(Index!M300/Index!M299)</f>
        <v>3.5320049258958694E-2</v>
      </c>
      <c r="N299" s="28">
        <f>LN(Index!N300/Index!N299)</f>
        <v>1.6241246191523753E-2</v>
      </c>
    </row>
    <row r="300" spans="1:14">
      <c r="A300" s="15">
        <v>39717</v>
      </c>
      <c r="B300" s="28">
        <f>LN(Index!B301/Index!B300)</f>
        <v>-2.8439205971650779E-2</v>
      </c>
      <c r="C300" s="28">
        <f>LN(Index!C301/Index!C300)</f>
        <v>-2.2049157195682522E-3</v>
      </c>
      <c r="D300" s="28">
        <f>LN(Index!D301/Index!D300)</f>
        <v>-4.4071381994116657E-2</v>
      </c>
      <c r="E300" s="28">
        <f>LN(Index!E301/Index!E300)</f>
        <v>-2.5194897390554732E-2</v>
      </c>
      <c r="F300" s="28">
        <f>LN(Index!F301/Index!F300)</f>
        <v>-3.2403969470133173E-2</v>
      </c>
      <c r="G300" s="28">
        <f>LN(Index!G301/Index!G300)</f>
        <v>-7.2508588770074187E-3</v>
      </c>
      <c r="H300" s="28">
        <f>LN(Index!H301/Index!H300)</f>
        <v>-1.1766663991494435E-2</v>
      </c>
      <c r="I300" s="28">
        <f>LN(Index!I301/Index!I300)</f>
        <v>7.5393065228481814E-3</v>
      </c>
      <c r="J300" s="28">
        <f>LN(Index!J301/Index!J300)</f>
        <v>-3.8929012869211556E-2</v>
      </c>
      <c r="K300" s="28">
        <f>LN(Index!K301/Index!K300)</f>
        <v>-2.5732150375141833E-2</v>
      </c>
      <c r="L300" s="28">
        <f>LN(Index!L301/Index!L300)</f>
        <v>-6.7513312641001716E-2</v>
      </c>
      <c r="M300" s="28">
        <f>LN(Index!M301/Index!M300)</f>
        <v>-2.9339581218927598E-2</v>
      </c>
      <c r="N300" s="28">
        <f>LN(Index!N301/Index!N300)</f>
        <v>-1.7269070964484292E-2</v>
      </c>
    </row>
    <row r="301" spans="1:14">
      <c r="A301" s="15">
        <v>39724</v>
      </c>
      <c r="B301" s="28">
        <f>LN(Index!B302/Index!B301)</f>
        <v>-9.3578592860455195E-2</v>
      </c>
      <c r="C301" s="28">
        <f>LN(Index!C302/Index!C301)</f>
        <v>-3.3522373676769888E-3</v>
      </c>
      <c r="D301" s="28">
        <f>LN(Index!D302/Index!D301)</f>
        <v>-0.1281967077415079</v>
      </c>
      <c r="E301" s="28">
        <f>LN(Index!E302/Index!E301)</f>
        <v>-4.6847034966854093E-2</v>
      </c>
      <c r="F301" s="28">
        <f>LN(Index!F302/Index!F301)</f>
        <v>-8.5250038335030226E-2</v>
      </c>
      <c r="G301" s="28">
        <f>LN(Index!G302/Index!G301)</f>
        <v>-3.7447805342206986E-2</v>
      </c>
      <c r="H301" s="28">
        <f>LN(Index!H302/Index!H301)</f>
        <v>-3.3651790083174579E-2</v>
      </c>
      <c r="I301" s="28">
        <f>LN(Index!I302/Index!I301)</f>
        <v>-4.3403265114221497E-2</v>
      </c>
      <c r="J301" s="28">
        <f>LN(Index!J302/Index!J301)</f>
        <v>-4.9301485676769348E-2</v>
      </c>
      <c r="K301" s="28">
        <f>LN(Index!K302/Index!K301)</f>
        <v>-0.12440358078826935</v>
      </c>
      <c r="L301" s="28">
        <f>LN(Index!L302/Index!L301)</f>
        <v>-0.12011479938222638</v>
      </c>
      <c r="M301" s="28">
        <f>LN(Index!M302/Index!M301)</f>
        <v>-5.0030108020264613E-2</v>
      </c>
      <c r="N301" s="28">
        <f>LN(Index!N302/Index!N301)</f>
        <v>-8.0627010926045767E-2</v>
      </c>
    </row>
    <row r="302" spans="1:14">
      <c r="A302" s="15">
        <v>39731</v>
      </c>
      <c r="B302" s="28">
        <f>LN(Index!B303/Index!B302)</f>
        <v>-0.2238090225000377</v>
      </c>
      <c r="C302" s="28">
        <f>LN(Index!C303/Index!C302)</f>
        <v>-1.3377644842717102E-2</v>
      </c>
      <c r="D302" s="28">
        <f>LN(Index!D303/Index!D302)</f>
        <v>-0.1788224280050143</v>
      </c>
      <c r="E302" s="28">
        <f>LN(Index!E303/Index!E302)</f>
        <v>-0.24925104735516362</v>
      </c>
      <c r="F302" s="28">
        <f>LN(Index!F303/Index!F302)</f>
        <v>-0.22886759351243183</v>
      </c>
      <c r="G302" s="28">
        <f>LN(Index!G303/Index!G302)</f>
        <v>-0.29391562018008449</v>
      </c>
      <c r="H302" s="28">
        <f>LN(Index!H303/Index!H302)</f>
        <v>-0.2528628313923495</v>
      </c>
      <c r="I302" s="28">
        <f>LN(Index!I303/Index!I302)</f>
        <v>-0.26921594712828578</v>
      </c>
      <c r="J302" s="28">
        <f>LN(Index!J303/Index!J302)</f>
        <v>-0.23874834885142418</v>
      </c>
      <c r="K302" s="28">
        <f>LN(Index!K303/Index!K302)</f>
        <v>-0.29768155105942212</v>
      </c>
      <c r="L302" s="28">
        <f>LN(Index!L303/Index!L302)</f>
        <v>-0.23146553553301927</v>
      </c>
      <c r="M302" s="28">
        <f>LN(Index!M303/Index!M302)</f>
        <v>-0.23787552694976147</v>
      </c>
      <c r="N302" s="28">
        <f>LN(Index!N303/Index!N302)</f>
        <v>-0.24059556070415192</v>
      </c>
    </row>
    <row r="303" spans="1:14">
      <c r="A303" s="15">
        <v>39738</v>
      </c>
      <c r="B303" s="28">
        <f>LN(Index!B304/Index!B303)</f>
        <v>4.3465011474809669E-2</v>
      </c>
      <c r="C303" s="28">
        <f>LN(Index!C304/Index!C303)</f>
        <v>-1.0298302473637645E-2</v>
      </c>
      <c r="D303" s="28">
        <f>LN(Index!D304/Index!D303)</f>
        <v>-1.673462670725338E-2</v>
      </c>
      <c r="E303" s="28">
        <f>LN(Index!E304/Index!E303)</f>
        <v>0.112513909927939</v>
      </c>
      <c r="F303" s="28">
        <f>LN(Index!F304/Index!F303)</f>
        <v>9.4695234666357542E-2</v>
      </c>
      <c r="G303" s="28">
        <f>LN(Index!G304/Index!G303)</f>
        <v>8.3014075293002199E-2</v>
      </c>
      <c r="H303" s="28">
        <f>LN(Index!H304/Index!H303)</f>
        <v>0.11738011004553213</v>
      </c>
      <c r="I303" s="28">
        <f>LN(Index!I304/Index!I303)</f>
        <v>1.922595549932659E-2</v>
      </c>
      <c r="J303" s="28">
        <f>LN(Index!J304/Index!J303)</f>
        <v>0.16795469642009181</v>
      </c>
      <c r="K303" s="28">
        <f>LN(Index!K304/Index!K303)</f>
        <v>9.6331170188154847E-2</v>
      </c>
      <c r="L303" s="28">
        <f>LN(Index!L304/Index!L303)</f>
        <v>0.13545165895710676</v>
      </c>
      <c r="M303" s="28">
        <f>LN(Index!M304/Index!M303)</f>
        <v>5.9026018784466706E-2</v>
      </c>
      <c r="N303" s="28">
        <f>LN(Index!N304/Index!N303)</f>
        <v>8.6662868247758193E-2</v>
      </c>
    </row>
    <row r="304" spans="1:14">
      <c r="A304" s="15">
        <v>39745</v>
      </c>
      <c r="B304" s="28">
        <f>LN(Index!B305/Index!B304)</f>
        <v>-8.6895687982585679E-2</v>
      </c>
      <c r="C304" s="28">
        <f>LN(Index!C305/Index!C304)</f>
        <v>1.0985923512981674E-2</v>
      </c>
      <c r="D304" s="28">
        <f>LN(Index!D305/Index!D304)</f>
        <v>-0.12570840872656622</v>
      </c>
      <c r="E304" s="28">
        <f>LN(Index!E305/Index!E304)</f>
        <v>-9.8169302005236408E-2</v>
      </c>
      <c r="F304" s="28">
        <f>LN(Index!F305/Index!F304)</f>
        <v>-5.0805211729199211E-2</v>
      </c>
      <c r="G304" s="28">
        <f>LN(Index!G305/Index!G304)</f>
        <v>-0.14879672006067038</v>
      </c>
      <c r="H304" s="28">
        <f>LN(Index!H305/Index!H304)</f>
        <v>-4.8837864599597824E-2</v>
      </c>
      <c r="I304" s="28">
        <f>LN(Index!I305/Index!I304)</f>
        <v>-0.10237821417593319</v>
      </c>
      <c r="J304" s="28">
        <f>LN(Index!J305/Index!J304)</f>
        <v>-0.15540338239343668</v>
      </c>
      <c r="K304" s="28">
        <f>LN(Index!K305/Index!K304)</f>
        <v>-0.28545137706204832</v>
      </c>
      <c r="L304" s="28">
        <f>LN(Index!L305/Index!L304)</f>
        <v>-0.14592245838163537</v>
      </c>
      <c r="M304" s="28">
        <f>LN(Index!M305/Index!M304)</f>
        <v>-9.3219919500160495E-2</v>
      </c>
      <c r="N304" s="28">
        <f>LN(Index!N305/Index!N304)</f>
        <v>-3.1832157710883498E-2</v>
      </c>
    </row>
    <row r="305" spans="1:14">
      <c r="A305" s="15">
        <v>39752</v>
      </c>
      <c r="B305" s="28">
        <f>LN(Index!B306/Index!B305)</f>
        <v>9.3688095728683099E-2</v>
      </c>
      <c r="C305" s="28">
        <f>LN(Index!C306/Index!C305)</f>
        <v>-1.53114434537008E-2</v>
      </c>
      <c r="D305" s="28">
        <f>LN(Index!D306/Index!D305)</f>
        <v>9.6224412316084237E-2</v>
      </c>
      <c r="E305" s="28">
        <f>LN(Index!E306/Index!E305)</f>
        <v>8.0814149175943664E-2</v>
      </c>
      <c r="F305" s="28">
        <f>LN(Index!F306/Index!F305)</f>
        <v>0.11443607941408704</v>
      </c>
      <c r="G305" s="28">
        <f>LN(Index!G306/Index!G305)</f>
        <v>7.3569998995328054E-2</v>
      </c>
      <c r="H305" s="28">
        <f>LN(Index!H306/Index!H305)</f>
        <v>9.1024867687743094E-2</v>
      </c>
      <c r="I305" s="28">
        <f>LN(Index!I306/Index!I305)</f>
        <v>2.8021112286963232E-2</v>
      </c>
      <c r="J305" s="28">
        <f>LN(Index!J306/Index!J305)</f>
        <v>0.15666796222375115</v>
      </c>
      <c r="K305" s="28">
        <f>LN(Index!K306/Index!K305)</f>
        <v>0.10178246037104645</v>
      </c>
      <c r="L305" s="28">
        <f>LN(Index!L306/Index!L305)</f>
        <v>0.12826175872864254</v>
      </c>
      <c r="M305" s="28">
        <f>LN(Index!M306/Index!M305)</f>
        <v>6.1049391202036923E-2</v>
      </c>
      <c r="N305" s="28">
        <f>LN(Index!N306/Index!N305)</f>
        <v>9.4666861280005149E-2</v>
      </c>
    </row>
    <row r="306" spans="1:14">
      <c r="A306" s="15">
        <v>39759</v>
      </c>
      <c r="B306" s="28">
        <f>LN(Index!B307/Index!B306)</f>
        <v>-1.8950966035447533E-2</v>
      </c>
      <c r="C306" s="28">
        <f>LN(Index!C307/Index!C306)</f>
        <v>1.5817809205261144E-2</v>
      </c>
      <c r="D306" s="28">
        <f>LN(Index!D307/Index!D306)</f>
        <v>-1.5165482927773234E-2</v>
      </c>
      <c r="E306" s="28">
        <f>LN(Index!E307/Index!E306)</f>
        <v>4.7361493690281191E-3</v>
      </c>
      <c r="F306" s="28">
        <f>LN(Index!F307/Index!F306)</f>
        <v>-4.2014286477084481E-2</v>
      </c>
      <c r="G306" s="28">
        <f>LN(Index!G307/Index!G306)</f>
        <v>2.4584028584114161E-2</v>
      </c>
      <c r="H306" s="28">
        <f>LN(Index!H307/Index!H306)</f>
        <v>-5.5428506774528839E-3</v>
      </c>
      <c r="I306" s="28">
        <f>LN(Index!I307/Index!I306)</f>
        <v>3.1164367871428497E-2</v>
      </c>
      <c r="J306" s="28">
        <f>LN(Index!J307/Index!J306)</f>
        <v>-1.0580106964025747E-2</v>
      </c>
      <c r="K306" s="28">
        <f>LN(Index!K307/Index!K306)</f>
        <v>-3.5434270482252281E-3</v>
      </c>
      <c r="L306" s="28">
        <f>LN(Index!L307/Index!L306)</f>
        <v>-8.6089061314470125E-2</v>
      </c>
      <c r="M306" s="28">
        <f>LN(Index!M307/Index!M306)</f>
        <v>4.905991557622319E-2</v>
      </c>
      <c r="N306" s="28">
        <f>LN(Index!N307/Index!N306)</f>
        <v>-3.0711894501582324E-2</v>
      </c>
    </row>
    <row r="307" spans="1:14">
      <c r="A307" s="15">
        <v>39766</v>
      </c>
      <c r="B307" s="28">
        <f>LN(Index!B308/Index!B307)</f>
        <v>-6.5851025054692189E-2</v>
      </c>
      <c r="C307" s="28">
        <f>LN(Index!C308/Index!C307)</f>
        <v>4.2937878305471383E-3</v>
      </c>
      <c r="D307" s="28">
        <f>LN(Index!D308/Index!D307)</f>
        <v>-0.13955275923455696</v>
      </c>
      <c r="E307" s="28">
        <f>LN(Index!E308/Index!E307)</f>
        <v>-5.2796394814595263E-2</v>
      </c>
      <c r="F307" s="28">
        <f>LN(Index!F308/Index!F307)</f>
        <v>-6.0988583266024556E-2</v>
      </c>
      <c r="G307" s="28">
        <f>LN(Index!G308/Index!G307)</f>
        <v>-8.7085897126990219E-2</v>
      </c>
      <c r="H307" s="28">
        <f>LN(Index!H308/Index!H307)</f>
        <v>-3.1746965967414463E-2</v>
      </c>
      <c r="I307" s="28">
        <f>LN(Index!I308/Index!I307)</f>
        <v>-7.3822639027794151E-2</v>
      </c>
      <c r="J307" s="28">
        <f>LN(Index!J308/Index!J307)</f>
        <v>-7.2059408594975574E-2</v>
      </c>
      <c r="K307" s="28">
        <f>LN(Index!K308/Index!K307)</f>
        <v>-0.10856110363987</v>
      </c>
      <c r="L307" s="28">
        <f>LN(Index!L308/Index!L307)</f>
        <v>-0.10538482462738953</v>
      </c>
      <c r="M307" s="28">
        <f>LN(Index!M308/Index!M307)</f>
        <v>-6.6324599503975845E-2</v>
      </c>
      <c r="N307" s="28">
        <f>LN(Index!N308/Index!N307)</f>
        <v>-5.1263879803696316E-2</v>
      </c>
    </row>
    <row r="308" spans="1:14">
      <c r="A308" s="15">
        <v>39773</v>
      </c>
      <c r="B308" s="28">
        <f>LN(Index!B309/Index!B308)</f>
        <v>-0.10112176272964868</v>
      </c>
      <c r="C308" s="28">
        <f>LN(Index!C309/Index!C308)</f>
        <v>8.7111375185020962E-3</v>
      </c>
      <c r="D308" s="28">
        <f>LN(Index!D309/Index!D308)</f>
        <v>-0.15610475958925604</v>
      </c>
      <c r="E308" s="28">
        <f>LN(Index!E309/Index!E308)</f>
        <v>-0.11248609943534726</v>
      </c>
      <c r="F308" s="28">
        <f>LN(Index!F309/Index!F308)</f>
        <v>-7.4563278907576969E-2</v>
      </c>
      <c r="G308" s="28">
        <f>LN(Index!G309/Index!G308)</f>
        <v>-0.11678270038758588</v>
      </c>
      <c r="H308" s="28">
        <f>LN(Index!H309/Index!H308)</f>
        <v>-6.4009718102065571E-2</v>
      </c>
      <c r="I308" s="28">
        <f>LN(Index!I309/Index!I308)</f>
        <v>-8.4518564539847879E-2</v>
      </c>
      <c r="J308" s="28">
        <f>LN(Index!J309/Index!J308)</f>
        <v>-9.8387907221121493E-2</v>
      </c>
      <c r="K308" s="28">
        <f>LN(Index!K309/Index!K308)</f>
        <v>-0.15867086399778615</v>
      </c>
      <c r="L308" s="28">
        <f>LN(Index!L309/Index!L308)</f>
        <v>-0.19281145577881331</v>
      </c>
      <c r="M308" s="28">
        <f>LN(Index!M309/Index!M308)</f>
        <v>-0.12755856200044668</v>
      </c>
      <c r="N308" s="28">
        <f>LN(Index!N309/Index!N308)</f>
        <v>-6.2218735649904877E-2</v>
      </c>
    </row>
    <row r="309" spans="1:14">
      <c r="A309" s="15">
        <v>39780</v>
      </c>
      <c r="B309" s="28">
        <f>LN(Index!B310/Index!B309)</f>
        <v>0.11636735380841941</v>
      </c>
      <c r="C309" s="28">
        <f>LN(Index!C310/Index!C309)</f>
        <v>1.2591274544149841E-2</v>
      </c>
      <c r="D309" s="28">
        <f>LN(Index!D310/Index!D309)</f>
        <v>0.16702587286781279</v>
      </c>
      <c r="E309" s="28">
        <f>LN(Index!E310/Index!E309)</f>
        <v>7.5256947250388478E-2</v>
      </c>
      <c r="F309" s="28">
        <f>LN(Index!F310/Index!F309)</f>
        <v>9.432687402650107E-2</v>
      </c>
      <c r="G309" s="28">
        <f>LN(Index!G310/Index!G309)</f>
        <v>6.4419927191946849E-2</v>
      </c>
      <c r="H309" s="28">
        <f>LN(Index!H310/Index!H309)</f>
        <v>6.2248104175011761E-2</v>
      </c>
      <c r="I309" s="28">
        <f>LN(Index!I310/Index!I309)</f>
        <v>0.10384518141085848</v>
      </c>
      <c r="J309" s="28">
        <f>LN(Index!J310/Index!J309)</f>
        <v>5.0238013265831882E-2</v>
      </c>
      <c r="K309" s="28">
        <f>LN(Index!K310/Index!K309)</f>
        <v>0.13909975413824785</v>
      </c>
      <c r="L309" s="28">
        <f>LN(Index!L310/Index!L309)</f>
        <v>0.20795349664252435</v>
      </c>
      <c r="M309" s="28">
        <f>LN(Index!M310/Index!M309)</f>
        <v>7.5490979089058372E-2</v>
      </c>
      <c r="N309" s="28">
        <f>LN(Index!N310/Index!N309)</f>
        <v>6.4677033639445214E-2</v>
      </c>
    </row>
    <row r="310" spans="1:14">
      <c r="A310" s="15">
        <v>39787</v>
      </c>
      <c r="B310" s="28">
        <f>LN(Index!B311/Index!B310)</f>
        <v>-5.1155967655507624E-2</v>
      </c>
      <c r="C310" s="28">
        <f>LN(Index!C311/Index!C310)</f>
        <v>9.4015987526044516E-3</v>
      </c>
      <c r="D310" s="28">
        <f>LN(Index!D311/Index!D310)</f>
        <v>-5.3762680449396825E-2</v>
      </c>
      <c r="E310" s="28">
        <f>LN(Index!E311/Index!E310)</f>
        <v>-8.7046653908256971E-2</v>
      </c>
      <c r="F310" s="28">
        <f>LN(Index!F311/Index!F310)</f>
        <v>-2.8816323602302366E-2</v>
      </c>
      <c r="G310" s="28">
        <f>LN(Index!G311/Index!G310)</f>
        <v>-8.3987944300140699E-2</v>
      </c>
      <c r="H310" s="28">
        <f>LN(Index!H311/Index!H310)</f>
        <v>-7.7943343385819541E-2</v>
      </c>
      <c r="I310" s="28">
        <f>LN(Index!I311/Index!I310)</f>
        <v>-7.3306898744417204E-2</v>
      </c>
      <c r="J310" s="28">
        <f>LN(Index!J311/Index!J310)</f>
        <v>-9.8808104849088224E-2</v>
      </c>
      <c r="K310" s="28">
        <f>LN(Index!K311/Index!K310)</f>
        <v>-7.0779781050420237E-2</v>
      </c>
      <c r="L310" s="28">
        <f>LN(Index!L311/Index!L310)</f>
        <v>7.0373945123744105E-2</v>
      </c>
      <c r="M310" s="28">
        <f>LN(Index!M311/Index!M310)</f>
        <v>-7.2323873540019873E-2</v>
      </c>
      <c r="N310" s="28">
        <f>LN(Index!N311/Index!N310)</f>
        <v>-6.5490507107839546E-2</v>
      </c>
    </row>
    <row r="311" spans="1:14">
      <c r="A311" s="15">
        <v>39794</v>
      </c>
      <c r="B311" s="28">
        <f>LN(Index!B312/Index!B311)</f>
        <v>4.265341404273313E-2</v>
      </c>
      <c r="C311" s="28">
        <f>LN(Index!C312/Index!C311)</f>
        <v>1.1801594800091559E-2</v>
      </c>
      <c r="D311" s="28">
        <f>LN(Index!D312/Index!D311)</f>
        <v>5.7994944831283327E-2</v>
      </c>
      <c r="E311" s="28">
        <f>LN(Index!E312/Index!E311)</f>
        <v>8.4572699148774369E-2</v>
      </c>
      <c r="F311" s="28">
        <f>LN(Index!F312/Index!F311)</f>
        <v>7.9755984224914572E-3</v>
      </c>
      <c r="G311" s="28">
        <f>LN(Index!G312/Index!G311)</f>
        <v>7.1947024989551189E-2</v>
      </c>
      <c r="H311" s="28">
        <f>LN(Index!H312/Index!H311)</f>
        <v>4.7725774583194339E-2</v>
      </c>
      <c r="I311" s="28">
        <f>LN(Index!I312/Index!I311)</f>
        <v>0.1011727641085737</v>
      </c>
      <c r="J311" s="28">
        <f>LN(Index!J312/Index!J311)</f>
        <v>4.7448032035073799E-2</v>
      </c>
      <c r="K311" s="28">
        <f>LN(Index!K312/Index!K311)</f>
        <v>9.4234163731699835E-2</v>
      </c>
      <c r="L311" s="28">
        <f>LN(Index!L312/Index!L311)</f>
        <v>-2.0916093835394809E-2</v>
      </c>
      <c r="M311" s="28">
        <f>LN(Index!M312/Index!M311)</f>
        <v>8.114310398868102E-2</v>
      </c>
      <c r="N311" s="28">
        <f>LN(Index!N312/Index!N311)</f>
        <v>4.0990790678555905E-2</v>
      </c>
    </row>
    <row r="312" spans="1:14">
      <c r="A312" s="15">
        <v>39801</v>
      </c>
      <c r="B312" s="28">
        <f>LN(Index!B313/Index!B312)</f>
        <v>2.4048606625181292E-2</v>
      </c>
      <c r="C312" s="28">
        <f>LN(Index!C313/Index!C312)</f>
        <v>2.4844093314738806E-2</v>
      </c>
      <c r="D312" s="28">
        <f>LN(Index!D313/Index!D312)</f>
        <v>7.899623466741483E-2</v>
      </c>
      <c r="E312" s="28">
        <f>LN(Index!E313/Index!E312)</f>
        <v>4.9724908191029628E-2</v>
      </c>
      <c r="F312" s="28">
        <f>LN(Index!F313/Index!F312)</f>
        <v>6.344422971555839E-3</v>
      </c>
      <c r="G312" s="28">
        <f>LN(Index!G313/Index!G312)</f>
        <v>6.76995506389656E-2</v>
      </c>
      <c r="H312" s="28">
        <f>LN(Index!H313/Index!H312)</f>
        <v>1.4278244500614518E-2</v>
      </c>
      <c r="I312" s="28">
        <f>LN(Index!I313/Index!I312)</f>
        <v>5.7238821909139939E-2</v>
      </c>
      <c r="J312" s="28">
        <f>LN(Index!J313/Index!J312)</f>
        <v>1.7188587847419529E-2</v>
      </c>
      <c r="K312" s="28">
        <f>LN(Index!K313/Index!K312)</f>
        <v>3.7912784606244018E-2</v>
      </c>
      <c r="L312" s="28">
        <f>LN(Index!L313/Index!L312)</f>
        <v>6.4762258553977575E-2</v>
      </c>
      <c r="M312" s="28">
        <f>LN(Index!M313/Index!M312)</f>
        <v>8.3415657757821796E-2</v>
      </c>
      <c r="N312" s="28">
        <f>LN(Index!N313/Index!N312)</f>
        <v>1.0958373387950806E-2</v>
      </c>
    </row>
    <row r="313" spans="1:14">
      <c r="A313" s="15">
        <v>39808</v>
      </c>
      <c r="B313" s="28">
        <f>LN(Index!B314/Index!B313)</f>
        <v>-1.4997448301919559E-2</v>
      </c>
      <c r="C313" s="28">
        <f>LN(Index!C314/Index!C313)</f>
        <v>1.3454877740408206E-3</v>
      </c>
      <c r="D313" s="28">
        <f>LN(Index!D314/Index!D313)</f>
        <v>-2.330389521843455E-2</v>
      </c>
      <c r="E313" s="28">
        <f>LN(Index!E314/Index!E313)</f>
        <v>-1.6436410774970978E-2</v>
      </c>
      <c r="F313" s="28">
        <f>LN(Index!F314/Index!F313)</f>
        <v>-1.3343475488784434E-2</v>
      </c>
      <c r="G313" s="28">
        <f>LN(Index!G314/Index!G313)</f>
        <v>-2.9889566255269541E-2</v>
      </c>
      <c r="H313" s="28">
        <f>LN(Index!H314/Index!H313)</f>
        <v>-8.549573070424631E-3</v>
      </c>
      <c r="I313" s="28">
        <f>LN(Index!I314/Index!I313)</f>
        <v>-1.0400522584631627E-2</v>
      </c>
      <c r="J313" s="28">
        <f>LN(Index!J314/Index!J313)</f>
        <v>-4.3539265179762254E-3</v>
      </c>
      <c r="K313" s="28">
        <f>LN(Index!K314/Index!K313)</f>
        <v>-1.8318556902149116E-2</v>
      </c>
      <c r="L313" s="28">
        <f>LN(Index!L314/Index!L313)</f>
        <v>-3.355573142444486E-2</v>
      </c>
      <c r="M313" s="28">
        <f>LN(Index!M314/Index!M313)</f>
        <v>-4.5509267101944799E-2</v>
      </c>
      <c r="N313" s="28">
        <f>LN(Index!N314/Index!N313)</f>
        <v>-9.556105352651138E-3</v>
      </c>
    </row>
    <row r="314" spans="1:14">
      <c r="A314" s="15">
        <v>39815</v>
      </c>
      <c r="B314" s="28">
        <f>LN(Index!B315/Index!B314)</f>
        <v>5.7154061018932056E-2</v>
      </c>
      <c r="C314" s="28">
        <f>LN(Index!C315/Index!C314)</f>
        <v>-4.582063877455491E-3</v>
      </c>
      <c r="D314" s="28">
        <f>LN(Index!D315/Index!D314)</f>
        <v>1.9202597085574875E-2</v>
      </c>
      <c r="E314" s="28">
        <f>LN(Index!E315/Index!E314)</f>
        <v>2.3125326351162677E-2</v>
      </c>
      <c r="F314" s="28">
        <f>LN(Index!F315/Index!F314)</f>
        <v>5.3748879347525723E-2</v>
      </c>
      <c r="G314" s="28">
        <f>LN(Index!G315/Index!G314)</f>
        <v>5.4719313135370769E-2</v>
      </c>
      <c r="H314" s="28">
        <f>LN(Index!H315/Index!H314)</f>
        <v>2.7780733480256583E-2</v>
      </c>
      <c r="I314" s="28">
        <f>LN(Index!I315/Index!I314)</f>
        <v>5.104180262505801E-2</v>
      </c>
      <c r="J314" s="28">
        <f>LN(Index!J315/Index!J314)</f>
        <v>3.8096274288956435E-2</v>
      </c>
      <c r="K314" s="28">
        <f>LN(Index!K315/Index!K314)</f>
        <v>6.729610103184272E-2</v>
      </c>
      <c r="L314" s="28">
        <f>LN(Index!L315/Index!L314)</f>
        <v>5.8584582669844086E-2</v>
      </c>
      <c r="M314" s="28">
        <f>LN(Index!M315/Index!M314)</f>
        <v>3.9522484423869499E-2</v>
      </c>
      <c r="N314" s="28">
        <f>LN(Index!N315/Index!N314)</f>
        <v>4.7932853123660489E-2</v>
      </c>
    </row>
    <row r="315" spans="1:14">
      <c r="A315" s="15">
        <v>39822</v>
      </c>
      <c r="B315" s="28">
        <f>LN(Index!B316/Index!B315)</f>
        <v>-2.4982568680046925E-2</v>
      </c>
      <c r="C315" s="28">
        <f>LN(Index!C316/Index!C315)</f>
        <v>5.086155431154143E-3</v>
      </c>
      <c r="D315" s="28">
        <f>LN(Index!D316/Index!D315)</f>
        <v>-1.1535262003243521E-2</v>
      </c>
      <c r="E315" s="28">
        <f>LN(Index!E316/Index!E315)</f>
        <v>-6.6671434325600932E-3</v>
      </c>
      <c r="F315" s="28">
        <f>LN(Index!F316/Index!F315)</f>
        <v>-1.4267250041083205E-2</v>
      </c>
      <c r="G315" s="28">
        <f>LN(Index!G316/Index!G315)</f>
        <v>9.542905994302367E-3</v>
      </c>
      <c r="H315" s="28">
        <f>LN(Index!H316/Index!H315)</f>
        <v>3.53615949666398E-3</v>
      </c>
      <c r="I315" s="28">
        <f>LN(Index!I316/Index!I315)</f>
        <v>-1.6167709534297442E-2</v>
      </c>
      <c r="J315" s="28">
        <f>LN(Index!J316/Index!J315)</f>
        <v>2.4742028116271166E-3</v>
      </c>
      <c r="K315" s="28">
        <f>LN(Index!K316/Index!K315)</f>
        <v>-4.3916584644852721E-2</v>
      </c>
      <c r="L315" s="28">
        <f>LN(Index!L316/Index!L315)</f>
        <v>-2.2945663384213801E-2</v>
      </c>
      <c r="M315" s="28">
        <f>LN(Index!M316/Index!M315)</f>
        <v>-2.3536996066892316E-2</v>
      </c>
      <c r="N315" s="28">
        <f>LN(Index!N316/Index!N315)</f>
        <v>-1.7523347634083111E-2</v>
      </c>
    </row>
    <row r="316" spans="1:14">
      <c r="A316" s="15">
        <v>39829</v>
      </c>
      <c r="B316" s="28">
        <f>LN(Index!B317/Index!B316)</f>
        <v>-6.3539702953175597E-2</v>
      </c>
      <c r="C316" s="28">
        <f>LN(Index!C317/Index!C316)</f>
        <v>-1.815920060498379E-3</v>
      </c>
      <c r="D316" s="28">
        <f>LN(Index!D317/Index!D316)</f>
        <v>-9.1353982238257234E-2</v>
      </c>
      <c r="E316" s="28">
        <f>LN(Index!E317/Index!E316)</f>
        <v>-6.8000798083088607E-2</v>
      </c>
      <c r="F316" s="28">
        <f>LN(Index!F317/Index!F316)</f>
        <v>-1.5966053215655116E-2</v>
      </c>
      <c r="G316" s="28">
        <f>LN(Index!G317/Index!G316)</f>
        <v>-5.4074822889957505E-2</v>
      </c>
      <c r="H316" s="28">
        <f>LN(Index!H317/Index!H316)</f>
        <v>-4.5098161427691449E-2</v>
      </c>
      <c r="I316" s="28">
        <f>LN(Index!I317/Index!I316)</f>
        <v>-9.0336535302195806E-2</v>
      </c>
      <c r="J316" s="28">
        <f>LN(Index!J317/Index!J316)</f>
        <v>-4.2464145356483504E-2</v>
      </c>
      <c r="K316" s="28">
        <f>LN(Index!K317/Index!K316)</f>
        <v>-0.14508259826266098</v>
      </c>
      <c r="L316" s="28">
        <f>LN(Index!L317/Index!L316)</f>
        <v>-4.5664971568996782E-3</v>
      </c>
      <c r="M316" s="28">
        <f>LN(Index!M317/Index!M316)</f>
        <v>-8.486358952617222E-2</v>
      </c>
      <c r="N316" s="28">
        <f>LN(Index!N317/Index!N316)</f>
        <v>-2.4092651984012104E-2</v>
      </c>
    </row>
    <row r="317" spans="1:14">
      <c r="A317" s="15">
        <v>39836</v>
      </c>
      <c r="B317" s="28">
        <f>LN(Index!B318/Index!B317)</f>
        <v>-4.7844698093353656E-2</v>
      </c>
      <c r="C317" s="28">
        <f>LN(Index!C318/Index!C317)</f>
        <v>-1.3964435166938101E-2</v>
      </c>
      <c r="D317" s="28">
        <f>LN(Index!D318/Index!D317)</f>
        <v>-4.2522769113804822E-2</v>
      </c>
      <c r="E317" s="28">
        <f>LN(Index!E318/Index!E317)</f>
        <v>-7.5443011893084916E-2</v>
      </c>
      <c r="F317" s="28">
        <f>LN(Index!F318/Index!F317)</f>
        <v>-5.716612755196783E-3</v>
      </c>
      <c r="G317" s="28">
        <f>LN(Index!G318/Index!G317)</f>
        <v>-4.2459514854736542E-2</v>
      </c>
      <c r="H317" s="28">
        <f>LN(Index!H318/Index!H317)</f>
        <v>-3.8788062439869639E-2</v>
      </c>
      <c r="I317" s="28">
        <f>LN(Index!I318/Index!I317)</f>
        <v>-9.5346187942167968E-2</v>
      </c>
      <c r="J317" s="28">
        <f>LN(Index!J318/Index!J317)</f>
        <v>-5.93028204346829E-2</v>
      </c>
      <c r="K317" s="28">
        <f>LN(Index!K318/Index!K317)</f>
        <v>-0.12043089132355761</v>
      </c>
      <c r="L317" s="28">
        <f>LN(Index!L318/Index!L317)</f>
        <v>8.1387894041051144E-3</v>
      </c>
      <c r="M317" s="28">
        <f>LN(Index!M318/Index!M317)</f>
        <v>-6.8822518151502629E-2</v>
      </c>
      <c r="N317" s="28">
        <f>LN(Index!N318/Index!N317)</f>
        <v>-2.2313854752745371E-2</v>
      </c>
    </row>
    <row r="318" spans="1:14">
      <c r="A318" s="15">
        <v>39843</v>
      </c>
      <c r="B318" s="28">
        <f>LN(Index!B319/Index!B318)</f>
        <v>1.6164177418434025E-2</v>
      </c>
      <c r="C318" s="28">
        <f>LN(Index!C319/Index!C318)</f>
        <v>-4.0966817451283709E-4</v>
      </c>
      <c r="D318" s="28">
        <f>LN(Index!D319/Index!D318)</f>
        <v>1.2303791377246059E-2</v>
      </c>
      <c r="E318" s="28">
        <f>LN(Index!E319/Index!E318)</f>
        <v>2.7793506022817233E-2</v>
      </c>
      <c r="F318" s="28">
        <f>LN(Index!F319/Index!F318)</f>
        <v>1.5106228487789837E-2</v>
      </c>
      <c r="G318" s="28">
        <f>LN(Index!G319/Index!G318)</f>
        <v>2.8901927829440583E-2</v>
      </c>
      <c r="H318" s="28">
        <f>LN(Index!H319/Index!H318)</f>
        <v>3.1825546345762207E-2</v>
      </c>
      <c r="I318" s="28">
        <f>LN(Index!I319/Index!I318)</f>
        <v>5.1818884518555632E-2</v>
      </c>
      <c r="J318" s="28">
        <f>LN(Index!J319/Index!J318)</f>
        <v>5.7127192116845629E-3</v>
      </c>
      <c r="K318" s="28">
        <f>LN(Index!K319/Index!K318)</f>
        <v>5.2970999236779698E-2</v>
      </c>
      <c r="L318" s="28">
        <f>LN(Index!L319/Index!L318)</f>
        <v>1.4660116900521139E-2</v>
      </c>
      <c r="M318" s="28">
        <f>LN(Index!M319/Index!M318)</f>
        <v>2.5576430343125137E-2</v>
      </c>
      <c r="N318" s="28">
        <f>LN(Index!N319/Index!N318)</f>
        <v>1.1756555769000074E-2</v>
      </c>
    </row>
    <row r="319" spans="1:14">
      <c r="A319" s="15">
        <v>39850</v>
      </c>
      <c r="B319" s="28">
        <f>LN(Index!B320/Index!B319)</f>
        <v>3.7335361060283144E-2</v>
      </c>
      <c r="C319" s="28">
        <f>LN(Index!C320/Index!C319)</f>
        <v>-3.3176601615109722E-3</v>
      </c>
      <c r="D319" s="28">
        <f>LN(Index!D320/Index!D319)</f>
        <v>-1.507096343464636E-2</v>
      </c>
      <c r="E319" s="28">
        <f>LN(Index!E320/Index!E319)</f>
        <v>3.4283169123284475E-2</v>
      </c>
      <c r="F319" s="28">
        <f>LN(Index!F320/Index!F319)</f>
        <v>3.4993155271707807E-2</v>
      </c>
      <c r="G319" s="28">
        <f>LN(Index!G320/Index!G319)</f>
        <v>-1.7619304837991342E-2</v>
      </c>
      <c r="H319" s="28">
        <f>LN(Index!H320/Index!H319)</f>
        <v>3.4604343413989096E-2</v>
      </c>
      <c r="I319" s="28">
        <f>LN(Index!I320/Index!I319)</f>
        <v>4.1897882467471495E-3</v>
      </c>
      <c r="J319" s="28">
        <f>LN(Index!J320/Index!J319)</f>
        <v>3.9767261774566118E-2</v>
      </c>
      <c r="K319" s="28">
        <f>LN(Index!K320/Index!K319)</f>
        <v>7.8901309450287692E-3</v>
      </c>
      <c r="L319" s="28">
        <f>LN(Index!L320/Index!L319)</f>
        <v>8.9009257533225264E-3</v>
      </c>
      <c r="M319" s="28">
        <f>LN(Index!M320/Index!M319)</f>
        <v>1.1484231497822352E-2</v>
      </c>
      <c r="N319" s="28">
        <f>LN(Index!N320/Index!N319)</f>
        <v>3.1235799394151362E-2</v>
      </c>
    </row>
    <row r="320" spans="1:14">
      <c r="A320" s="15">
        <v>39857</v>
      </c>
      <c r="B320" s="28">
        <f>LN(Index!B321/Index!B320)</f>
        <v>-3.9495459760993092E-2</v>
      </c>
      <c r="C320" s="28">
        <f>LN(Index!C321/Index!C320)</f>
        <v>5.8753371402376874E-3</v>
      </c>
      <c r="D320" s="28">
        <f>LN(Index!D321/Index!D320)</f>
        <v>-6.4435075664326616E-2</v>
      </c>
      <c r="E320" s="28">
        <f>LN(Index!E321/Index!E320)</f>
        <v>-2.6013554794450715E-2</v>
      </c>
      <c r="F320" s="28">
        <f>LN(Index!F321/Index!F320)</f>
        <v>-4.2770651784701422E-2</v>
      </c>
      <c r="G320" s="28">
        <f>LN(Index!G321/Index!G320)</f>
        <v>1.3762343945659384E-2</v>
      </c>
      <c r="H320" s="28">
        <f>LN(Index!H321/Index!H320)</f>
        <v>-3.9708568566882145E-2</v>
      </c>
      <c r="I320" s="28">
        <f>LN(Index!I321/Index!I320)</f>
        <v>-5.9213193045347806E-3</v>
      </c>
      <c r="J320" s="28">
        <f>LN(Index!J321/Index!J320)</f>
        <v>-2.5122208085497737E-2</v>
      </c>
      <c r="K320" s="28">
        <f>LN(Index!K321/Index!K320)</f>
        <v>2.2540538553672707E-2</v>
      </c>
      <c r="L320" s="28">
        <f>LN(Index!L321/Index!L320)</f>
        <v>-3.1860439322814481E-2</v>
      </c>
      <c r="M320" s="28">
        <f>LN(Index!M321/Index!M320)</f>
        <v>3.6330519095597795E-3</v>
      </c>
      <c r="N320" s="28">
        <f>LN(Index!N321/Index!N320)</f>
        <v>-3.5146273390507604E-2</v>
      </c>
    </row>
    <row r="321" spans="1:14">
      <c r="A321" s="15">
        <v>39864</v>
      </c>
      <c r="B321" s="28">
        <f>LN(Index!B322/Index!B321)</f>
        <v>-7.9775923673419388E-2</v>
      </c>
      <c r="C321" s="28">
        <f>LN(Index!C322/Index!C321)</f>
        <v>-5.3958193888929635E-3</v>
      </c>
      <c r="D321" s="28">
        <f>LN(Index!D322/Index!D321)</f>
        <v>-8.7022124073140084E-2</v>
      </c>
      <c r="E321" s="28">
        <f>LN(Index!E322/Index!E321)</f>
        <v>-5.2602788501389851E-2</v>
      </c>
      <c r="F321" s="28">
        <f>LN(Index!F322/Index!F321)</f>
        <v>-7.7612237582753527E-2</v>
      </c>
      <c r="G321" s="28">
        <f>LN(Index!G322/Index!G321)</f>
        <v>-7.2756907528084697E-2</v>
      </c>
      <c r="H321" s="28">
        <f>LN(Index!H322/Index!H321)</f>
        <v>-4.4215537133696983E-2</v>
      </c>
      <c r="I321" s="28">
        <f>LN(Index!I322/Index!I321)</f>
        <v>-0.11759981694838463</v>
      </c>
      <c r="J321" s="28">
        <f>LN(Index!J322/Index!J321)</f>
        <v>-5.8849548445567168E-2</v>
      </c>
      <c r="K321" s="28">
        <f>LN(Index!K322/Index!K321)</f>
        <v>-8.9575459421833273E-2</v>
      </c>
      <c r="L321" s="28">
        <f>LN(Index!L322/Index!L321)</f>
        <v>-7.3145906297551369E-2</v>
      </c>
      <c r="M321" s="28">
        <f>LN(Index!M322/Index!M321)</f>
        <v>-9.625065732601891E-2</v>
      </c>
      <c r="N321" s="28">
        <f>LN(Index!N322/Index!N321)</f>
        <v>-6.5380031942717062E-2</v>
      </c>
    </row>
    <row r="322" spans="1:14">
      <c r="A322" s="15">
        <v>39871</v>
      </c>
      <c r="B322" s="28">
        <f>LN(Index!B323/Index!B322)</f>
        <v>-2.8852825116251278E-2</v>
      </c>
      <c r="C322" s="28">
        <f>LN(Index!C323/Index!C322)</f>
        <v>-1.1780240942822836E-2</v>
      </c>
      <c r="D322" s="28">
        <f>LN(Index!D323/Index!D322)</f>
        <v>-3.2372920657872242E-2</v>
      </c>
      <c r="E322" s="28">
        <f>LN(Index!E323/Index!E322)</f>
        <v>-1.3394019018275466E-2</v>
      </c>
      <c r="F322" s="28">
        <f>LN(Index!F323/Index!F322)</f>
        <v>-1.2617481994175469E-2</v>
      </c>
      <c r="G322" s="28">
        <f>LN(Index!G323/Index!G322)</f>
        <v>-4.3739900146097084E-2</v>
      </c>
      <c r="H322" s="28">
        <f>LN(Index!H323/Index!H322)</f>
        <v>-2.4476516852061831E-2</v>
      </c>
      <c r="I322" s="28">
        <f>LN(Index!I323/Index!I322)</f>
        <v>-3.5103152181801683E-2</v>
      </c>
      <c r="J322" s="28">
        <f>LN(Index!J323/Index!J322)</f>
        <v>-2.601604656690704E-2</v>
      </c>
      <c r="K322" s="28">
        <f>LN(Index!K323/Index!K322)</f>
        <v>-5.2899664540183682E-2</v>
      </c>
      <c r="L322" s="28">
        <f>LN(Index!L323/Index!L322)</f>
        <v>6.2073902404185595E-2</v>
      </c>
      <c r="M322" s="28">
        <f>LN(Index!M323/Index!M322)</f>
        <v>-5.7365677177049934E-2</v>
      </c>
      <c r="N322" s="28">
        <f>LN(Index!N323/Index!N322)</f>
        <v>-2.0688477616872498E-2</v>
      </c>
    </row>
    <row r="323" spans="1:14">
      <c r="A323" s="15">
        <v>39878</v>
      </c>
      <c r="B323" s="28">
        <f>LN(Index!B324/Index!B323)</f>
        <v>-7.3716702581410901E-2</v>
      </c>
      <c r="C323" s="28">
        <f>LN(Index!C324/Index!C323)</f>
        <v>5.5422773250048216E-4</v>
      </c>
      <c r="D323" s="28">
        <f>LN(Index!D324/Index!D323)</f>
        <v>-9.9943248381700253E-2</v>
      </c>
      <c r="E323" s="28">
        <f>LN(Index!E324/Index!E323)</f>
        <v>-7.800458184911771E-2</v>
      </c>
      <c r="F323" s="28">
        <f>LN(Index!F324/Index!F323)</f>
        <v>-8.3185571833254701E-2</v>
      </c>
      <c r="G323" s="28">
        <f>LN(Index!G324/Index!G323)</f>
        <v>-6.6660225247030511E-2</v>
      </c>
      <c r="H323" s="28">
        <f>LN(Index!H324/Index!H323)</f>
        <v>-9.4453580420031422E-2</v>
      </c>
      <c r="I323" s="28">
        <f>LN(Index!I324/Index!I323)</f>
        <v>-7.0188879120392761E-2</v>
      </c>
      <c r="J323" s="28">
        <f>LN(Index!J324/Index!J323)</f>
        <v>-7.751477965102764E-2</v>
      </c>
      <c r="K323" s="28">
        <f>LN(Index!K324/Index!K323)</f>
        <v>-5.0232357058174271E-3</v>
      </c>
      <c r="L323" s="28">
        <f>LN(Index!L324/Index!L323)</f>
        <v>-5.2172906094895763E-2</v>
      </c>
      <c r="M323" s="28">
        <f>LN(Index!M324/Index!M323)</f>
        <v>-7.9140734667430504E-2</v>
      </c>
      <c r="N323" s="28">
        <f>LN(Index!N324/Index!N323)</f>
        <v>-7.9873326055082017E-2</v>
      </c>
    </row>
    <row r="324" spans="1:14">
      <c r="A324" s="15">
        <v>39885</v>
      </c>
      <c r="B324" s="28">
        <f>LN(Index!B325/Index!B324)</f>
        <v>8.1081043519635632E-2</v>
      </c>
      <c r="C324" s="28">
        <f>LN(Index!C325/Index!C324)</f>
        <v>1.0388351204884538E-4</v>
      </c>
      <c r="D324" s="28">
        <f>LN(Index!D325/Index!D324)</f>
        <v>0.109752446865002</v>
      </c>
      <c r="E324" s="28">
        <f>LN(Index!E325/Index!E324)</f>
        <v>1.4127160762546151E-3</v>
      </c>
      <c r="F324" s="28">
        <f>LN(Index!F325/Index!F324)</f>
        <v>6.1394109907438016E-2</v>
      </c>
      <c r="G324" s="28">
        <f>LN(Index!G325/Index!G324)</f>
        <v>5.620272847853091E-2</v>
      </c>
      <c r="H324" s="28">
        <f>LN(Index!H325/Index!H324)</f>
        <v>6.1854609281288507E-4</v>
      </c>
      <c r="I324" s="28">
        <f>LN(Index!I325/Index!I324)</f>
        <v>0.10063523869353094</v>
      </c>
      <c r="J324" s="28">
        <f>LN(Index!J325/Index!J324)</f>
        <v>9.2377794946044717E-3</v>
      </c>
      <c r="K324" s="28">
        <f>LN(Index!K325/Index!K324)</f>
        <v>3.7766252348511845E-2</v>
      </c>
      <c r="L324" s="28">
        <f>LN(Index!L325/Index!L324)</f>
        <v>8.0153655313695255E-2</v>
      </c>
      <c r="M324" s="28">
        <f>LN(Index!M325/Index!M324)</f>
        <v>5.9184538987329269E-2</v>
      </c>
      <c r="N324" s="28">
        <f>LN(Index!N325/Index!N324)</f>
        <v>4.1195240662016457E-2</v>
      </c>
    </row>
    <row r="325" spans="1:14">
      <c r="A325" s="15">
        <v>39892</v>
      </c>
      <c r="B325" s="28">
        <f>LN(Index!B326/Index!B325)</f>
        <v>4.3360776725089159E-2</v>
      </c>
      <c r="C325" s="28">
        <f>LN(Index!C326/Index!C325)</f>
        <v>2.1274847051698881E-2</v>
      </c>
      <c r="D325" s="28">
        <f>LN(Index!D326/Index!D325)</f>
        <v>1.7650977969315643E-2</v>
      </c>
      <c r="E325" s="28">
        <f>LN(Index!E326/Index!E325)</f>
        <v>7.0032250635357826E-2</v>
      </c>
      <c r="F325" s="28">
        <f>LN(Index!F326/Index!F325)</f>
        <v>6.0080967477827499E-2</v>
      </c>
      <c r="G325" s="28">
        <f>LN(Index!G326/Index!G325)</f>
        <v>7.5083434314186154E-2</v>
      </c>
      <c r="H325" s="28">
        <f>LN(Index!H326/Index!H325)</f>
        <v>6.5427547674574912E-2</v>
      </c>
      <c r="I325" s="28">
        <f>LN(Index!I326/Index!I325)</f>
        <v>3.9566901446555246E-2</v>
      </c>
      <c r="J325" s="28">
        <f>LN(Index!J326/Index!J325)</f>
        <v>6.4484867895561154E-2</v>
      </c>
      <c r="K325" s="28">
        <f>LN(Index!K326/Index!K325)</f>
        <v>9.2027437153876637E-2</v>
      </c>
      <c r="L325" s="28">
        <f>LN(Index!L326/Index!L325)</f>
        <v>3.9664078865042827E-2</v>
      </c>
      <c r="M325" s="28">
        <f>LN(Index!M326/Index!M325)</f>
        <v>0.11169697517344168</v>
      </c>
      <c r="N325" s="28">
        <f>LN(Index!N326/Index!N325)</f>
        <v>6.4479882090699908E-2</v>
      </c>
    </row>
    <row r="326" spans="1:14">
      <c r="A326" s="15">
        <v>39899</v>
      </c>
      <c r="B326" s="28">
        <f>LN(Index!B327/Index!B326)</f>
        <v>4.306322420411017E-2</v>
      </c>
      <c r="C326" s="28">
        <f>LN(Index!C327/Index!C326)</f>
        <v>-9.2627939650103391E-3</v>
      </c>
      <c r="D326" s="28">
        <f>LN(Index!D327/Index!D326)</f>
        <v>7.4644745786963174E-2</v>
      </c>
      <c r="E326" s="28">
        <f>LN(Index!E327/Index!E326)</f>
        <v>-1.4465421628357414E-2</v>
      </c>
      <c r="F326" s="28">
        <f>LN(Index!F327/Index!F326)</f>
        <v>1.6065999145804553E-2</v>
      </c>
      <c r="G326" s="28">
        <f>LN(Index!G327/Index!G326)</f>
        <v>6.238845681577089E-2</v>
      </c>
      <c r="H326" s="28">
        <f>LN(Index!H327/Index!H326)</f>
        <v>-1.4079719313096714E-2</v>
      </c>
      <c r="I326" s="28">
        <f>LN(Index!I327/Index!I326)</f>
        <v>1.7582481516179003E-2</v>
      </c>
      <c r="J326" s="28">
        <f>LN(Index!J327/Index!J326)</f>
        <v>-1.7436646760638354E-2</v>
      </c>
      <c r="K326" s="28">
        <f>LN(Index!K327/Index!K326)</f>
        <v>0.20380789944693217</v>
      </c>
      <c r="L326" s="28">
        <f>LN(Index!L327/Index!L326)</f>
        <v>3.5697222949152056E-2</v>
      </c>
      <c r="M326" s="28">
        <f>LN(Index!M327/Index!M326)</f>
        <v>4.3880967052283719E-2</v>
      </c>
      <c r="N326" s="28">
        <f>LN(Index!N327/Index!N326)</f>
        <v>1.0185446877569219E-2</v>
      </c>
    </row>
    <row r="327" spans="1:14">
      <c r="A327" s="15">
        <v>39906</v>
      </c>
      <c r="B327" s="28">
        <f>LN(Index!B328/Index!B327)</f>
        <v>3.5976944887832298E-2</v>
      </c>
      <c r="C327" s="28">
        <f>LN(Index!C328/Index!C327)</f>
        <v>-3.3241407556452995E-3</v>
      </c>
      <c r="D327" s="28">
        <f>LN(Index!D328/Index!D327)</f>
        <v>7.5052575533505625E-2</v>
      </c>
      <c r="E327" s="28">
        <f>LN(Index!E328/Index!E327)</f>
        <v>1.994987231111307E-2</v>
      </c>
      <c r="F327" s="28">
        <f>LN(Index!F328/Index!F327)</f>
        <v>2.7633153651198221E-2</v>
      </c>
      <c r="G327" s="28">
        <f>LN(Index!G328/Index!G327)</f>
        <v>1.7780318758103517E-2</v>
      </c>
      <c r="H327" s="28">
        <f>LN(Index!H328/Index!H327)</f>
        <v>5.9217495742038906E-3</v>
      </c>
      <c r="I327" s="28">
        <f>LN(Index!I328/Index!I327)</f>
        <v>5.5291213749197134E-2</v>
      </c>
      <c r="J327" s="28">
        <f>LN(Index!J328/Index!J327)</f>
        <v>3.5408022040690178E-2</v>
      </c>
      <c r="K327" s="28">
        <f>LN(Index!K328/Index!K327)</f>
        <v>3.3797085030044985E-2</v>
      </c>
      <c r="L327" s="28">
        <f>LN(Index!L328/Index!L327)</f>
        <v>6.8507456085297083E-2</v>
      </c>
      <c r="M327" s="28">
        <f>LN(Index!M328/Index!M327)</f>
        <v>1.4311578690047771E-2</v>
      </c>
      <c r="N327" s="28">
        <f>LN(Index!N328/Index!N327)</f>
        <v>1.0770633623312924E-2</v>
      </c>
    </row>
    <row r="328" spans="1:14">
      <c r="A328" s="15">
        <v>39913</v>
      </c>
      <c r="B328" s="28">
        <f>LN(Index!B329/Index!B328)</f>
        <v>8.2243628425225524E-3</v>
      </c>
      <c r="C328" s="28">
        <f>LN(Index!C329/Index!C328)</f>
        <v>-9.9596470841258208E-4</v>
      </c>
      <c r="D328" s="28">
        <f>LN(Index!D329/Index!D328)</f>
        <v>2.9682293401792442E-2</v>
      </c>
      <c r="E328" s="28">
        <f>LN(Index!E329/Index!E328)</f>
        <v>2.7826870221380434E-3</v>
      </c>
      <c r="F328" s="28">
        <f>LN(Index!F329/Index!F328)</f>
        <v>-6.5313060423290315E-3</v>
      </c>
      <c r="G328" s="28">
        <f>LN(Index!G329/Index!G328)</f>
        <v>2.0677084450179142E-2</v>
      </c>
      <c r="H328" s="28">
        <f>LN(Index!H329/Index!H328)</f>
        <v>-3.4121130504095754E-3</v>
      </c>
      <c r="I328" s="28">
        <f>LN(Index!I329/Index!I328)</f>
        <v>3.8869855798377164E-3</v>
      </c>
      <c r="J328" s="28">
        <f>LN(Index!J329/Index!J328)</f>
        <v>7.7677869429753884E-3</v>
      </c>
      <c r="K328" s="28">
        <f>LN(Index!K329/Index!K328)</f>
        <v>-4.6080246102935818E-2</v>
      </c>
      <c r="L328" s="28">
        <f>LN(Index!L329/Index!L328)</f>
        <v>-1.6218709465563416E-2</v>
      </c>
      <c r="M328" s="28">
        <f>LN(Index!M329/Index!M328)</f>
        <v>6.7997473826062063E-3</v>
      </c>
      <c r="N328" s="28">
        <f>LN(Index!N329/Index!N328)</f>
        <v>1.0347862379686577E-2</v>
      </c>
    </row>
    <row r="329" spans="1:14">
      <c r="A329" s="15">
        <v>39920</v>
      </c>
      <c r="B329" s="28">
        <f>LN(Index!B330/Index!B329)</f>
        <v>2.2155183029700456E-2</v>
      </c>
      <c r="C329" s="28">
        <f>LN(Index!C330/Index!C329)</f>
        <v>6.882763829257189E-3</v>
      </c>
      <c r="D329" s="28">
        <f>LN(Index!D330/Index!D329)</f>
        <v>3.4388867926492567E-2</v>
      </c>
      <c r="E329" s="28">
        <f>LN(Index!E330/Index!E329)</f>
        <v>2.0645927636928865E-2</v>
      </c>
      <c r="F329" s="28">
        <f>LN(Index!F330/Index!F329)</f>
        <v>6.155398994344391E-3</v>
      </c>
      <c r="G329" s="28">
        <f>LN(Index!G330/Index!G329)</f>
        <v>4.0665657460026454E-3</v>
      </c>
      <c r="H329" s="28">
        <f>LN(Index!H330/Index!H329)</f>
        <v>1.6769276111453783E-2</v>
      </c>
      <c r="I329" s="28">
        <f>LN(Index!I330/Index!I329)</f>
        <v>4.3630538253127335E-2</v>
      </c>
      <c r="J329" s="28">
        <f>LN(Index!J330/Index!J329)</f>
        <v>6.0867976606335944E-3</v>
      </c>
      <c r="K329" s="28">
        <f>LN(Index!K330/Index!K329)</f>
        <v>3.5419705526209731E-2</v>
      </c>
      <c r="L329" s="28">
        <f>LN(Index!L330/Index!L329)</f>
        <v>-2.0094816647688502E-2</v>
      </c>
      <c r="M329" s="28">
        <f>LN(Index!M330/Index!M329)</f>
        <v>1.1207797753649112E-2</v>
      </c>
      <c r="N329" s="28">
        <f>LN(Index!N330/Index!N329)</f>
        <v>1.5136776901455899E-2</v>
      </c>
    </row>
    <row r="330" spans="1:14">
      <c r="A330" s="15">
        <v>39927</v>
      </c>
      <c r="B330" s="28">
        <f>LN(Index!B331/Index!B330)</f>
        <v>1.1227482424415272E-3</v>
      </c>
      <c r="C330" s="28">
        <f>LN(Index!C331/Index!C330)</f>
        <v>8.8685751284636792E-4</v>
      </c>
      <c r="D330" s="28">
        <f>LN(Index!D331/Index!D330)</f>
        <v>-8.4078267237463339E-3</v>
      </c>
      <c r="E330" s="28">
        <f>LN(Index!E331/Index!E330)</f>
        <v>7.9445562873288553E-3</v>
      </c>
      <c r="F330" s="28">
        <f>LN(Index!F331/Index!F330)</f>
        <v>-1.7220847648265418E-2</v>
      </c>
      <c r="G330" s="28">
        <f>LN(Index!G331/Index!G330)</f>
        <v>1.1906988539214633E-2</v>
      </c>
      <c r="H330" s="28">
        <f>LN(Index!H331/Index!H330)</f>
        <v>-1.4501360442236122E-2</v>
      </c>
      <c r="I330" s="28">
        <f>LN(Index!I331/Index!I330)</f>
        <v>2.4635334195798504E-2</v>
      </c>
      <c r="J330" s="28">
        <f>LN(Index!J331/Index!J330)</f>
        <v>-1.5394011328743108E-2</v>
      </c>
      <c r="K330" s="28">
        <f>LN(Index!K331/Index!K330)</f>
        <v>-2.4342056506355684E-2</v>
      </c>
      <c r="L330" s="28">
        <f>LN(Index!L331/Index!L330)</f>
        <v>1.6295853114651823E-4</v>
      </c>
      <c r="M330" s="28">
        <f>LN(Index!M331/Index!M330)</f>
        <v>1.210210512867005E-2</v>
      </c>
      <c r="N330" s="28">
        <f>LN(Index!N331/Index!N330)</f>
        <v>4.681442265291243E-3</v>
      </c>
    </row>
    <row r="331" spans="1:14">
      <c r="A331" s="15">
        <v>39934</v>
      </c>
      <c r="B331" s="28">
        <f>LN(Index!B332/Index!B331)</f>
        <v>1.5699121403403557E-2</v>
      </c>
      <c r="C331" s="28">
        <f>LN(Index!C332/Index!C331)</f>
        <v>2.2477276772650107E-3</v>
      </c>
      <c r="D331" s="28">
        <f>LN(Index!D332/Index!D331)</f>
        <v>-3.700770811080621E-3</v>
      </c>
      <c r="E331" s="28">
        <f>LN(Index!E332/Index!E331)</f>
        <v>3.0607598157367893E-2</v>
      </c>
      <c r="F331" s="28">
        <f>LN(Index!F332/Index!F331)</f>
        <v>1.5043178640109036E-2</v>
      </c>
      <c r="G331" s="28">
        <f>LN(Index!G332/Index!G331)</f>
        <v>2.3768805637674903E-2</v>
      </c>
      <c r="H331" s="28">
        <f>LN(Index!H332/Index!H331)</f>
        <v>3.9389335106385447E-2</v>
      </c>
      <c r="I331" s="28">
        <f>LN(Index!I332/Index!I331)</f>
        <v>-3.3154593686564433E-2</v>
      </c>
      <c r="J331" s="28">
        <f>LN(Index!J332/Index!J331)</f>
        <v>3.9521328759250463E-2</v>
      </c>
      <c r="K331" s="28">
        <f>LN(Index!K332/Index!K331)</f>
        <v>2.908056534550996E-2</v>
      </c>
      <c r="L331" s="28">
        <f>LN(Index!L332/Index!L331)</f>
        <v>-1.9208091205938072E-2</v>
      </c>
      <c r="M331" s="28">
        <f>LN(Index!M332/Index!M331)</f>
        <v>2.8597074094701545E-2</v>
      </c>
      <c r="N331" s="28">
        <f>LN(Index!N332/Index!N331)</f>
        <v>2.6283924232931688E-2</v>
      </c>
    </row>
    <row r="332" spans="1:14">
      <c r="A332" s="15">
        <v>39941</v>
      </c>
      <c r="B332" s="28">
        <f>LN(Index!B333/Index!B332)</f>
        <v>6.202691753441792E-2</v>
      </c>
      <c r="C332" s="28">
        <f>LN(Index!C333/Index!C332)</f>
        <v>3.0908775859772929E-3</v>
      </c>
      <c r="D332" s="28">
        <f>LN(Index!D333/Index!D332)</f>
        <v>7.9390604618148952E-2</v>
      </c>
      <c r="E332" s="28">
        <f>LN(Index!E333/Index!E332)</f>
        <v>5.1333798138492676E-2</v>
      </c>
      <c r="F332" s="28">
        <f>LN(Index!F333/Index!F332)</f>
        <v>4.5247730899439752E-3</v>
      </c>
      <c r="G332" s="28">
        <f>LN(Index!G333/Index!G332)</f>
        <v>5.2324391870162967E-2</v>
      </c>
      <c r="H332" s="28">
        <f>LN(Index!H333/Index!H332)</f>
        <v>1.2373563192905831E-2</v>
      </c>
      <c r="I332" s="28">
        <f>LN(Index!I333/Index!I332)</f>
        <v>9.3009254180795323E-2</v>
      </c>
      <c r="J332" s="28">
        <f>LN(Index!J333/Index!J332)</f>
        <v>4.42824329369087E-2</v>
      </c>
      <c r="K332" s="28">
        <f>LN(Index!K333/Index!K332)</f>
        <v>0.17837096062228708</v>
      </c>
      <c r="L332" s="28">
        <f>LN(Index!L333/Index!L332)</f>
        <v>-2.1063337260386152E-2</v>
      </c>
      <c r="M332" s="28">
        <f>LN(Index!M333/Index!M332)</f>
        <v>5.0407905103517989E-2</v>
      </c>
      <c r="N332" s="28">
        <f>LN(Index!N333/Index!N332)</f>
        <v>3.1408508765210952E-2</v>
      </c>
    </row>
    <row r="333" spans="1:14">
      <c r="A333" s="15">
        <v>39948</v>
      </c>
      <c r="B333" s="28">
        <f>LN(Index!B334/Index!B333)</f>
        <v>-3.4915679543058936E-2</v>
      </c>
      <c r="C333" s="28">
        <f>LN(Index!C334/Index!C333)</f>
        <v>1.2034326356665941E-2</v>
      </c>
      <c r="D333" s="28">
        <f>LN(Index!D334/Index!D333)</f>
        <v>-5.9774933979728953E-2</v>
      </c>
      <c r="E333" s="28">
        <f>LN(Index!E334/Index!E333)</f>
        <v>1.0590209883862597E-2</v>
      </c>
      <c r="F333" s="28">
        <f>LN(Index!F334/Index!F333)</f>
        <v>-5.4819557372533016E-2</v>
      </c>
      <c r="G333" s="28">
        <f>LN(Index!G334/Index!G333)</f>
        <v>-1.7594873374983104E-2</v>
      </c>
      <c r="H333" s="28">
        <f>LN(Index!H334/Index!H333)</f>
        <v>-8.6803882444327716E-3</v>
      </c>
      <c r="I333" s="28">
        <f>LN(Index!I334/Index!I333)</f>
        <v>-3.7496943425654426E-2</v>
      </c>
      <c r="J333" s="28">
        <f>LN(Index!J334/Index!J333)</f>
        <v>-1.0417447674980353E-2</v>
      </c>
      <c r="K333" s="28">
        <f>LN(Index!K334/Index!K333)</f>
        <v>-5.9995870885873423E-2</v>
      </c>
      <c r="L333" s="28">
        <f>LN(Index!L334/Index!L333)</f>
        <v>-3.315753271788905E-2</v>
      </c>
      <c r="M333" s="28">
        <f>LN(Index!M334/Index!M333)</f>
        <v>-2.2861245197617151E-2</v>
      </c>
      <c r="N333" s="28">
        <f>LN(Index!N334/Index!N333)</f>
        <v>-2.7768826104214481E-2</v>
      </c>
    </row>
    <row r="334" spans="1:14">
      <c r="A334" s="15">
        <v>39955</v>
      </c>
      <c r="B334" s="28">
        <f>LN(Index!B335/Index!B334)</f>
        <v>2.1911622572488239E-2</v>
      </c>
      <c r="C334" s="28">
        <f>LN(Index!C335/Index!C334)</f>
        <v>2.0102522934321564E-4</v>
      </c>
      <c r="D334" s="28">
        <f>LN(Index!D335/Index!D334)</f>
        <v>2.7053601961874247E-2</v>
      </c>
      <c r="E334" s="28">
        <f>LN(Index!E335/Index!E334)</f>
        <v>3.6543473523625629E-2</v>
      </c>
      <c r="F334" s="28">
        <f>LN(Index!F335/Index!F334)</f>
        <v>1.8493341629032232E-2</v>
      </c>
      <c r="G334" s="28">
        <f>LN(Index!G335/Index!G334)</f>
        <v>2.8118023735966637E-2</v>
      </c>
      <c r="H334" s="28">
        <f>LN(Index!H335/Index!H334)</f>
        <v>2.4900866462076319E-2</v>
      </c>
      <c r="I334" s="28">
        <f>LN(Index!I335/Index!I334)</f>
        <v>5.2854790961609506E-2</v>
      </c>
      <c r="J334" s="28">
        <f>LN(Index!J335/Index!J334)</f>
        <v>3.1651762280273527E-2</v>
      </c>
      <c r="K334" s="28">
        <f>LN(Index!K335/Index!K334)</f>
        <v>6.8054650722777749E-2</v>
      </c>
      <c r="L334" s="28">
        <f>LN(Index!L335/Index!L334)</f>
        <v>3.9191983703910215E-2</v>
      </c>
      <c r="M334" s="28">
        <f>LN(Index!M335/Index!M334)</f>
        <v>3.791975254451406E-2</v>
      </c>
      <c r="N334" s="28">
        <f>LN(Index!N335/Index!N334)</f>
        <v>1.3163787054007612E-2</v>
      </c>
    </row>
    <row r="335" spans="1:14">
      <c r="A335" s="15">
        <v>39962</v>
      </c>
      <c r="B335" s="28">
        <f>LN(Index!B336/Index!B335)</f>
        <v>3.0087292383325148E-2</v>
      </c>
      <c r="C335" s="28">
        <f>LN(Index!C336/Index!C335)</f>
        <v>2.041465878590186E-3</v>
      </c>
      <c r="D335" s="28">
        <f>LN(Index!D336/Index!D335)</f>
        <v>8.7550442398054498E-2</v>
      </c>
      <c r="E335" s="28">
        <f>LN(Index!E336/Index!E335)</f>
        <v>2.1925147819744518E-2</v>
      </c>
      <c r="F335" s="28">
        <f>LN(Index!F336/Index!F335)</f>
        <v>4.973932276752064E-2</v>
      </c>
      <c r="G335" s="28">
        <f>LN(Index!G336/Index!G335)</f>
        <v>3.3632820191923214E-2</v>
      </c>
      <c r="H335" s="28">
        <f>LN(Index!H336/Index!H335)</f>
        <v>2.9450384678264396E-2</v>
      </c>
      <c r="I335" s="28">
        <f>LN(Index!I336/Index!I335)</f>
        <v>4.32389288247517E-2</v>
      </c>
      <c r="J335" s="28">
        <f>LN(Index!J336/Index!J335)</f>
        <v>1.2729109309045078E-2</v>
      </c>
      <c r="K335" s="28">
        <f>LN(Index!K336/Index!K335)</f>
        <v>5.3992374082017409E-2</v>
      </c>
      <c r="L335" s="28">
        <f>LN(Index!L336/Index!L335)</f>
        <v>6.5113001602638207E-2</v>
      </c>
      <c r="M335" s="28">
        <f>LN(Index!M336/Index!M335)</f>
        <v>1.6684191717589555E-2</v>
      </c>
      <c r="N335" s="28">
        <f>LN(Index!N336/Index!N335)</f>
        <v>4.0196445731547008E-2</v>
      </c>
    </row>
    <row r="336" spans="1:14">
      <c r="A336" s="15">
        <v>39969</v>
      </c>
      <c r="B336" s="28">
        <f>LN(Index!B337/Index!B336)</f>
        <v>1.2590508942225275E-2</v>
      </c>
      <c r="C336" s="28">
        <f>LN(Index!C337/Index!C336)</f>
        <v>-5.7669899983311896E-3</v>
      </c>
      <c r="D336" s="28">
        <f>LN(Index!D337/Index!D336)</f>
        <v>1.7537060562985714E-2</v>
      </c>
      <c r="E336" s="28">
        <f>LN(Index!E337/Index!E336)</f>
        <v>-3.1520181028482613E-2</v>
      </c>
      <c r="F336" s="28">
        <f>LN(Index!F337/Index!F336)</f>
        <v>4.0364921542868281E-3</v>
      </c>
      <c r="G336" s="28">
        <f>LN(Index!G337/Index!G336)</f>
        <v>3.5752739962092994E-2</v>
      </c>
      <c r="H336" s="28">
        <f>LN(Index!H337/Index!H336)</f>
        <v>-3.134105301165601E-2</v>
      </c>
      <c r="I336" s="28">
        <f>LN(Index!I337/Index!I336)</f>
        <v>3.8238220839479156E-2</v>
      </c>
      <c r="J336" s="28">
        <f>LN(Index!J337/Index!J336)</f>
        <v>-6.5772134568070602E-3</v>
      </c>
      <c r="K336" s="28">
        <f>LN(Index!K337/Index!K336)</f>
        <v>6.288531518944214E-2</v>
      </c>
      <c r="L336" s="28">
        <f>LN(Index!L337/Index!L336)</f>
        <v>-4.4715974699784319E-2</v>
      </c>
      <c r="M336" s="28">
        <f>LN(Index!M337/Index!M336)</f>
        <v>5.206009339654271E-4</v>
      </c>
      <c r="N336" s="28">
        <f>LN(Index!N337/Index!N336)</f>
        <v>1.8921749728540337E-2</v>
      </c>
    </row>
    <row r="337" spans="1:14">
      <c r="A337" s="15">
        <v>39976</v>
      </c>
      <c r="B337" s="28">
        <f>LN(Index!B338/Index!B337)</f>
        <v>1.2242903390916328E-2</v>
      </c>
      <c r="C337" s="28">
        <f>LN(Index!C338/Index!C337)</f>
        <v>-8.4100050370895308E-4</v>
      </c>
      <c r="D337" s="28">
        <f>LN(Index!D338/Index!D337)</f>
        <v>2.9990480060245873E-3</v>
      </c>
      <c r="E337" s="28">
        <f>LN(Index!E338/Index!E337)</f>
        <v>1.670490621664523E-3</v>
      </c>
      <c r="F337" s="28">
        <f>LN(Index!F338/Index!F337)</f>
        <v>2.6309101802477732E-2</v>
      </c>
      <c r="G337" s="28">
        <f>LN(Index!G338/Index!G337)</f>
        <v>-1.2154918982016894E-2</v>
      </c>
      <c r="H337" s="28">
        <f>LN(Index!H338/Index!H337)</f>
        <v>1.0125271293918818E-2</v>
      </c>
      <c r="I337" s="28">
        <f>LN(Index!I338/Index!I337)</f>
        <v>3.0931456325284019E-3</v>
      </c>
      <c r="J337" s="28">
        <f>LN(Index!J338/Index!J337)</f>
        <v>4.9193358556059941E-2</v>
      </c>
      <c r="K337" s="28">
        <f>LN(Index!K338/Index!K337)</f>
        <v>-2.8038437960772485E-2</v>
      </c>
      <c r="L337" s="28">
        <f>LN(Index!L338/Index!L337)</f>
        <v>-5.7473385216993316E-3</v>
      </c>
      <c r="M337" s="28">
        <f>LN(Index!M338/Index!M337)</f>
        <v>-3.4083902502963988E-4</v>
      </c>
      <c r="N337" s="28">
        <f>LN(Index!N338/Index!N337)</f>
        <v>1.9702534694897692E-2</v>
      </c>
    </row>
    <row r="338" spans="1:14">
      <c r="A338" s="15">
        <v>39983</v>
      </c>
      <c r="B338" s="28">
        <f>LN(Index!B339/Index!B338)</f>
        <v>-3.0208657857649219E-2</v>
      </c>
      <c r="C338" s="28">
        <f>LN(Index!C339/Index!C338)</f>
        <v>4.2984820030686887E-3</v>
      </c>
      <c r="D338" s="28">
        <f>LN(Index!D339/Index!D338)</f>
        <v>-4.7004101327512177E-2</v>
      </c>
      <c r="E338" s="28">
        <f>LN(Index!E339/Index!E338)</f>
        <v>-1.1088411596694693E-2</v>
      </c>
      <c r="F338" s="28">
        <f>LN(Index!F339/Index!F338)</f>
        <v>-2.316771043611288E-2</v>
      </c>
      <c r="G338" s="28">
        <f>LN(Index!G339/Index!G338)</f>
        <v>-1.6496911406837823E-2</v>
      </c>
      <c r="H338" s="28">
        <f>LN(Index!H339/Index!H338)</f>
        <v>1.0649265657662206E-2</v>
      </c>
      <c r="I338" s="28">
        <f>LN(Index!I339/Index!I338)</f>
        <v>-4.3431720641483873E-2</v>
      </c>
      <c r="J338" s="28">
        <f>LN(Index!J339/Index!J338)</f>
        <v>-4.4507272596828795E-2</v>
      </c>
      <c r="K338" s="28">
        <f>LN(Index!K339/Index!K338)</f>
        <v>-7.5861266562314331E-2</v>
      </c>
      <c r="L338" s="28">
        <f>LN(Index!L339/Index!L338)</f>
        <v>-1.8370115472467651E-2</v>
      </c>
      <c r="M338" s="28">
        <f>LN(Index!M339/Index!M338)</f>
        <v>-2.5696283343521111E-2</v>
      </c>
      <c r="N338" s="28">
        <f>LN(Index!N339/Index!N338)</f>
        <v>-1.9087651329038037E-2</v>
      </c>
    </row>
    <row r="339" spans="1:14">
      <c r="A339" s="15">
        <v>39990</v>
      </c>
      <c r="B339" s="28">
        <f>LN(Index!B340/Index!B339)</f>
        <v>-1.0681490409275747E-3</v>
      </c>
      <c r="C339" s="28">
        <f>LN(Index!C340/Index!C339)</f>
        <v>1.1362054759793402E-2</v>
      </c>
      <c r="D339" s="28">
        <f>LN(Index!D340/Index!D339)</f>
        <v>2.6190073445952949E-2</v>
      </c>
      <c r="E339" s="28">
        <f>LN(Index!E340/Index!E339)</f>
        <v>7.7167233123207109E-3</v>
      </c>
      <c r="F339" s="28">
        <f>LN(Index!F340/Index!F339)</f>
        <v>2.3648447318851011E-2</v>
      </c>
      <c r="G339" s="28">
        <f>LN(Index!G340/Index!G339)</f>
        <v>1.281369188026806E-2</v>
      </c>
      <c r="H339" s="28">
        <f>LN(Index!H340/Index!H339)</f>
        <v>-2.8177852081823114E-3</v>
      </c>
      <c r="I339" s="28">
        <f>LN(Index!I340/Index!I339)</f>
        <v>8.7386119216292264E-3</v>
      </c>
      <c r="J339" s="28">
        <f>LN(Index!J340/Index!J339)</f>
        <v>1.3620931242136607E-2</v>
      </c>
      <c r="K339" s="28">
        <f>LN(Index!K340/Index!K339)</f>
        <v>-1.8235919672229466E-2</v>
      </c>
      <c r="L339" s="28">
        <f>LN(Index!L340/Index!L339)</f>
        <v>6.1357057032064517E-2</v>
      </c>
      <c r="M339" s="28">
        <f>LN(Index!M340/Index!M339)</f>
        <v>1.1790613804994191E-2</v>
      </c>
      <c r="N339" s="28">
        <f>LN(Index!N340/Index!N339)</f>
        <v>1.6155034000709289E-2</v>
      </c>
    </row>
    <row r="340" spans="1:14">
      <c r="A340" s="15">
        <v>39997</v>
      </c>
      <c r="B340" s="28">
        <f>LN(Index!B341/Index!B340)</f>
        <v>-1.7764799292164523E-2</v>
      </c>
      <c r="C340" s="28">
        <f>LN(Index!C341/Index!C340)</f>
        <v>4.7595528620068411E-3</v>
      </c>
      <c r="D340" s="28">
        <f>LN(Index!D341/Index!D340)</f>
        <v>-2.7332060627541861E-2</v>
      </c>
      <c r="E340" s="28">
        <f>LN(Index!E341/Index!E340)</f>
        <v>-4.0666948328842729E-3</v>
      </c>
      <c r="F340" s="28">
        <f>LN(Index!F341/Index!F340)</f>
        <v>-8.0490711067852869E-3</v>
      </c>
      <c r="G340" s="28">
        <f>LN(Index!G341/Index!G340)</f>
        <v>-2.3390337788945555E-2</v>
      </c>
      <c r="H340" s="28">
        <f>LN(Index!H341/Index!H340)</f>
        <v>-6.7862378994254895E-3</v>
      </c>
      <c r="I340" s="28">
        <f>LN(Index!I341/Index!I340)</f>
        <v>-9.3460757217141352E-3</v>
      </c>
      <c r="J340" s="28">
        <f>LN(Index!J341/Index!J340)</f>
        <v>-2.6979231227525227E-2</v>
      </c>
      <c r="K340" s="28">
        <f>LN(Index!K341/Index!K340)</f>
        <v>-9.7798965925275034E-4</v>
      </c>
      <c r="L340" s="28">
        <f>LN(Index!L341/Index!L340)</f>
        <v>-1.2316342047842127E-2</v>
      </c>
      <c r="M340" s="28">
        <f>LN(Index!M341/Index!M340)</f>
        <v>3.613577417556464E-3</v>
      </c>
      <c r="N340" s="28">
        <f>LN(Index!N341/Index!N340)</f>
        <v>-1.2101209416464616E-2</v>
      </c>
    </row>
    <row r="341" spans="1:14">
      <c r="A341" s="15">
        <v>40004</v>
      </c>
      <c r="B341" s="28">
        <f>LN(Index!B342/Index!B341)</f>
        <v>-2.719362513801224E-2</v>
      </c>
      <c r="C341" s="28">
        <f>LN(Index!C342/Index!C341)</f>
        <v>1.0170024011589179E-2</v>
      </c>
      <c r="D341" s="28">
        <f>LN(Index!D342/Index!D341)</f>
        <v>-3.7249699345923128E-2</v>
      </c>
      <c r="E341" s="28">
        <f>LN(Index!E342/Index!E341)</f>
        <v>-2.6381060073884788E-2</v>
      </c>
      <c r="F341" s="28">
        <f>LN(Index!F342/Index!F341)</f>
        <v>-2.0578912558329856E-2</v>
      </c>
      <c r="G341" s="28">
        <f>LN(Index!G342/Index!G341)</f>
        <v>-1.6521012024354742E-2</v>
      </c>
      <c r="H341" s="28">
        <f>LN(Index!H342/Index!H341)</f>
        <v>-2.0455362208621552E-2</v>
      </c>
      <c r="I341" s="28">
        <f>LN(Index!I342/Index!I341)</f>
        <v>-3.2155050922701177E-2</v>
      </c>
      <c r="J341" s="28">
        <f>LN(Index!J342/Index!J341)</f>
        <v>-2.2755999272676557E-2</v>
      </c>
      <c r="K341" s="28">
        <f>LN(Index!K342/Index!K341)</f>
        <v>-8.9470594847294888E-2</v>
      </c>
      <c r="L341" s="28">
        <f>LN(Index!L342/Index!L341)</f>
        <v>-1.6334957616720179E-2</v>
      </c>
      <c r="M341" s="28">
        <f>LN(Index!M342/Index!M341)</f>
        <v>-3.5886494392190743E-2</v>
      </c>
      <c r="N341" s="28">
        <f>LN(Index!N342/Index!N341)</f>
        <v>-1.6173716775586405E-2</v>
      </c>
    </row>
    <row r="342" spans="1:14">
      <c r="A342" s="15">
        <v>40011</v>
      </c>
      <c r="B342" s="28">
        <f>LN(Index!B343/Index!B342)</f>
        <v>6.4206091241599747E-2</v>
      </c>
      <c r="C342" s="28">
        <f>LN(Index!C343/Index!C342)</f>
        <v>-6.3523461808047341E-3</v>
      </c>
      <c r="D342" s="28">
        <f>LN(Index!D343/Index!D342)</f>
        <v>6.3747538300206824E-2</v>
      </c>
      <c r="E342" s="28">
        <f>LN(Index!E343/Index!E342)</f>
        <v>4.6029147961493551E-2</v>
      </c>
      <c r="F342" s="28">
        <f>LN(Index!F343/Index!F342)</f>
        <v>4.6877847251066009E-2</v>
      </c>
      <c r="G342" s="28">
        <f>LN(Index!G343/Index!G342)</f>
        <v>6.8224034892342772E-2</v>
      </c>
      <c r="H342" s="28">
        <f>LN(Index!H343/Index!H342)</f>
        <v>3.0014720525476556E-2</v>
      </c>
      <c r="I342" s="28">
        <f>LN(Index!I343/Index!I342)</f>
        <v>6.5245693940594526E-2</v>
      </c>
      <c r="J342" s="28">
        <f>LN(Index!J343/Index!J342)</f>
        <v>3.2499799156939034E-2</v>
      </c>
      <c r="K342" s="28">
        <f>LN(Index!K343/Index!K342)</f>
        <v>0.15662965635952397</v>
      </c>
      <c r="L342" s="28">
        <f>LN(Index!L343/Index!L342)</f>
        <v>4.577631572786299E-2</v>
      </c>
      <c r="M342" s="28">
        <f>LN(Index!M343/Index!M342)</f>
        <v>8.0323281903985244E-2</v>
      </c>
      <c r="N342" s="28">
        <f>LN(Index!N343/Index!N342)</f>
        <v>5.2771025104772849E-2</v>
      </c>
    </row>
    <row r="343" spans="1:14">
      <c r="A343" s="15">
        <v>40018</v>
      </c>
      <c r="B343" s="28">
        <f>LN(Index!B344/Index!B343)</f>
        <v>4.4773870219516239E-2</v>
      </c>
      <c r="C343" s="28">
        <f>LN(Index!C344/Index!C343)</f>
        <v>3.9410161763335722E-4</v>
      </c>
      <c r="D343" s="28">
        <f>LN(Index!D344/Index!D343)</f>
        <v>4.833082455038093E-2</v>
      </c>
      <c r="E343" s="28">
        <f>LN(Index!E344/Index!E343)</f>
        <v>1.8395704847189068E-2</v>
      </c>
      <c r="F343" s="28">
        <f>LN(Index!F344/Index!F343)</f>
        <v>4.3718840403749099E-2</v>
      </c>
      <c r="G343" s="28">
        <f>LN(Index!G344/Index!G343)</f>
        <v>3.9067205914112953E-2</v>
      </c>
      <c r="H343" s="28">
        <f>LN(Index!H344/Index!H343)</f>
        <v>2.543839834122719E-2</v>
      </c>
      <c r="I343" s="28">
        <f>LN(Index!I344/Index!I343)</f>
        <v>6.1013414671718898E-2</v>
      </c>
      <c r="J343" s="28">
        <f>LN(Index!J344/Index!J343)</f>
        <v>-1.2251124968091347E-2</v>
      </c>
      <c r="K343" s="28">
        <f>LN(Index!K344/Index!K343)</f>
        <v>4.2330198769857393E-2</v>
      </c>
      <c r="L343" s="28">
        <f>LN(Index!L344/Index!L343)</f>
        <v>4.514669543987028E-2</v>
      </c>
      <c r="M343" s="28">
        <f>LN(Index!M344/Index!M343)</f>
        <v>4.9735862432181803E-2</v>
      </c>
      <c r="N343" s="28">
        <f>LN(Index!N344/Index!N343)</f>
        <v>3.1397440395898479E-2</v>
      </c>
    </row>
    <row r="344" spans="1:14">
      <c r="A344" s="15">
        <v>40025</v>
      </c>
      <c r="B344" s="28">
        <f>LN(Index!B345/Index!B344)</f>
        <v>1.6658687365092163E-2</v>
      </c>
      <c r="C344" s="28">
        <f>LN(Index!C345/Index!C344)</f>
        <v>8.989191853945297E-3</v>
      </c>
      <c r="D344" s="28">
        <f>LN(Index!D345/Index!D344)</f>
        <v>4.026343601087156E-2</v>
      </c>
      <c r="E344" s="28">
        <f>LN(Index!E345/Index!E344)</f>
        <v>4.4847590922893867E-3</v>
      </c>
      <c r="F344" s="28">
        <f>LN(Index!F345/Index!F344)</f>
        <v>1.3805863564442147E-2</v>
      </c>
      <c r="G344" s="28">
        <f>LN(Index!G345/Index!G344)</f>
        <v>6.9342900609713487E-3</v>
      </c>
      <c r="H344" s="28">
        <f>LN(Index!H345/Index!H344)</f>
        <v>9.2968152655002675E-3</v>
      </c>
      <c r="I344" s="28">
        <f>LN(Index!I345/Index!I344)</f>
        <v>1.1970476426642894E-2</v>
      </c>
      <c r="J344" s="28">
        <f>LN(Index!J345/Index!J344)</f>
        <v>-1.1965383180066055E-2</v>
      </c>
      <c r="K344" s="28">
        <f>LN(Index!K345/Index!K344)</f>
        <v>-5.1076916836904672E-3</v>
      </c>
      <c r="L344" s="28">
        <f>LN(Index!L345/Index!L344)</f>
        <v>2.2827820463774972E-2</v>
      </c>
      <c r="M344" s="28">
        <f>LN(Index!M345/Index!M344)</f>
        <v>1.5114093764713583E-2</v>
      </c>
      <c r="N344" s="28">
        <f>LN(Index!N345/Index!N344)</f>
        <v>9.7523393250521419E-3</v>
      </c>
    </row>
    <row r="345" spans="1:14">
      <c r="A345" s="15">
        <v>40032</v>
      </c>
      <c r="B345" s="28">
        <f>LN(Index!B346/Index!B345)</f>
        <v>1.7515011594875094E-2</v>
      </c>
      <c r="C345" s="28">
        <f>LN(Index!C346/Index!C345)</f>
        <v>-4.2720474566146282E-3</v>
      </c>
      <c r="D345" s="28">
        <f>LN(Index!D346/Index!D345)</f>
        <v>3.6497968724659734E-2</v>
      </c>
      <c r="E345" s="28">
        <f>LN(Index!E346/Index!E345)</f>
        <v>7.5830305222893924E-3</v>
      </c>
      <c r="F345" s="28">
        <f>LN(Index!F346/Index!F345)</f>
        <v>-4.190981250387092E-3</v>
      </c>
      <c r="G345" s="28">
        <f>LN(Index!G346/Index!G345)</f>
        <v>-1.0673918939728924E-2</v>
      </c>
      <c r="H345" s="28">
        <f>LN(Index!H346/Index!H345)</f>
        <v>4.6913418322960072E-3</v>
      </c>
      <c r="I345" s="28">
        <f>LN(Index!I346/Index!I345)</f>
        <v>1.1033746065590405E-2</v>
      </c>
      <c r="J345" s="28">
        <f>LN(Index!J346/Index!J345)</f>
        <v>-8.6389800612610302E-3</v>
      </c>
      <c r="K345" s="28">
        <f>LN(Index!K346/Index!K345)</f>
        <v>2.6617024779906105E-2</v>
      </c>
      <c r="L345" s="28">
        <f>LN(Index!L346/Index!L345)</f>
        <v>-3.7803596506026778E-2</v>
      </c>
      <c r="M345" s="28">
        <f>LN(Index!M346/Index!M345)</f>
        <v>2.0674279393858436E-2</v>
      </c>
      <c r="N345" s="28">
        <f>LN(Index!N346/Index!N345)</f>
        <v>8.1133539158543687E-4</v>
      </c>
    </row>
    <row r="346" spans="1:14">
      <c r="A346" s="15">
        <v>40039</v>
      </c>
      <c r="B346" s="28">
        <f>LN(Index!B347/Index!B346)</f>
        <v>7.2395980954300873E-4</v>
      </c>
      <c r="C346" s="28">
        <f>LN(Index!C347/Index!C346)</f>
        <v>9.2385420110830917E-3</v>
      </c>
      <c r="D346" s="28">
        <f>LN(Index!D347/Index!D346)</f>
        <v>5.630140122079969E-3</v>
      </c>
      <c r="E346" s="28">
        <f>LN(Index!E347/Index!E346)</f>
        <v>-3.732557004820985E-4</v>
      </c>
      <c r="F346" s="28">
        <f>LN(Index!F347/Index!F346)</f>
        <v>-4.1127721108235246E-3</v>
      </c>
      <c r="G346" s="28">
        <f>LN(Index!G347/Index!G346)</f>
        <v>6.7895540089312149E-3</v>
      </c>
      <c r="H346" s="28">
        <f>LN(Index!H347/Index!H346)</f>
        <v>8.4659908329730651E-3</v>
      </c>
      <c r="I346" s="28">
        <f>LN(Index!I347/Index!I346)</f>
        <v>9.5001018983865652E-3</v>
      </c>
      <c r="J346" s="28">
        <f>LN(Index!J347/Index!J346)</f>
        <v>-2.1118590529165232E-2</v>
      </c>
      <c r="K346" s="28">
        <f>LN(Index!K347/Index!K346)</f>
        <v>2.3489660983237438E-3</v>
      </c>
      <c r="L346" s="28">
        <f>LN(Index!L347/Index!L346)</f>
        <v>-1.2735415183868041E-2</v>
      </c>
      <c r="M346" s="28">
        <f>LN(Index!M347/Index!M346)</f>
        <v>-1.0136491628695487E-2</v>
      </c>
      <c r="N346" s="28">
        <f>LN(Index!N347/Index!N346)</f>
        <v>-5.544385867862823E-4</v>
      </c>
    </row>
    <row r="347" spans="1:14">
      <c r="A347" s="15">
        <v>40046</v>
      </c>
      <c r="B347" s="28">
        <f>LN(Index!B348/Index!B347)</f>
        <v>1.5472085937893502E-2</v>
      </c>
      <c r="C347" s="28">
        <f>LN(Index!C348/Index!C347)</f>
        <v>1.1650109728407697E-3</v>
      </c>
      <c r="D347" s="28">
        <f>LN(Index!D348/Index!D347)</f>
        <v>-8.6623079850827907E-3</v>
      </c>
      <c r="E347" s="28">
        <f>LN(Index!E348/Index!E347)</f>
        <v>2.0256998018852872E-2</v>
      </c>
      <c r="F347" s="28">
        <f>LN(Index!F348/Index!F347)</f>
        <v>1.9839037507721091E-2</v>
      </c>
      <c r="G347" s="28">
        <f>LN(Index!G348/Index!G347)</f>
        <v>-3.6485543859768439E-2</v>
      </c>
      <c r="H347" s="28">
        <f>LN(Index!H348/Index!H347)</f>
        <v>2.4304670839780346E-2</v>
      </c>
      <c r="I347" s="28">
        <f>LN(Index!I348/Index!I347)</f>
        <v>-8.5979818552485484E-3</v>
      </c>
      <c r="J347" s="28">
        <f>LN(Index!J348/Index!J347)</f>
        <v>2.5647455768711715E-2</v>
      </c>
      <c r="K347" s="28">
        <f>LN(Index!K348/Index!K347)</f>
        <v>-3.5176000485184322E-2</v>
      </c>
      <c r="L347" s="28">
        <f>LN(Index!L348/Index!L347)</f>
        <v>2.7017920209916418E-2</v>
      </c>
      <c r="M347" s="28">
        <f>LN(Index!M348/Index!M347)</f>
        <v>-1.7054303409130077E-2</v>
      </c>
      <c r="N347" s="28">
        <f>LN(Index!N348/Index!N347)</f>
        <v>1.0094994132299855E-2</v>
      </c>
    </row>
    <row r="348" spans="1:14">
      <c r="A348" s="15">
        <v>40053</v>
      </c>
      <c r="B348" s="28">
        <f>LN(Index!B349/Index!B348)</f>
        <v>1.2434287838273777E-2</v>
      </c>
      <c r="C348" s="28">
        <f>LN(Index!C349/Index!C348)</f>
        <v>7.7322463916843281E-3</v>
      </c>
      <c r="D348" s="28">
        <f>LN(Index!D349/Index!D348)</f>
        <v>2.4163990918990481E-2</v>
      </c>
      <c r="E348" s="28">
        <f>LN(Index!E349/Index!E348)</f>
        <v>7.5132146458211811E-3</v>
      </c>
      <c r="F348" s="28">
        <f>LN(Index!F349/Index!F348)</f>
        <v>-1.3122694593495033E-2</v>
      </c>
      <c r="G348" s="28">
        <f>LN(Index!G349/Index!G348)</f>
        <v>3.3560690728441443E-2</v>
      </c>
      <c r="H348" s="28">
        <f>LN(Index!H349/Index!H348)</f>
        <v>-9.477688597644569E-3</v>
      </c>
      <c r="I348" s="28">
        <f>LN(Index!I349/Index!I348)</f>
        <v>2.8154178433662014E-2</v>
      </c>
      <c r="J348" s="28">
        <f>LN(Index!J349/Index!J348)</f>
        <v>-2.1928537540430388E-3</v>
      </c>
      <c r="K348" s="28">
        <f>LN(Index!K349/Index!K348)</f>
        <v>3.9822956849527066E-2</v>
      </c>
      <c r="L348" s="28">
        <f>LN(Index!L349/Index!L348)</f>
        <v>-1.8005044596514846E-2</v>
      </c>
      <c r="M348" s="28">
        <f>LN(Index!M349/Index!M348)</f>
        <v>2.9492254101497761E-2</v>
      </c>
      <c r="N348" s="28">
        <f>LN(Index!N349/Index!N348)</f>
        <v>4.9117767850608745E-3</v>
      </c>
    </row>
    <row r="349" spans="1:14">
      <c r="A349" s="15">
        <v>40060</v>
      </c>
      <c r="B349" s="28">
        <f>LN(Index!B350/Index!B349)</f>
        <v>-1.7220983310728234E-2</v>
      </c>
      <c r="C349" s="28">
        <f>LN(Index!C350/Index!C349)</f>
        <v>1.0905826074507304E-3</v>
      </c>
      <c r="D349" s="28">
        <f>LN(Index!D350/Index!D349)</f>
        <v>-2.564243061333767E-2</v>
      </c>
      <c r="E349" s="28">
        <f>LN(Index!E350/Index!E349)</f>
        <v>-1.162952437324468E-2</v>
      </c>
      <c r="F349" s="28">
        <f>LN(Index!F350/Index!F349)</f>
        <v>-1.09303128571151E-2</v>
      </c>
      <c r="G349" s="28">
        <f>LN(Index!G350/Index!G349)</f>
        <v>1.0711114581755981E-2</v>
      </c>
      <c r="H349" s="28">
        <f>LN(Index!H350/Index!H349)</f>
        <v>-8.3267701488505697E-3</v>
      </c>
      <c r="I349" s="28">
        <f>LN(Index!I350/Index!I349)</f>
        <v>-3.2325009634527599E-2</v>
      </c>
      <c r="J349" s="28">
        <f>LN(Index!J350/Index!J349)</f>
        <v>-5.3975278746198627E-3</v>
      </c>
      <c r="K349" s="28">
        <f>LN(Index!K350/Index!K349)</f>
        <v>1.9718673929182605E-2</v>
      </c>
      <c r="L349" s="28">
        <f>LN(Index!L350/Index!L349)</f>
        <v>1.6930495974968717E-2</v>
      </c>
      <c r="M349" s="28">
        <f>LN(Index!M350/Index!M349)</f>
        <v>-1.410586868391E-2</v>
      </c>
      <c r="N349" s="28">
        <f>LN(Index!N350/Index!N349)</f>
        <v>-9.174323272713638E-3</v>
      </c>
    </row>
    <row r="350" spans="1:14">
      <c r="A350" s="15">
        <v>40067</v>
      </c>
      <c r="B350" s="28">
        <f>LN(Index!B351/Index!B350)</f>
        <v>3.9938964654760309E-2</v>
      </c>
      <c r="C350" s="28">
        <f>LN(Index!C351/Index!C350)</f>
        <v>9.6033408293797577E-3</v>
      </c>
      <c r="D350" s="28">
        <f>LN(Index!D351/Index!D350)</f>
        <v>6.3222515025614989E-2</v>
      </c>
      <c r="E350" s="28">
        <f>LN(Index!E351/Index!E350)</f>
        <v>6.6604358327152891E-2</v>
      </c>
      <c r="F350" s="28">
        <f>LN(Index!F351/Index!F350)</f>
        <v>2.278962052462034E-2</v>
      </c>
      <c r="G350" s="28">
        <f>LN(Index!G351/Index!G350)</f>
        <v>4.2700430771307279E-2</v>
      </c>
      <c r="H350" s="28">
        <f>LN(Index!H351/Index!H350)</f>
        <v>3.1670261792380139E-2</v>
      </c>
      <c r="I350" s="28">
        <f>LN(Index!I351/Index!I350)</f>
        <v>6.7604525586351258E-2</v>
      </c>
      <c r="J350" s="28">
        <f>LN(Index!J351/Index!J350)</f>
        <v>3.8056737566310166E-2</v>
      </c>
      <c r="K350" s="28">
        <f>LN(Index!K351/Index!K350)</f>
        <v>8.3683962614975682E-2</v>
      </c>
      <c r="L350" s="28">
        <f>LN(Index!L351/Index!L350)</f>
        <v>7.2339067825365935E-2</v>
      </c>
      <c r="M350" s="28">
        <f>LN(Index!M351/Index!M350)</f>
        <v>6.688323696420527E-2</v>
      </c>
      <c r="N350" s="28">
        <f>LN(Index!N351/Index!N350)</f>
        <v>2.6279770932621186E-2</v>
      </c>
    </row>
    <row r="351" spans="1:14">
      <c r="A351" s="15">
        <v>40074</v>
      </c>
      <c r="B351" s="28">
        <f>LN(Index!B352/Index!B351)</f>
        <v>1.7887188494216659E-2</v>
      </c>
      <c r="C351" s="28">
        <f>LN(Index!C352/Index!C351)</f>
        <v>6.031076095011856E-4</v>
      </c>
      <c r="D351" s="28">
        <f>LN(Index!D352/Index!D351)</f>
        <v>2.9573784749466807E-2</v>
      </c>
      <c r="E351" s="28">
        <f>LN(Index!E352/Index!E351)</f>
        <v>1.3793927435945416E-2</v>
      </c>
      <c r="F351" s="28">
        <f>LN(Index!F352/Index!F351)</f>
        <v>3.0094702888461888E-2</v>
      </c>
      <c r="G351" s="28">
        <f>LN(Index!G352/Index!G351)</f>
        <v>1.7161590179118943E-2</v>
      </c>
      <c r="H351" s="28">
        <f>LN(Index!H352/Index!H351)</f>
        <v>1.1173376491616524E-2</v>
      </c>
      <c r="I351" s="28">
        <f>LN(Index!I352/Index!I351)</f>
        <v>3.7900754398728399E-2</v>
      </c>
      <c r="J351" s="28">
        <f>LN(Index!J352/Index!J351)</f>
        <v>5.557155799051001E-3</v>
      </c>
      <c r="K351" s="28">
        <f>LN(Index!K352/Index!K351)</f>
        <v>-9.9569724808148616E-4</v>
      </c>
      <c r="L351" s="28">
        <f>LN(Index!L352/Index!L351)</f>
        <v>5.0228633197754842E-2</v>
      </c>
      <c r="M351" s="28">
        <f>LN(Index!M352/Index!M351)</f>
        <v>1.8889301591058269E-2</v>
      </c>
      <c r="N351" s="28">
        <f>LN(Index!N352/Index!N351)</f>
        <v>2.1332620998046444E-2</v>
      </c>
    </row>
    <row r="352" spans="1:14">
      <c r="A352" s="15">
        <v>40081</v>
      </c>
      <c r="B352" s="28">
        <f>LN(Index!B353/Index!B352)</f>
        <v>-2.1315052391405527E-2</v>
      </c>
      <c r="C352" s="28">
        <f>LN(Index!C353/Index!C352)</f>
        <v>3.9587706686689253E-3</v>
      </c>
      <c r="D352" s="28">
        <f>LN(Index!D353/Index!D352)</f>
        <v>-4.1761957209553453E-2</v>
      </c>
      <c r="E352" s="28">
        <f>LN(Index!E353/Index!E352)</f>
        <v>-1.939188012271564E-2</v>
      </c>
      <c r="F352" s="28">
        <f>LN(Index!F353/Index!F352)</f>
        <v>-1.5785851700541229E-2</v>
      </c>
      <c r="G352" s="28">
        <f>LN(Index!G353/Index!G352)</f>
        <v>3.6182889567804792E-4</v>
      </c>
      <c r="H352" s="28">
        <f>LN(Index!H353/Index!H352)</f>
        <v>-2.33645429643086E-2</v>
      </c>
      <c r="I352" s="28">
        <f>LN(Index!I353/Index!I352)</f>
        <v>-5.6922602056956846E-3</v>
      </c>
      <c r="J352" s="28">
        <f>LN(Index!J353/Index!J352)</f>
        <v>-4.7838841374967307E-2</v>
      </c>
      <c r="K352" s="28">
        <f>LN(Index!K353/Index!K352)</f>
        <v>-2.8146451288735656E-3</v>
      </c>
      <c r="L352" s="28">
        <f>LN(Index!L353/Index!L352)</f>
        <v>-1.4702992030973135E-2</v>
      </c>
      <c r="M352" s="28">
        <f>LN(Index!M353/Index!M352)</f>
        <v>-2.5106819382819307E-3</v>
      </c>
      <c r="N352" s="28">
        <f>LN(Index!N353/Index!N352)</f>
        <v>-1.1487917777568248E-2</v>
      </c>
    </row>
    <row r="353" spans="1:14">
      <c r="A353" s="15">
        <v>40088</v>
      </c>
      <c r="B353" s="28">
        <f>LN(Index!B354/Index!B353)</f>
        <v>-2.4045072603438022E-2</v>
      </c>
      <c r="C353" s="28">
        <f>LN(Index!C354/Index!C353)</f>
        <v>4.7299303015452612E-3</v>
      </c>
      <c r="D353" s="28">
        <f>LN(Index!D354/Index!D353)</f>
        <v>-3.085465047258093E-2</v>
      </c>
      <c r="E353" s="28">
        <f>LN(Index!E354/Index!E353)</f>
        <v>-3.1109498276930142E-4</v>
      </c>
      <c r="F353" s="28">
        <f>LN(Index!F354/Index!F353)</f>
        <v>-1.7082141078237877E-2</v>
      </c>
      <c r="G353" s="28">
        <f>LN(Index!G354/Index!G353)</f>
        <v>1.0582109330536788E-2</v>
      </c>
      <c r="H353" s="28">
        <f>LN(Index!H354/Index!H353)</f>
        <v>-2.8665813859039529E-3</v>
      </c>
      <c r="I353" s="28">
        <f>LN(Index!I354/Index!I353)</f>
        <v>-8.5926041300239762E-3</v>
      </c>
      <c r="J353" s="28">
        <f>LN(Index!J354/Index!J353)</f>
        <v>5.0902485243196679E-3</v>
      </c>
      <c r="K353" s="28">
        <f>LN(Index!K354/Index!K353)</f>
        <v>-1.6856706762525188E-2</v>
      </c>
      <c r="L353" s="28">
        <f>LN(Index!L354/Index!L353)</f>
        <v>-2.4668816747001072E-2</v>
      </c>
      <c r="M353" s="28">
        <f>LN(Index!M354/Index!M353)</f>
        <v>1.5938332598636668E-2</v>
      </c>
      <c r="N353" s="28">
        <f>LN(Index!N354/Index!N353)</f>
        <v>-2.842193035219224E-3</v>
      </c>
    </row>
    <row r="354" spans="1:14">
      <c r="A354" s="15">
        <v>40095</v>
      </c>
      <c r="B354" s="28">
        <f>LN(Index!B355/Index!B354)</f>
        <v>4.571988930922672E-2</v>
      </c>
      <c r="C354" s="28">
        <f>LN(Index!C355/Index!C354)</f>
        <v>5.3465005283464227E-4</v>
      </c>
      <c r="D354" s="28">
        <f>LN(Index!D355/Index!D354)</f>
        <v>4.9426723396685038E-2</v>
      </c>
      <c r="E354" s="28">
        <f>LN(Index!E355/Index!E354)</f>
        <v>2.5111839490814112E-2</v>
      </c>
      <c r="F354" s="28">
        <f>LN(Index!F355/Index!F354)</f>
        <v>4.2955813808309866E-2</v>
      </c>
      <c r="G354" s="28">
        <f>LN(Index!G355/Index!G354)</f>
        <v>1.0405255419357856E-2</v>
      </c>
      <c r="H354" s="28">
        <f>LN(Index!H355/Index!H354)</f>
        <v>1.173949753262681E-2</v>
      </c>
      <c r="I354" s="28">
        <f>LN(Index!I355/Index!I354)</f>
        <v>3.0875518973319832E-2</v>
      </c>
      <c r="J354" s="28">
        <f>LN(Index!J355/Index!J354)</f>
        <v>5.2221159209926574E-3</v>
      </c>
      <c r="K354" s="28">
        <f>LN(Index!K355/Index!K354)</f>
        <v>1.0526056784745896E-2</v>
      </c>
      <c r="L354" s="28">
        <f>LN(Index!L355/Index!L354)</f>
        <v>4.3306090429537529E-2</v>
      </c>
      <c r="M354" s="28">
        <f>LN(Index!M355/Index!M354)</f>
        <v>4.2484448376342882E-2</v>
      </c>
      <c r="N354" s="28">
        <f>LN(Index!N355/Index!N354)</f>
        <v>3.5937689133055485E-2</v>
      </c>
    </row>
    <row r="355" spans="1:14">
      <c r="A355" s="15">
        <v>40102</v>
      </c>
      <c r="B355" s="28">
        <f>LN(Index!B356/Index!B355)</f>
        <v>1.4250863987133766E-2</v>
      </c>
      <c r="C355" s="28">
        <f>LN(Index!C356/Index!C355)</f>
        <v>-3.4330201745725736E-3</v>
      </c>
      <c r="D355" s="28">
        <f>LN(Index!D356/Index!D355)</f>
        <v>2.0679362479843946E-3</v>
      </c>
      <c r="E355" s="28">
        <f>LN(Index!E356/Index!E355)</f>
        <v>6.644294577044811E-4</v>
      </c>
      <c r="F355" s="28">
        <f>LN(Index!F356/Index!F355)</f>
        <v>2.3291530717322231E-2</v>
      </c>
      <c r="G355" s="28">
        <f>LN(Index!G356/Index!G355)</f>
        <v>3.6289586017511033E-2</v>
      </c>
      <c r="H355" s="28">
        <f>LN(Index!H356/Index!H355)</f>
        <v>1.370529506220408E-4</v>
      </c>
      <c r="I355" s="28">
        <f>LN(Index!I356/Index!I355)</f>
        <v>1.7379486527482321E-2</v>
      </c>
      <c r="J355" s="28">
        <f>LN(Index!J356/Index!J355)</f>
        <v>5.3187473962441575E-4</v>
      </c>
      <c r="K355" s="28">
        <f>LN(Index!K356/Index!K355)</f>
        <v>1.45519004161998E-2</v>
      </c>
      <c r="L355" s="28">
        <f>LN(Index!L356/Index!L355)</f>
        <v>5.8012978583478349E-2</v>
      </c>
      <c r="M355" s="28">
        <f>LN(Index!M356/Index!M355)</f>
        <v>1.8692222443348321E-2</v>
      </c>
      <c r="N355" s="28">
        <f>LN(Index!N356/Index!N355)</f>
        <v>1.2566393693746444E-2</v>
      </c>
    </row>
    <row r="356" spans="1:14">
      <c r="A356" s="15">
        <v>40109</v>
      </c>
      <c r="B356" s="28">
        <f>LN(Index!B357/Index!B356)</f>
        <v>-2.4073235792520329E-3</v>
      </c>
      <c r="C356" s="28">
        <f>LN(Index!C357/Index!C356)</f>
        <v>5.9926512966541271E-4</v>
      </c>
      <c r="D356" s="28">
        <f>LN(Index!D357/Index!D356)</f>
        <v>1.5713687277634624E-2</v>
      </c>
      <c r="E356" s="28">
        <f>LN(Index!E357/Index!E356)</f>
        <v>3.0948469590915432E-3</v>
      </c>
      <c r="F356" s="28">
        <f>LN(Index!F357/Index!F356)</f>
        <v>-1.4507508068388823E-2</v>
      </c>
      <c r="G356" s="28">
        <f>LN(Index!G357/Index!G356)</f>
        <v>1.2526596182417681E-2</v>
      </c>
      <c r="H356" s="28">
        <f>LN(Index!H357/Index!H356)</f>
        <v>8.1210267933802902E-3</v>
      </c>
      <c r="I356" s="28">
        <f>LN(Index!I357/Index!I356)</f>
        <v>-4.5177609379686958E-3</v>
      </c>
      <c r="J356" s="28">
        <f>LN(Index!J357/Index!J356)</f>
        <v>-1.1767094524817015E-2</v>
      </c>
      <c r="K356" s="28">
        <f>LN(Index!K357/Index!K356)</f>
        <v>-1.3986553475552357E-2</v>
      </c>
      <c r="L356" s="28">
        <f>LN(Index!L357/Index!L356)</f>
        <v>-1.8894760463309238E-2</v>
      </c>
      <c r="M356" s="28">
        <f>LN(Index!M357/Index!M356)</f>
        <v>7.0125233268253893E-4</v>
      </c>
      <c r="N356" s="28">
        <f>LN(Index!N357/Index!N356)</f>
        <v>-8.2431843318032088E-3</v>
      </c>
    </row>
    <row r="357" spans="1:14">
      <c r="A357" s="15">
        <v>40116</v>
      </c>
      <c r="B357" s="28">
        <f>LN(Index!B358/Index!B357)</f>
        <v>-4.1827843746120884E-2</v>
      </c>
      <c r="C357" s="28">
        <f>LN(Index!C358/Index!C357)</f>
        <v>2.707980746719167E-3</v>
      </c>
      <c r="D357" s="28">
        <f>LN(Index!D358/Index!D357)</f>
        <v>-3.5963239219351448E-2</v>
      </c>
      <c r="E357" s="28">
        <f>LN(Index!E358/Index!E357)</f>
        <v>-2.7716107782998038E-2</v>
      </c>
      <c r="F357" s="28">
        <f>LN(Index!F358/Index!F357)</f>
        <v>-3.6659454113211559E-2</v>
      </c>
      <c r="G357" s="28">
        <f>LN(Index!G358/Index!G357)</f>
        <v>-2.5006875631120903E-2</v>
      </c>
      <c r="H357" s="28">
        <f>LN(Index!H358/Index!H357)</f>
        <v>8.8353932317349082E-5</v>
      </c>
      <c r="I357" s="28">
        <f>LN(Index!I358/Index!I357)</f>
        <v>-5.2286569853637353E-2</v>
      </c>
      <c r="J357" s="28">
        <f>LN(Index!J358/Index!J357)</f>
        <v>-9.8323039428291226E-3</v>
      </c>
      <c r="K357" s="28">
        <f>LN(Index!K358/Index!K357)</f>
        <v>-7.1546520323751236E-2</v>
      </c>
      <c r="L357" s="28">
        <f>LN(Index!L358/Index!L357)</f>
        <v>-5.9611616981665942E-2</v>
      </c>
      <c r="M357" s="28">
        <f>LN(Index!M358/Index!M357)</f>
        <v>-5.8341853353982211E-2</v>
      </c>
      <c r="N357" s="28">
        <f>LN(Index!N358/Index!N357)</f>
        <v>-2.8141296528238127E-2</v>
      </c>
    </row>
    <row r="358" spans="1:14">
      <c r="A358" s="15">
        <v>40123</v>
      </c>
      <c r="B358" s="28">
        <f>LN(Index!B359/Index!B358)</f>
        <v>2.3250211878777675E-2</v>
      </c>
      <c r="C358" s="28">
        <f>LN(Index!C359/Index!C358)</f>
        <v>-1.572401217134003E-4</v>
      </c>
      <c r="D358" s="28">
        <f>LN(Index!D359/Index!D358)</f>
        <v>-1.0122894148602721E-2</v>
      </c>
      <c r="E358" s="28">
        <f>LN(Index!E359/Index!E358)</f>
        <v>2.4934063854390461E-2</v>
      </c>
      <c r="F358" s="28">
        <f>LN(Index!F359/Index!F358)</f>
        <v>3.0870213986638435E-2</v>
      </c>
      <c r="G358" s="28">
        <f>LN(Index!G359/Index!G358)</f>
        <v>1.8535883495363913E-2</v>
      </c>
      <c r="H358" s="28">
        <f>LN(Index!H359/Index!H358)</f>
        <v>1.6473371364841668E-2</v>
      </c>
      <c r="I358" s="28">
        <f>LN(Index!I359/Index!I358)</f>
        <v>1.8784144420410896E-2</v>
      </c>
      <c r="J358" s="28">
        <f>LN(Index!J359/Index!J358)</f>
        <v>1.8469752403222694E-2</v>
      </c>
      <c r="K358" s="28">
        <f>LN(Index!K359/Index!K358)</f>
        <v>-1.815044807158139E-2</v>
      </c>
      <c r="L358" s="28">
        <f>LN(Index!L359/Index!L358)</f>
        <v>5.4551355386611641E-2</v>
      </c>
      <c r="M358" s="28">
        <f>LN(Index!M359/Index!M358)</f>
        <v>6.4376891787840396E-2</v>
      </c>
      <c r="N358" s="28">
        <f>LN(Index!N359/Index!N358)</f>
        <v>1.1596266774068624E-2</v>
      </c>
    </row>
    <row r="359" spans="1:14">
      <c r="A359" s="15">
        <v>40130</v>
      </c>
      <c r="B359" s="28">
        <f>LN(Index!B360/Index!B359)</f>
        <v>2.2765068772362642E-2</v>
      </c>
      <c r="C359" s="28">
        <f>LN(Index!C360/Index!C359)</f>
        <v>3.735622997154344E-3</v>
      </c>
      <c r="D359" s="28">
        <f>LN(Index!D360/Index!D359)</f>
        <v>3.0142886461198028E-2</v>
      </c>
      <c r="E359" s="28">
        <f>LN(Index!E360/Index!E359)</f>
        <v>2.7660717073449671E-2</v>
      </c>
      <c r="F359" s="28">
        <f>LN(Index!F360/Index!F359)</f>
        <v>2.1923325161211323E-2</v>
      </c>
      <c r="G359" s="28">
        <f>LN(Index!G360/Index!G359)</f>
        <v>2.2017316328238733E-2</v>
      </c>
      <c r="H359" s="28">
        <f>LN(Index!H360/Index!H359)</f>
        <v>2.6636580234287235E-2</v>
      </c>
      <c r="I359" s="28">
        <f>LN(Index!I360/Index!I359)</f>
        <v>1.4217900980653219E-2</v>
      </c>
      <c r="J359" s="28">
        <f>LN(Index!J360/Index!J359)</f>
        <v>3.3465956519356535E-2</v>
      </c>
      <c r="K359" s="28">
        <f>LN(Index!K360/Index!K359)</f>
        <v>3.8614947640379406E-2</v>
      </c>
      <c r="L359" s="28">
        <f>LN(Index!L360/Index!L359)</f>
        <v>3.8033523645218649E-2</v>
      </c>
      <c r="M359" s="28">
        <f>LN(Index!M360/Index!M359)</f>
        <v>1.6589269668221523E-2</v>
      </c>
      <c r="N359" s="28">
        <f>LN(Index!N360/Index!N359)</f>
        <v>1.9167660726184633E-2</v>
      </c>
    </row>
    <row r="360" spans="1:14">
      <c r="A360" s="15">
        <v>40137</v>
      </c>
      <c r="B360" s="28">
        <f>LN(Index!B361/Index!B360)</f>
        <v>-1.088561865016191E-2</v>
      </c>
      <c r="C360" s="28">
        <f>LN(Index!C361/Index!C360)</f>
        <v>6.6518053612433748E-3</v>
      </c>
      <c r="D360" s="28">
        <f>LN(Index!D361/Index!D360)</f>
        <v>-1.6357127289156056E-2</v>
      </c>
      <c r="E360" s="28">
        <f>LN(Index!E361/Index!E360)</f>
        <v>2.7575909601478903E-3</v>
      </c>
      <c r="F360" s="28">
        <f>LN(Index!F361/Index!F360)</f>
        <v>2.6025275148350026E-3</v>
      </c>
      <c r="G360" s="28">
        <f>LN(Index!G361/Index!G360)</f>
        <v>-2.3612805522750711E-2</v>
      </c>
      <c r="H360" s="28">
        <f>LN(Index!H361/Index!H360)</f>
        <v>7.7357157395836866E-3</v>
      </c>
      <c r="I360" s="28">
        <f>LN(Index!I361/Index!I360)</f>
        <v>-2.8354862815539419E-2</v>
      </c>
      <c r="J360" s="28">
        <f>LN(Index!J361/Index!J360)</f>
        <v>-6.368473508783304E-6</v>
      </c>
      <c r="K360" s="28">
        <f>LN(Index!K361/Index!K360)</f>
        <v>-3.7462571534252413E-2</v>
      </c>
      <c r="L360" s="28">
        <f>LN(Index!L361/Index!L360)</f>
        <v>6.9153272853023787E-3</v>
      </c>
      <c r="M360" s="28">
        <f>LN(Index!M361/Index!M360)</f>
        <v>-1.0150623188024843E-2</v>
      </c>
      <c r="N360" s="28">
        <f>LN(Index!N361/Index!N360)</f>
        <v>-2.854528787013142E-3</v>
      </c>
    </row>
    <row r="361" spans="1:14">
      <c r="A361" s="15">
        <v>40144</v>
      </c>
      <c r="B361" s="28">
        <f>LN(Index!B362/Index!B361)</f>
        <v>-9.9550285477673366E-4</v>
      </c>
      <c r="C361" s="28">
        <f>LN(Index!C362/Index!C361)</f>
        <v>8.8625041666637854E-3</v>
      </c>
      <c r="D361" s="28">
        <f>LN(Index!D362/Index!D361)</f>
        <v>-2.600619374692438E-2</v>
      </c>
      <c r="E361" s="28">
        <f>LN(Index!E362/Index!E361)</f>
        <v>5.1767757109835305E-3</v>
      </c>
      <c r="F361" s="28">
        <f>LN(Index!F362/Index!F361)</f>
        <v>1.0103581167782089E-2</v>
      </c>
      <c r="G361" s="28">
        <f>LN(Index!G362/Index!G361)</f>
        <v>-2.6028126649137569E-2</v>
      </c>
      <c r="H361" s="28">
        <f>LN(Index!H362/Index!H361)</f>
        <v>8.1825831420865823E-3</v>
      </c>
      <c r="I361" s="28">
        <f>LN(Index!I362/Index!I361)</f>
        <v>-1.7407040411268174E-2</v>
      </c>
      <c r="J361" s="28">
        <f>LN(Index!J362/Index!J361)</f>
        <v>2.3090974762925209E-2</v>
      </c>
      <c r="K361" s="28">
        <f>LN(Index!K362/Index!K361)</f>
        <v>-7.2391114552449121E-2</v>
      </c>
      <c r="L361" s="28">
        <f>LN(Index!L362/Index!L361)</f>
        <v>-2.7986837137978452E-3</v>
      </c>
      <c r="M361" s="28">
        <f>LN(Index!M362/Index!M361)</f>
        <v>-1.4317894785328243E-2</v>
      </c>
      <c r="N361" s="28">
        <f>LN(Index!N362/Index!N361)</f>
        <v>1.0120935556478115E-2</v>
      </c>
    </row>
    <row r="362" spans="1:14">
      <c r="A362" s="15">
        <v>40151</v>
      </c>
      <c r="B362" s="28">
        <f>LN(Index!B363/Index!B362)</f>
        <v>2.1025378144520195E-2</v>
      </c>
      <c r="C362" s="28">
        <f>LN(Index!C363/Index!C362)</f>
        <v>-7.1520654109610352E-3</v>
      </c>
      <c r="D362" s="28">
        <f>LN(Index!D363/Index!D362)</f>
        <v>5.8683088147593439E-2</v>
      </c>
      <c r="E362" s="28">
        <f>LN(Index!E363/Index!E362)</f>
        <v>1.1674604558533953E-2</v>
      </c>
      <c r="F362" s="28">
        <f>LN(Index!F363/Index!F362)</f>
        <v>2.4502733012066166E-2</v>
      </c>
      <c r="G362" s="28">
        <f>LN(Index!G363/Index!G362)</f>
        <v>3.512906225419183E-2</v>
      </c>
      <c r="H362" s="28">
        <f>LN(Index!H363/Index!H362)</f>
        <v>1.0401291949831788E-2</v>
      </c>
      <c r="I362" s="28">
        <f>LN(Index!I363/Index!I362)</f>
        <v>3.1969150707929238E-2</v>
      </c>
      <c r="J362" s="28">
        <f>LN(Index!J363/Index!J362)</f>
        <v>2.4326595573249704E-2</v>
      </c>
      <c r="K362" s="28">
        <f>LN(Index!K363/Index!K362)</f>
        <v>9.2199904218040318E-3</v>
      </c>
      <c r="L362" s="28">
        <f>LN(Index!L363/Index!L362)</f>
        <v>8.2013184778153871E-3</v>
      </c>
      <c r="M362" s="28">
        <f>LN(Index!M363/Index!M362)</f>
        <v>2.3050557837161353E-2</v>
      </c>
      <c r="N362" s="28">
        <f>LN(Index!N363/Index!N362)</f>
        <v>2.834646469664974E-2</v>
      </c>
    </row>
    <row r="363" spans="1:14">
      <c r="A363" s="15">
        <v>40158</v>
      </c>
      <c r="B363" s="28">
        <f>LN(Index!B364/Index!B363)</f>
        <v>-1.1495368449548952E-2</v>
      </c>
      <c r="C363" s="28">
        <f>LN(Index!C364/Index!C363)</f>
        <v>-2.395434267744159E-3</v>
      </c>
      <c r="D363" s="28">
        <f>LN(Index!D364/Index!D363)</f>
        <v>-1.5478305979437714E-2</v>
      </c>
      <c r="E363" s="28">
        <f>LN(Index!E364/Index!E363)</f>
        <v>-2.2191165841550651E-2</v>
      </c>
      <c r="F363" s="28">
        <f>LN(Index!F364/Index!F363)</f>
        <v>2.0630661657757128E-2</v>
      </c>
      <c r="G363" s="28">
        <f>LN(Index!G364/Index!G363)</f>
        <v>-4.2073510284244449E-3</v>
      </c>
      <c r="H363" s="28">
        <f>LN(Index!H364/Index!H363)</f>
        <v>3.1461795470679832E-3</v>
      </c>
      <c r="I363" s="28">
        <f>LN(Index!I364/Index!I363)</f>
        <v>-1.2740151210599142E-2</v>
      </c>
      <c r="J363" s="28">
        <f>LN(Index!J364/Index!J363)</f>
        <v>-6.8256322724829926E-3</v>
      </c>
      <c r="K363" s="28">
        <f>LN(Index!K364/Index!K363)</f>
        <v>-6.5139753944001205E-2</v>
      </c>
      <c r="L363" s="28">
        <f>LN(Index!L364/Index!L363)</f>
        <v>-1.8952883577784022E-2</v>
      </c>
      <c r="M363" s="28">
        <f>LN(Index!M364/Index!M363)</f>
        <v>-2.4052312177796291E-2</v>
      </c>
      <c r="N363" s="28">
        <f>LN(Index!N364/Index!N363)</f>
        <v>2.0964525470340514E-2</v>
      </c>
    </row>
    <row r="364" spans="1:14">
      <c r="A364" s="15">
        <v>40165</v>
      </c>
      <c r="B364" s="28">
        <f>LN(Index!B365/Index!B364)</f>
        <v>-9.9407250007634892E-3</v>
      </c>
      <c r="C364" s="28">
        <f>LN(Index!C365/Index!C364)</f>
        <v>-3.1507879632557772E-3</v>
      </c>
      <c r="D364" s="28">
        <f>LN(Index!D365/Index!D364)</f>
        <v>-8.6780101484564189E-3</v>
      </c>
      <c r="E364" s="28">
        <f>LN(Index!E365/Index!E364)</f>
        <v>-1.3934626528571631E-2</v>
      </c>
      <c r="F364" s="28">
        <f>LN(Index!F365/Index!F364)</f>
        <v>1.6225967288142577E-2</v>
      </c>
      <c r="G364" s="28">
        <f>LN(Index!G365/Index!G364)</f>
        <v>-3.4997834507649844E-4</v>
      </c>
      <c r="H364" s="28">
        <f>LN(Index!H365/Index!H364)</f>
        <v>-1.5170094715770136E-4</v>
      </c>
      <c r="I364" s="28">
        <f>LN(Index!I365/Index!I364)</f>
        <v>2.2066286268689877E-2</v>
      </c>
      <c r="J364" s="28">
        <f>LN(Index!J365/Index!J364)</f>
        <v>-5.4204662842473111E-3</v>
      </c>
      <c r="K364" s="28">
        <f>LN(Index!K365/Index!K364)</f>
        <v>4.4308579519295337E-2</v>
      </c>
      <c r="L364" s="28">
        <f>LN(Index!L365/Index!L364)</f>
        <v>4.0597112037397749E-2</v>
      </c>
      <c r="M364" s="28">
        <f>LN(Index!M365/Index!M364)</f>
        <v>-2.9853394970655138E-2</v>
      </c>
      <c r="N364" s="28">
        <f>LN(Index!N365/Index!N364)</f>
        <v>8.6396820650699649E-5</v>
      </c>
    </row>
    <row r="365" spans="1:14" ht="15.75" thickBot="1">
      <c r="A365" s="6">
        <v>40172</v>
      </c>
      <c r="B365" s="28">
        <f>LN(Index!B366/Index!B365)</f>
        <v>2.3709151862168227E-2</v>
      </c>
      <c r="C365" s="28">
        <f>LN(Index!C366/Index!C365)</f>
        <v>-1.0553856165557372E-2</v>
      </c>
      <c r="D365" s="28">
        <f>LN(Index!D366/Index!D365)</f>
        <v>2.0838062706103271E-2</v>
      </c>
      <c r="E365" s="28">
        <f>LN(Index!E366/Index!E365)</f>
        <v>1.7966672901575147E-2</v>
      </c>
      <c r="F365" s="28">
        <f>LN(Index!F366/Index!F365)</f>
        <v>1.9244322457277547E-2</v>
      </c>
      <c r="G365" s="28">
        <f>LN(Index!G366/Index!G365)</f>
        <v>1.0088609942289431E-2</v>
      </c>
      <c r="H365" s="28">
        <f>LN(Index!H366/Index!H365)</f>
        <v>1.9282653870801404E-2</v>
      </c>
      <c r="I365" s="28">
        <f>LN(Index!I366/Index!I365)</f>
        <v>3.0621036339370847E-3</v>
      </c>
      <c r="J365" s="28">
        <f>LN(Index!J366/Index!J365)</f>
        <v>1.0531885367897256E-2</v>
      </c>
      <c r="K365" s="28">
        <f>LN(Index!K366/Index!K365)</f>
        <v>4.3720074559990739E-2</v>
      </c>
      <c r="L365" s="28">
        <f>LN(Index!L366/Index!L365)</f>
        <v>2.9396071741331149E-2</v>
      </c>
      <c r="M365" s="28">
        <f>LN(Index!M366/Index!M365)</f>
        <v>1.8474327536053277E-2</v>
      </c>
      <c r="N365" s="28">
        <f>LN(Index!N366/Index!N365)</f>
        <v>1.2930899090945816E-2</v>
      </c>
    </row>
    <row r="366" spans="1:14">
      <c r="A366" s="15">
        <v>40179</v>
      </c>
      <c r="B366" s="28">
        <f>LN(Index!B367/Index!B366)</f>
        <v>-2.640993317198876E-3</v>
      </c>
      <c r="C366" s="28">
        <f>LN(Index!C367/Index!C366)</f>
        <v>-5.3694668146248264E-4</v>
      </c>
      <c r="D366" s="28">
        <f>LN(Index!D367/Index!D366)</f>
        <v>3.9956327424646877E-3</v>
      </c>
      <c r="E366" s="28">
        <f>LN(Index!E367/Index!E366)</f>
        <v>1.8154530007327224E-2</v>
      </c>
      <c r="F366" s="28">
        <f>LN(Index!F367/Index!F366)</f>
        <v>-3.7256537213526176E-3</v>
      </c>
      <c r="G366" s="28">
        <f>LN(Index!G367/Index!G366)</f>
        <v>2.7372412476543775E-2</v>
      </c>
      <c r="H366" s="28">
        <f>LN(Index!H367/Index!H366)</f>
        <v>1.1975821961677095E-2</v>
      </c>
      <c r="I366" s="28">
        <f>LN(Index!I367/Index!I366)</f>
        <v>2.6176369035655588E-2</v>
      </c>
      <c r="J366" s="28">
        <f>LN(Index!J367/Index!J366)</f>
        <v>9.4462572518477245E-3</v>
      </c>
      <c r="K366" s="28">
        <f>LN(Index!K367/Index!K366)</f>
        <v>1.0213597828109473E-2</v>
      </c>
      <c r="L366" s="28">
        <f>LN(Index!L367/Index!L366)</f>
        <v>-5.5348455715648571E-3</v>
      </c>
      <c r="M366" s="28">
        <f>LN(Index!M367/Index!M366)</f>
        <v>1.1834966346916127E-2</v>
      </c>
      <c r="N366" s="28">
        <f>LN(Index!N367/Index!N366)</f>
        <v>6.7745686280257962E-3</v>
      </c>
    </row>
    <row r="367" spans="1:14">
      <c r="A367" s="15">
        <v>40186</v>
      </c>
      <c r="B367" s="28">
        <f>LN(Index!B368/Index!B367)</f>
        <v>2.5175303800395388E-2</v>
      </c>
      <c r="C367" s="28">
        <f>LN(Index!C368/Index!C367)</f>
        <v>2.2721544741263694E-3</v>
      </c>
      <c r="D367" s="28">
        <f>LN(Index!D368/Index!D367)</f>
        <v>1.0329433159842511E-2</v>
      </c>
      <c r="E367" s="28">
        <f>LN(Index!E368/Index!E367)</f>
        <v>-3.572392955169357E-3</v>
      </c>
      <c r="F367" s="28">
        <f>LN(Index!F368/Index!F367)</f>
        <v>1.8167960448082696E-3</v>
      </c>
      <c r="G367" s="28">
        <f>LN(Index!G368/Index!G367)</f>
        <v>4.1891962145437493E-2</v>
      </c>
      <c r="H367" s="28">
        <f>LN(Index!H368/Index!H367)</f>
        <v>-1.951936359661147E-2</v>
      </c>
      <c r="I367" s="28">
        <f>LN(Index!I368/Index!I367)</f>
        <v>4.2664076157556505E-2</v>
      </c>
      <c r="J367" s="28">
        <f>LN(Index!J368/Index!J367)</f>
        <v>-2.3652940491006372E-3</v>
      </c>
      <c r="K367" s="28">
        <f>LN(Index!K368/Index!K367)</f>
        <v>6.2192020256447648E-2</v>
      </c>
      <c r="L367" s="28">
        <f>LN(Index!L368/Index!L367)</f>
        <v>1.4242211888058175E-2</v>
      </c>
      <c r="M367" s="28">
        <f>LN(Index!M368/Index!M367)</f>
        <v>3.5603794136368258E-2</v>
      </c>
      <c r="N367" s="28">
        <f>LN(Index!N368/Index!N367)</f>
        <v>2.2148844249896844E-3</v>
      </c>
    </row>
    <row r="368" spans="1:14">
      <c r="A368" s="15">
        <v>40193</v>
      </c>
      <c r="B368" s="28">
        <f>LN(Index!B369/Index!B368)</f>
        <v>-2.1721703501398444E-3</v>
      </c>
      <c r="C368" s="28">
        <f>LN(Index!C369/Index!C368)</f>
        <v>9.6931292056595328E-3</v>
      </c>
      <c r="D368" s="28">
        <f>LN(Index!D369/Index!D368)</f>
        <v>-9.2014862793423982E-3</v>
      </c>
      <c r="E368" s="28">
        <f>LN(Index!E369/Index!E368)</f>
        <v>-8.0174729903605569E-4</v>
      </c>
      <c r="F368" s="28">
        <f>LN(Index!F369/Index!F368)</f>
        <v>3.8090695778899681E-3</v>
      </c>
      <c r="G368" s="28">
        <f>LN(Index!G369/Index!G368)</f>
        <v>-2.0439856012376405E-2</v>
      </c>
      <c r="H368" s="28">
        <f>LN(Index!H369/Index!H368)</f>
        <v>-3.8117496079564472E-4</v>
      </c>
      <c r="I368" s="28">
        <f>LN(Index!I369/Index!I368)</f>
        <v>-2.4711142639882343E-2</v>
      </c>
      <c r="J368" s="28">
        <f>LN(Index!J369/Index!J368)</f>
        <v>1.9252420796992829E-3</v>
      </c>
      <c r="K368" s="28">
        <f>LN(Index!K369/Index!K368)</f>
        <v>3.4425844100515711E-2</v>
      </c>
      <c r="L368" s="28">
        <f>LN(Index!L369/Index!L368)</f>
        <v>4.0838667619021362E-3</v>
      </c>
      <c r="M368" s="28">
        <f>LN(Index!M369/Index!M368)</f>
        <v>-1.7701392300850738E-3</v>
      </c>
      <c r="N368" s="28">
        <f>LN(Index!N369/Index!N368)</f>
        <v>-4.0202811549630551E-3</v>
      </c>
    </row>
    <row r="369" spans="1:14">
      <c r="A369" s="15">
        <v>40200</v>
      </c>
      <c r="B369" s="28">
        <f>LN(Index!B370/Index!B369)</f>
        <v>-3.9032048550215255E-2</v>
      </c>
      <c r="C369" s="28">
        <f>LN(Index!C370/Index!C369)</f>
        <v>-1.6246449663419491E-3</v>
      </c>
      <c r="D369" s="28">
        <f>LN(Index!D370/Index!D369)</f>
        <v>-3.7442646572008874E-2</v>
      </c>
      <c r="E369" s="28">
        <f>LN(Index!E370/Index!E369)</f>
        <v>-2.15263473310667E-2</v>
      </c>
      <c r="F369" s="28">
        <f>LN(Index!F370/Index!F369)</f>
        <v>-2.5435847331603863E-2</v>
      </c>
      <c r="G369" s="28">
        <f>LN(Index!G370/Index!G369)</f>
        <v>-3.6617539790154516E-2</v>
      </c>
      <c r="H369" s="28">
        <f>LN(Index!H370/Index!H369)</f>
        <v>-2.3709976679704134E-2</v>
      </c>
      <c r="I369" s="28">
        <f>LN(Index!I370/Index!I369)</f>
        <v>-3.9376515462125651E-2</v>
      </c>
      <c r="J369" s="28">
        <f>LN(Index!J370/Index!J369)</f>
        <v>6.5565729762100469E-3</v>
      </c>
      <c r="K369" s="28">
        <f>LN(Index!K370/Index!K369)</f>
        <v>-1.4963402644019004E-2</v>
      </c>
      <c r="L369" s="28">
        <f>LN(Index!L370/Index!L369)</f>
        <v>-4.0640320767221169E-2</v>
      </c>
      <c r="M369" s="28">
        <f>LN(Index!M370/Index!M369)</f>
        <v>-3.9518734782161891E-2</v>
      </c>
      <c r="N369" s="28">
        <f>LN(Index!N370/Index!N369)</f>
        <v>-2.0378046525725783E-2</v>
      </c>
    </row>
    <row r="370" spans="1:14">
      <c r="A370" s="15">
        <v>40207</v>
      </c>
      <c r="B370" s="28">
        <f>LN(Index!B371/Index!B370)</f>
        <v>-2.67483989712093E-2</v>
      </c>
      <c r="C370" s="28">
        <f>LN(Index!C371/Index!C370)</f>
        <v>1.3124181622568697E-3</v>
      </c>
      <c r="D370" s="28">
        <f>LN(Index!D371/Index!D370)</f>
        <v>-2.5764029763914634E-2</v>
      </c>
      <c r="E370" s="28">
        <f>LN(Index!E371/Index!E370)</f>
        <v>-2.3744371898760767E-2</v>
      </c>
      <c r="F370" s="28">
        <f>LN(Index!F371/Index!F370)</f>
        <v>-1.8308986695830077E-2</v>
      </c>
      <c r="G370" s="28">
        <f>LN(Index!G371/Index!G370)</f>
        <v>-4.4430590891856407E-2</v>
      </c>
      <c r="H370" s="28">
        <f>LN(Index!H371/Index!H370)</f>
        <v>-1.6682165011008485E-2</v>
      </c>
      <c r="I370" s="28">
        <f>LN(Index!I371/Index!I370)</f>
        <v>-3.0784716072502771E-2</v>
      </c>
      <c r="J370" s="28">
        <f>LN(Index!J371/Index!J370)</f>
        <v>-1.6000921027181939E-2</v>
      </c>
      <c r="K370" s="28">
        <f>LN(Index!K371/Index!K370)</f>
        <v>-4.5512492355364198E-2</v>
      </c>
      <c r="L370" s="28">
        <f>LN(Index!L371/Index!L370)</f>
        <v>-4.4826813642078866E-3</v>
      </c>
      <c r="M370" s="28">
        <f>LN(Index!M371/Index!M370)</f>
        <v>-3.245085999823797E-2</v>
      </c>
      <c r="N370" s="28">
        <f>LN(Index!N371/Index!N370)</f>
        <v>-3.0224780395290782E-2</v>
      </c>
    </row>
    <row r="371" spans="1:14">
      <c r="A371" s="15">
        <v>40214</v>
      </c>
      <c r="B371" s="28">
        <f>LN(Index!B372/Index!B371)</f>
        <v>-2.1725263272222843E-2</v>
      </c>
      <c r="C371" s="28">
        <f>LN(Index!C372/Index!C371)</f>
        <v>-6.5599377596498303E-4</v>
      </c>
      <c r="D371" s="28">
        <f>LN(Index!D372/Index!D371)</f>
        <v>-1.2162366506530443E-2</v>
      </c>
      <c r="E371" s="28">
        <f>LN(Index!E372/Index!E371)</f>
        <v>-4.5225286808242296E-2</v>
      </c>
      <c r="F371" s="28">
        <f>LN(Index!F372/Index!F371)</f>
        <v>-1.4750105319870106E-2</v>
      </c>
      <c r="G371" s="28">
        <f>LN(Index!G372/Index!G371)</f>
        <v>-3.4267584890453076E-2</v>
      </c>
      <c r="H371" s="28">
        <f>LN(Index!H372/Index!H371)</f>
        <v>-2.6228115091730647E-2</v>
      </c>
      <c r="I371" s="28">
        <f>LN(Index!I372/Index!I371)</f>
        <v>-2.6064110206920354E-2</v>
      </c>
      <c r="J371" s="28">
        <f>LN(Index!J372/Index!J371)</f>
        <v>-1.6520983564766539E-2</v>
      </c>
      <c r="K371" s="28">
        <f>LN(Index!K372/Index!K371)</f>
        <v>-1.6557230721157813E-2</v>
      </c>
      <c r="L371" s="28">
        <f>LN(Index!L372/Index!L371)</f>
        <v>-4.6046013713390718E-2</v>
      </c>
      <c r="M371" s="28">
        <f>LN(Index!M372/Index!M371)</f>
        <v>-6.672828333122377E-2</v>
      </c>
      <c r="N371" s="28">
        <f>LN(Index!N372/Index!N371)</f>
        <v>-1.2533319860774588E-2</v>
      </c>
    </row>
    <row r="372" spans="1:14">
      <c r="A372" s="15">
        <v>40221</v>
      </c>
      <c r="B372" s="28">
        <f>LN(Index!B373/Index!B372)</f>
        <v>1.0750058128454707E-2</v>
      </c>
      <c r="C372" s="28">
        <f>LN(Index!C373/Index!C372)</f>
        <v>-5.0122277728699271E-3</v>
      </c>
      <c r="D372" s="28">
        <f>LN(Index!D373/Index!D372)</f>
        <v>6.2204829574632817E-3</v>
      </c>
      <c r="E372" s="28">
        <f>LN(Index!E373/Index!E372)</f>
        <v>1.1644168197177094E-2</v>
      </c>
      <c r="F372" s="28">
        <f>LN(Index!F373/Index!F372)</f>
        <v>1.123785339859152E-2</v>
      </c>
      <c r="G372" s="28">
        <f>LN(Index!G373/Index!G372)</f>
        <v>2.5884101173587731E-2</v>
      </c>
      <c r="H372" s="28">
        <f>LN(Index!H373/Index!H372)</f>
        <v>6.1405454352231404E-3</v>
      </c>
      <c r="I372" s="28">
        <f>LN(Index!I373/Index!I372)</f>
        <v>1.9782360829851891E-2</v>
      </c>
      <c r="J372" s="28">
        <f>LN(Index!J373/Index!J372)</f>
        <v>9.0369018705426206E-3</v>
      </c>
      <c r="K372" s="28">
        <f>LN(Index!K373/Index!K372)</f>
        <v>-2.0650963417754659E-2</v>
      </c>
      <c r="L372" s="28">
        <f>LN(Index!L373/Index!L372)</f>
        <v>5.6340157093739025E-2</v>
      </c>
      <c r="M372" s="28">
        <f>LN(Index!M373/Index!M372)</f>
        <v>6.522213546638682E-3</v>
      </c>
      <c r="N372" s="28">
        <f>LN(Index!N373/Index!N372)</f>
        <v>8.5873793173262981E-3</v>
      </c>
    </row>
    <row r="373" spans="1:14">
      <c r="A373" s="15">
        <v>40228</v>
      </c>
      <c r="B373" s="28">
        <f>LN(Index!B374/Index!B373)</f>
        <v>2.4205270476703851E-2</v>
      </c>
      <c r="C373" s="28">
        <f>LN(Index!C374/Index!C373)</f>
        <v>-3.8387763071657129E-3</v>
      </c>
      <c r="D373" s="28">
        <f>LN(Index!D374/Index!D373)</f>
        <v>9.697531417071666E-3</v>
      </c>
      <c r="E373" s="28">
        <f>LN(Index!E374/Index!E373)</f>
        <v>1.4842664893908852E-2</v>
      </c>
      <c r="F373" s="28">
        <f>LN(Index!F374/Index!F373)</f>
        <v>3.2817603951069127E-2</v>
      </c>
      <c r="G373" s="28">
        <f>LN(Index!G374/Index!G373)</f>
        <v>1.1119527653647172E-2</v>
      </c>
      <c r="H373" s="28">
        <f>LN(Index!H374/Index!H373)</f>
        <v>1.9534272479504594E-2</v>
      </c>
      <c r="I373" s="28">
        <f>LN(Index!I374/Index!I373)</f>
        <v>3.1373193619858096E-2</v>
      </c>
      <c r="J373" s="28">
        <f>LN(Index!J374/Index!J373)</f>
        <v>1.0941401859216904E-2</v>
      </c>
      <c r="K373" s="28">
        <f>LN(Index!K374/Index!K373)</f>
        <v>-1.2295372375825271E-2</v>
      </c>
      <c r="L373" s="28">
        <f>LN(Index!L374/Index!L373)</f>
        <v>3.3062391160769977E-2</v>
      </c>
      <c r="M373" s="28">
        <f>LN(Index!M374/Index!M373)</f>
        <v>2.7293915320362683E-2</v>
      </c>
      <c r="N373" s="28">
        <f>LN(Index!N374/Index!N373)</f>
        <v>2.2317037226965687E-2</v>
      </c>
    </row>
    <row r="374" spans="1:14">
      <c r="A374" s="15">
        <v>40235</v>
      </c>
      <c r="B374" s="28">
        <f>LN(Index!B375/Index!B374)</f>
        <v>-9.7010325978269941E-4</v>
      </c>
      <c r="C374" s="28">
        <f>LN(Index!C375/Index!C374)</f>
        <v>9.6006761336377647E-3</v>
      </c>
      <c r="D374" s="28">
        <f>LN(Index!D375/Index!D374)</f>
        <v>2.2242418640747202E-2</v>
      </c>
      <c r="E374" s="28">
        <f>LN(Index!E375/Index!E374)</f>
        <v>1.4742775426056509E-5</v>
      </c>
      <c r="F374" s="28">
        <f>LN(Index!F375/Index!F374)</f>
        <v>-1.2950726494396247E-2</v>
      </c>
      <c r="G374" s="28">
        <f>LN(Index!G375/Index!G374)</f>
        <v>2.1491267001703483E-2</v>
      </c>
      <c r="H374" s="28">
        <f>LN(Index!H375/Index!H374)</f>
        <v>-7.0175726586465346E-3</v>
      </c>
      <c r="I374" s="28">
        <f>LN(Index!I375/Index!I374)</f>
        <v>2.0855935837893302E-2</v>
      </c>
      <c r="J374" s="28">
        <f>LN(Index!J375/Index!J374)</f>
        <v>-1.5976470393593824E-2</v>
      </c>
      <c r="K374" s="28">
        <f>LN(Index!K375/Index!K374)</f>
        <v>2.1119306950774873E-2</v>
      </c>
      <c r="L374" s="28">
        <f>LN(Index!L375/Index!L374)</f>
        <v>-1.0716752844810494E-2</v>
      </c>
      <c r="M374" s="28">
        <f>LN(Index!M375/Index!M374)</f>
        <v>-5.1873565547025588E-3</v>
      </c>
      <c r="N374" s="28">
        <f>LN(Index!N375/Index!N374)</f>
        <v>2.8365454371803564E-3</v>
      </c>
    </row>
    <row r="375" spans="1:14">
      <c r="A375" s="15">
        <v>40242</v>
      </c>
      <c r="B375" s="28">
        <f>LN(Index!B376/Index!B375)</f>
        <v>3.2218985206516906E-2</v>
      </c>
      <c r="C375" s="28">
        <f>LN(Index!C376/Index!C375)</f>
        <v>-9.3678277637124858E-5</v>
      </c>
      <c r="D375" s="28">
        <f>LN(Index!D376/Index!D375)</f>
        <v>2.5871476834286682E-2</v>
      </c>
      <c r="E375" s="28">
        <f>LN(Index!E376/Index!E375)</f>
        <v>2.5065185054122543E-2</v>
      </c>
      <c r="F375" s="28">
        <f>LN(Index!F376/Index!F375)</f>
        <v>3.2411616190598416E-2</v>
      </c>
      <c r="G375" s="28">
        <f>LN(Index!G376/Index!G375)</f>
        <v>2.8624747059821275E-2</v>
      </c>
      <c r="H375" s="28">
        <f>LN(Index!H376/Index!H375)</f>
        <v>1.7433118995599763E-2</v>
      </c>
      <c r="I375" s="28">
        <f>LN(Index!I376/Index!I375)</f>
        <v>4.0029542942154869E-2</v>
      </c>
      <c r="J375" s="28">
        <f>LN(Index!J376/Index!J375)</f>
        <v>5.0902583721021064E-3</v>
      </c>
      <c r="K375" s="28">
        <f>LN(Index!K376/Index!K375)</f>
        <v>5.8427182603454038E-2</v>
      </c>
      <c r="L375" s="28">
        <f>LN(Index!L376/Index!L375)</f>
        <v>2.0485748880576641E-2</v>
      </c>
      <c r="M375" s="28">
        <f>LN(Index!M376/Index!M375)</f>
        <v>4.5255457964787159E-2</v>
      </c>
      <c r="N375" s="28">
        <f>LN(Index!N376/Index!N375)</f>
        <v>3.4801625943325615E-2</v>
      </c>
    </row>
    <row r="376" spans="1:14">
      <c r="A376" s="15">
        <v>40249</v>
      </c>
      <c r="B376" s="28">
        <f>LN(Index!B377/Index!B376)</f>
        <v>1.4343943315022138E-2</v>
      </c>
      <c r="C376" s="28">
        <f>LN(Index!C377/Index!C376)</f>
        <v>-1.0935621530043552E-3</v>
      </c>
      <c r="D376" s="28">
        <f>LN(Index!D377/Index!D376)</f>
        <v>2.1208586171147681E-2</v>
      </c>
      <c r="E376" s="28">
        <f>LN(Index!E377/Index!E376)</f>
        <v>1.2199078102461656E-2</v>
      </c>
      <c r="F376" s="28">
        <f>LN(Index!F377/Index!F376)</f>
        <v>1.1722929291506432E-2</v>
      </c>
      <c r="G376" s="28">
        <f>LN(Index!G377/Index!G376)</f>
        <v>5.4663291760331367E-3</v>
      </c>
      <c r="H376" s="28">
        <f>LN(Index!H377/Index!H376)</f>
        <v>3.4221935416173643E-3</v>
      </c>
      <c r="I376" s="28">
        <f>LN(Index!I377/Index!I376)</f>
        <v>1.0121504945104496E-2</v>
      </c>
      <c r="J376" s="28">
        <f>LN(Index!J377/Index!J376)</f>
        <v>3.2997167943094878E-3</v>
      </c>
      <c r="K376" s="28">
        <f>LN(Index!K377/Index!K376)</f>
        <v>3.3980332898690215E-2</v>
      </c>
      <c r="L376" s="28">
        <f>LN(Index!L377/Index!L376)</f>
        <v>3.8837806965876308E-3</v>
      </c>
      <c r="M376" s="28">
        <f>LN(Index!M377/Index!M376)</f>
        <v>-2.8051609783018229E-3</v>
      </c>
      <c r="N376" s="28">
        <f>LN(Index!N377/Index!N376)</f>
        <v>2.1994017089238663E-2</v>
      </c>
    </row>
    <row r="377" spans="1:14">
      <c r="A377" s="15">
        <v>40256</v>
      </c>
      <c r="B377" s="28">
        <f>LN(Index!B378/Index!B377)</f>
        <v>2.8677773370294479E-3</v>
      </c>
      <c r="C377" s="28">
        <f>LN(Index!C378/Index!C377)</f>
        <v>2.2483147117634533E-3</v>
      </c>
      <c r="D377" s="28">
        <f>LN(Index!D378/Index!D377)</f>
        <v>1.1836208606309528E-2</v>
      </c>
      <c r="E377" s="28">
        <f>LN(Index!E378/Index!E377)</f>
        <v>-1.1897191307715943E-2</v>
      </c>
      <c r="F377" s="28">
        <f>LN(Index!F378/Index!F377)</f>
        <v>6.104122649490634E-3</v>
      </c>
      <c r="G377" s="28">
        <f>LN(Index!G378/Index!G377)</f>
        <v>3.8611046302724338E-3</v>
      </c>
      <c r="H377" s="28">
        <f>LN(Index!H378/Index!H377)</f>
        <v>-6.0869949198186588E-3</v>
      </c>
      <c r="I377" s="28">
        <f>LN(Index!I378/Index!I377)</f>
        <v>-2.1276117516582618E-2</v>
      </c>
      <c r="J377" s="28">
        <f>LN(Index!J378/Index!J377)</f>
        <v>2.0167019657852596E-4</v>
      </c>
      <c r="K377" s="28">
        <f>LN(Index!K378/Index!K377)</f>
        <v>1.8295470708196811E-2</v>
      </c>
      <c r="L377" s="28">
        <f>LN(Index!L378/Index!L377)</f>
        <v>-3.3985594654046096E-3</v>
      </c>
      <c r="M377" s="28">
        <f>LN(Index!M378/Index!M377)</f>
        <v>-8.1411308206895839E-3</v>
      </c>
      <c r="N377" s="28">
        <f>LN(Index!N378/Index!N377)</f>
        <v>5.9658304877288019E-3</v>
      </c>
    </row>
    <row r="378" spans="1:14">
      <c r="A378" s="15">
        <v>40263</v>
      </c>
      <c r="B378" s="28">
        <f>LN(Index!B379/Index!B378)</f>
        <v>2.2062009040847664E-3</v>
      </c>
      <c r="C378" s="28">
        <f>LN(Index!C379/Index!C378)</f>
        <v>-1.0787861771254409E-2</v>
      </c>
      <c r="D378" s="28">
        <f>LN(Index!D379/Index!D378)</f>
        <v>6.616431044534401E-4</v>
      </c>
      <c r="E378" s="28">
        <f>LN(Index!E379/Index!E378)</f>
        <v>-8.0768383967557648E-3</v>
      </c>
      <c r="F378" s="28">
        <f>LN(Index!F379/Index!F378)</f>
        <v>-1.430466023936929E-2</v>
      </c>
      <c r="G378" s="28">
        <f>LN(Index!G379/Index!G378)</f>
        <v>-1.0831051123905458E-2</v>
      </c>
      <c r="H378" s="28">
        <f>LN(Index!H379/Index!H378)</f>
        <v>-7.2885580252066385E-3</v>
      </c>
      <c r="I378" s="28">
        <f>LN(Index!I379/Index!I378)</f>
        <v>1.098937008596253E-3</v>
      </c>
      <c r="J378" s="28">
        <f>LN(Index!J379/Index!J378)</f>
        <v>-2.1107235948258196E-2</v>
      </c>
      <c r="K378" s="28">
        <f>LN(Index!K379/Index!K378)</f>
        <v>1.7120362296752328E-2</v>
      </c>
      <c r="L378" s="28">
        <f>LN(Index!L379/Index!L378)</f>
        <v>-2.6056506555180034E-2</v>
      </c>
      <c r="M378" s="28">
        <f>LN(Index!M379/Index!M378)</f>
        <v>-2.4859232898355899E-2</v>
      </c>
      <c r="N378" s="28">
        <f>LN(Index!N379/Index!N378)</f>
        <v>-6.1164047344741861E-3</v>
      </c>
    </row>
    <row r="379" spans="1:14">
      <c r="A379" s="15">
        <v>40270</v>
      </c>
      <c r="B379" s="28">
        <f>LN(Index!B380/Index!B379)</f>
        <v>1.6083998340842964E-2</v>
      </c>
      <c r="C379" s="28">
        <f>LN(Index!C380/Index!C379)</f>
        <v>3.3051637812901553E-3</v>
      </c>
      <c r="D379" s="28">
        <f>LN(Index!D380/Index!D379)</f>
        <v>5.1312236906926999E-3</v>
      </c>
      <c r="E379" s="28">
        <f>LN(Index!E380/Index!E379)</f>
        <v>2.8929299363836074E-2</v>
      </c>
      <c r="F379" s="28">
        <f>LN(Index!F380/Index!F379)</f>
        <v>2.5545738739019799E-2</v>
      </c>
      <c r="G379" s="28">
        <f>LN(Index!G380/Index!G379)</f>
        <v>2.9991790312790815E-2</v>
      </c>
      <c r="H379" s="28">
        <f>LN(Index!H380/Index!H379)</f>
        <v>2.694206657552187E-2</v>
      </c>
      <c r="I379" s="28">
        <f>LN(Index!I380/Index!I379)</f>
        <v>2.4354891903136097E-2</v>
      </c>
      <c r="J379" s="28">
        <f>LN(Index!J380/Index!J379)</f>
        <v>5.4458682173191587E-2</v>
      </c>
      <c r="K379" s="28">
        <f>LN(Index!K380/Index!K379)</f>
        <v>8.1781544260522473E-3</v>
      </c>
      <c r="L379" s="28">
        <f>LN(Index!L380/Index!L379)</f>
        <v>2.639679659757108E-2</v>
      </c>
      <c r="M379" s="28">
        <f>LN(Index!M380/Index!M379)</f>
        <v>1.9831091077065439E-2</v>
      </c>
      <c r="N379" s="28">
        <f>LN(Index!N380/Index!N379)</f>
        <v>2.9747947764830598E-2</v>
      </c>
    </row>
    <row r="380" spans="1:14">
      <c r="A380" s="15">
        <v>40277</v>
      </c>
      <c r="B380" s="28">
        <f>LN(Index!B381/Index!B380)</f>
        <v>8.669720324686889E-3</v>
      </c>
      <c r="C380" s="28">
        <f>LN(Index!C381/Index!C380)</f>
        <v>-3.4574343038994122E-4</v>
      </c>
      <c r="D380" s="28">
        <f>LN(Index!D381/Index!D380)</f>
        <v>1.6173250237232047E-2</v>
      </c>
      <c r="E380" s="28">
        <f>LN(Index!E381/Index!E380)</f>
        <v>4.3823372333270131E-3</v>
      </c>
      <c r="F380" s="28">
        <f>LN(Index!F381/Index!F380)</f>
        <v>4.9691402891588977E-3</v>
      </c>
      <c r="G380" s="28">
        <f>LN(Index!G381/Index!G380)</f>
        <v>2.5328895296740334E-2</v>
      </c>
      <c r="H380" s="28">
        <f>LN(Index!H381/Index!H380)</f>
        <v>5.7736443281496685E-3</v>
      </c>
      <c r="I380" s="28">
        <f>LN(Index!I381/Index!I380)</f>
        <v>2.6539797336609484E-2</v>
      </c>
      <c r="J380" s="28">
        <f>LN(Index!J381/Index!J380)</f>
        <v>1.6232780839351226E-2</v>
      </c>
      <c r="K380" s="28">
        <f>LN(Index!K381/Index!K380)</f>
        <v>1.9617177329440062E-2</v>
      </c>
      <c r="L380" s="28">
        <f>LN(Index!L381/Index!L380)</f>
        <v>-1.3257492409598641E-2</v>
      </c>
      <c r="M380" s="28">
        <f>LN(Index!M381/Index!M380)</f>
        <v>2.6785353154329524E-3</v>
      </c>
      <c r="N380" s="28">
        <f>LN(Index!N381/Index!N380)</f>
        <v>1.1574642789840469E-2</v>
      </c>
    </row>
    <row r="381" spans="1:14">
      <c r="A381" s="15">
        <v>40284</v>
      </c>
      <c r="B381" s="28">
        <f>LN(Index!B382/Index!B381)</f>
        <v>-8.750516797934951E-4</v>
      </c>
      <c r="C381" s="28">
        <f>LN(Index!C382/Index!C381)</f>
        <v>5.1110908812899399E-3</v>
      </c>
      <c r="D381" s="28">
        <f>LN(Index!D382/Index!D381)</f>
        <v>-7.5826324673967088E-3</v>
      </c>
      <c r="E381" s="28">
        <f>LN(Index!E382/Index!E381)</f>
        <v>-4.1336784645957221E-3</v>
      </c>
      <c r="F381" s="28">
        <f>LN(Index!F382/Index!F381)</f>
        <v>-1.1165560764146666E-2</v>
      </c>
      <c r="G381" s="28">
        <f>LN(Index!G382/Index!G381)</f>
        <v>-9.3188530817323364E-3</v>
      </c>
      <c r="H381" s="28">
        <f>LN(Index!H382/Index!H381)</f>
        <v>-6.1728396064719554E-3</v>
      </c>
      <c r="I381" s="28">
        <f>LN(Index!I382/Index!I381)</f>
        <v>-1.3708746377678887E-2</v>
      </c>
      <c r="J381" s="28">
        <f>LN(Index!J382/Index!J381)</f>
        <v>-1.4839258665297172E-3</v>
      </c>
      <c r="K381" s="28">
        <f>LN(Index!K382/Index!K381)</f>
        <v>-2.5510656153595488E-3</v>
      </c>
      <c r="L381" s="28">
        <f>LN(Index!L382/Index!L381)</f>
        <v>-1.5134701450613318E-2</v>
      </c>
      <c r="M381" s="28">
        <f>LN(Index!M382/Index!M381)</f>
        <v>2.3248504152390717E-3</v>
      </c>
      <c r="N381" s="28">
        <f>LN(Index!N382/Index!N381)</f>
        <v>-1.1867029421365893E-2</v>
      </c>
    </row>
    <row r="382" spans="1:14">
      <c r="A382" s="15">
        <v>40291</v>
      </c>
      <c r="B382" s="28">
        <f>LN(Index!B383/Index!B382)</f>
        <v>2.5575774983666367E-3</v>
      </c>
      <c r="C382" s="28">
        <f>LN(Index!C383/Index!C382)</f>
        <v>-8.1351694098625248E-4</v>
      </c>
      <c r="D382" s="28">
        <f>LN(Index!D383/Index!D382)</f>
        <v>5.9986448081078385E-3</v>
      </c>
      <c r="E382" s="28">
        <f>LN(Index!E383/Index!E382)</f>
        <v>-2.4744215929588028E-2</v>
      </c>
      <c r="F382" s="28">
        <f>LN(Index!F383/Index!F382)</f>
        <v>2.133082645108824E-2</v>
      </c>
      <c r="G382" s="28">
        <f>LN(Index!G383/Index!G382)</f>
        <v>-4.6146582359186559E-3</v>
      </c>
      <c r="H382" s="28">
        <f>LN(Index!H383/Index!H382)</f>
        <v>2.5761219896557833E-3</v>
      </c>
      <c r="I382" s="28">
        <f>LN(Index!I383/Index!I382)</f>
        <v>4.5613491849498646E-3</v>
      </c>
      <c r="J382" s="28">
        <f>LN(Index!J383/Index!J382)</f>
        <v>-1.3614746543920593E-2</v>
      </c>
      <c r="K382" s="28">
        <f>LN(Index!K383/Index!K382)</f>
        <v>-1.1278298779839638E-2</v>
      </c>
      <c r="L382" s="28">
        <f>LN(Index!L383/Index!L382)</f>
        <v>6.9551000026136945E-3</v>
      </c>
      <c r="M382" s="28">
        <f>LN(Index!M383/Index!M382)</f>
        <v>-3.1730809981223192E-2</v>
      </c>
      <c r="N382" s="28">
        <f>LN(Index!N383/Index!N382)</f>
        <v>1.4241299052512226E-2</v>
      </c>
    </row>
    <row r="383" spans="1:14">
      <c r="A383" s="15">
        <v>40298</v>
      </c>
      <c r="B383" s="28">
        <f>LN(Index!B384/Index!B383)</f>
        <v>-2.2130163757548907E-2</v>
      </c>
      <c r="C383" s="28">
        <f>LN(Index!C384/Index!C383)</f>
        <v>4.6531320781684005E-3</v>
      </c>
      <c r="D383" s="28">
        <f>LN(Index!D384/Index!D383)</f>
        <v>-1.3700113906916448E-3</v>
      </c>
      <c r="E383" s="28">
        <f>LN(Index!E384/Index!E383)</f>
        <v>-4.0744859263544243E-2</v>
      </c>
      <c r="F383" s="28">
        <f>LN(Index!F384/Index!F383)</f>
        <v>-2.2095898280892288E-2</v>
      </c>
      <c r="G383" s="28">
        <f>LN(Index!G384/Index!G383)</f>
        <v>-1.2775497042670015E-2</v>
      </c>
      <c r="H383" s="28">
        <f>LN(Index!H384/Index!H383)</f>
        <v>-2.6246511230643976E-2</v>
      </c>
      <c r="I383" s="28">
        <f>LN(Index!I384/Index!I383)</f>
        <v>-8.3707339186775195E-3</v>
      </c>
      <c r="J383" s="28">
        <f>LN(Index!J384/Index!J383)</f>
        <v>-2.1167968130991862E-2</v>
      </c>
      <c r="K383" s="28">
        <f>LN(Index!K384/Index!K383)</f>
        <v>-2.6828937154088166E-2</v>
      </c>
      <c r="L383" s="28">
        <f>LN(Index!L384/Index!L383)</f>
        <v>-2.243667604055136E-2</v>
      </c>
      <c r="M383" s="28">
        <f>LN(Index!M384/Index!M383)</f>
        <v>-4.1933169075656709E-2</v>
      </c>
      <c r="N383" s="28">
        <f>LN(Index!N384/Index!N383)</f>
        <v>-2.787996787373569E-2</v>
      </c>
    </row>
    <row r="384" spans="1:14">
      <c r="A384" s="15">
        <v>40305</v>
      </c>
      <c r="B384" s="28">
        <f>LN(Index!B385/Index!B384)</f>
        <v>-8.6192547506050807E-2</v>
      </c>
      <c r="C384" s="28">
        <f>LN(Index!C385/Index!C384)</f>
        <v>2.2096705379137291E-3</v>
      </c>
      <c r="D384" s="28">
        <f>LN(Index!D385/Index!D384)</f>
        <v>-7.0235745108501266E-2</v>
      </c>
      <c r="E384" s="28">
        <f>LN(Index!E385/Index!E384)</f>
        <v>-0.11849826755790638</v>
      </c>
      <c r="F384" s="28">
        <f>LN(Index!F385/Index!F384)</f>
        <v>-6.1409489367279892E-2</v>
      </c>
      <c r="G384" s="28">
        <f>LN(Index!G385/Index!G384)</f>
        <v>-6.9733969875071244E-2</v>
      </c>
      <c r="H384" s="28">
        <f>LN(Index!H385/Index!H384)</f>
        <v>-7.8037839891292399E-2</v>
      </c>
      <c r="I384" s="28">
        <f>LN(Index!I385/Index!I384)</f>
        <v>-0.11101818974725496</v>
      </c>
      <c r="J384" s="28">
        <f>LN(Index!J385/Index!J384)</f>
        <v>-8.804903439037759E-2</v>
      </c>
      <c r="K384" s="28">
        <f>LN(Index!K385/Index!K384)</f>
        <v>-0.13006826733358137</v>
      </c>
      <c r="L384" s="28">
        <f>LN(Index!L385/Index!L384)</f>
        <v>-7.0420227870468879E-2</v>
      </c>
      <c r="M384" s="28">
        <f>LN(Index!M385/Index!M384)</f>
        <v>-0.11995461234284867</v>
      </c>
      <c r="N384" s="28">
        <f>LN(Index!N385/Index!N384)</f>
        <v>-6.7907406371259804E-2</v>
      </c>
    </row>
    <row r="385" spans="1:14">
      <c r="A385" s="15">
        <v>40312</v>
      </c>
      <c r="B385" s="28">
        <f>LN(Index!B386/Index!B385)</f>
        <v>2.176971406522208E-2</v>
      </c>
      <c r="C385" s="28">
        <f>LN(Index!C386/Index!C385)</f>
        <v>-4.892728335666988E-3</v>
      </c>
      <c r="D385" s="28">
        <f>LN(Index!D386/Index!D385)</f>
        <v>1.5667319935985448E-2</v>
      </c>
      <c r="E385" s="28">
        <f>LN(Index!E386/Index!E385)</f>
        <v>2.0278375741229412E-2</v>
      </c>
      <c r="F385" s="28">
        <f>LN(Index!F386/Index!F385)</f>
        <v>3.359497618200314E-2</v>
      </c>
      <c r="G385" s="28">
        <f>LN(Index!G386/Index!G385)</f>
        <v>2.9428613249400878E-2</v>
      </c>
      <c r="H385" s="28">
        <f>LN(Index!H386/Index!H385)</f>
        <v>2.4677724414688851E-2</v>
      </c>
      <c r="I385" s="28">
        <f>LN(Index!I386/Index!I385)</f>
        <v>1.7238117204199353E-2</v>
      </c>
      <c r="J385" s="28">
        <f>LN(Index!J386/Index!J385)</f>
        <v>3.1844995680921626E-2</v>
      </c>
      <c r="K385" s="28">
        <f>LN(Index!K386/Index!K385)</f>
        <v>5.8652816604910216E-2</v>
      </c>
      <c r="L385" s="28">
        <f>LN(Index!L386/Index!L385)</f>
        <v>4.6781362827829728E-2</v>
      </c>
      <c r="M385" s="28">
        <f>LN(Index!M386/Index!M385)</f>
        <v>9.949378925967681E-3</v>
      </c>
      <c r="N385" s="28">
        <f>LN(Index!N386/Index!N385)</f>
        <v>2.963620523310442E-2</v>
      </c>
    </row>
    <row r="386" spans="1:14">
      <c r="A386" s="15">
        <v>40319</v>
      </c>
      <c r="B386" s="28">
        <f>LN(Index!B387/Index!B386)</f>
        <v>-4.5671201128670277E-2</v>
      </c>
      <c r="C386" s="28">
        <f>LN(Index!C387/Index!C386)</f>
        <v>1.038017835669796E-2</v>
      </c>
      <c r="D386" s="28">
        <f>LN(Index!D387/Index!D386)</f>
        <v>-5.5863816697633746E-2</v>
      </c>
      <c r="E386" s="28">
        <f>LN(Index!E387/Index!E386)</f>
        <v>-3.6049466753896683E-2</v>
      </c>
      <c r="F386" s="28">
        <f>LN(Index!F387/Index!F386)</f>
        <v>-5.4780633207604117E-2</v>
      </c>
      <c r="G386" s="28">
        <f>LN(Index!G387/Index!G386)</f>
        <v>-9.5729786733544667E-2</v>
      </c>
      <c r="H386" s="28">
        <f>LN(Index!H387/Index!H386)</f>
        <v>-5.9015586249197997E-2</v>
      </c>
      <c r="I386" s="28">
        <f>LN(Index!I387/Index!I386)</f>
        <v>-7.8497496904115394E-2</v>
      </c>
      <c r="J386" s="28">
        <f>LN(Index!J387/Index!J386)</f>
        <v>-2.7141392306565721E-2</v>
      </c>
      <c r="K386" s="28">
        <f>LN(Index!K387/Index!K386)</f>
        <v>-9.642151905836735E-2</v>
      </c>
      <c r="L386" s="28">
        <f>LN(Index!L387/Index!L386)</f>
        <v>-2.3344918741358085E-2</v>
      </c>
      <c r="M386" s="28">
        <f>LN(Index!M387/Index!M386)</f>
        <v>-5.2621865116280427E-2</v>
      </c>
      <c r="N386" s="28">
        <f>LN(Index!N387/Index!N386)</f>
        <v>-6.1877940525042391E-2</v>
      </c>
    </row>
    <row r="387" spans="1:14">
      <c r="A387" s="15">
        <v>40326</v>
      </c>
      <c r="B387" s="28">
        <f>LN(Index!B388/Index!B387)</f>
        <v>6.2119786928655123E-3</v>
      </c>
      <c r="C387" s="28">
        <f>LN(Index!C388/Index!C387)</f>
        <v>-6.2027242658911361E-3</v>
      </c>
      <c r="D387" s="28">
        <f>LN(Index!D388/Index!D387)</f>
        <v>1.7334779240027541E-2</v>
      </c>
      <c r="E387" s="28">
        <f>LN(Index!E388/Index!E387)</f>
        <v>-2.6040486426285518E-3</v>
      </c>
      <c r="F387" s="28">
        <f>LN(Index!F388/Index!F387)</f>
        <v>1.2857177180581566E-2</v>
      </c>
      <c r="G387" s="28">
        <f>LN(Index!G388/Index!G387)</f>
        <v>1.9442906219728467E-2</v>
      </c>
      <c r="H387" s="28">
        <f>LN(Index!H388/Index!H387)</f>
        <v>-4.6507818742468213E-3</v>
      </c>
      <c r="I387" s="28">
        <f>LN(Index!I388/Index!I387)</f>
        <v>1.9976120863416692E-2</v>
      </c>
      <c r="J387" s="28">
        <f>LN(Index!J388/Index!J387)</f>
        <v>3.7036147745777438E-2</v>
      </c>
      <c r="K387" s="28">
        <f>LN(Index!K388/Index!K387)</f>
        <v>1.6766169600679066E-2</v>
      </c>
      <c r="L387" s="28">
        <f>LN(Index!L388/Index!L387)</f>
        <v>9.3857115982877715E-3</v>
      </c>
      <c r="M387" s="28">
        <f>LN(Index!M388/Index!M387)</f>
        <v>1.2984120705318585E-2</v>
      </c>
      <c r="N387" s="28">
        <f>LN(Index!N388/Index!N387)</f>
        <v>1.0148421036333483E-2</v>
      </c>
    </row>
    <row r="388" spans="1:14">
      <c r="A388" s="15">
        <v>40333</v>
      </c>
      <c r="B388" s="28">
        <f>LN(Index!B389/Index!B388)</f>
        <v>-1.8715187670556882E-2</v>
      </c>
      <c r="C388" s="28">
        <f>LN(Index!C389/Index!C388)</f>
        <v>1.1814819643797374E-3</v>
      </c>
      <c r="D388" s="28">
        <f>LN(Index!D389/Index!D388)</f>
        <v>-2.2586255659400402E-2</v>
      </c>
      <c r="E388" s="28">
        <f>LN(Index!E389/Index!E388)</f>
        <v>-1.5301667229202721E-2</v>
      </c>
      <c r="F388" s="28">
        <f>LN(Index!F389/Index!F388)</f>
        <v>-7.4132124089676781E-3</v>
      </c>
      <c r="G388" s="28">
        <f>LN(Index!G389/Index!G388)</f>
        <v>-1.3016431114637978E-2</v>
      </c>
      <c r="H388" s="28">
        <f>LN(Index!H389/Index!H388)</f>
        <v>-1.9112450646576171E-2</v>
      </c>
      <c r="I388" s="28">
        <f>LN(Index!I389/Index!I388)</f>
        <v>-2.634625441914723E-2</v>
      </c>
      <c r="J388" s="28">
        <f>LN(Index!J389/Index!J388)</f>
        <v>1.4906750129692703E-2</v>
      </c>
      <c r="K388" s="28">
        <f>LN(Index!K389/Index!K388)</f>
        <v>1.1891194389014874E-3</v>
      </c>
      <c r="L388" s="28">
        <f>LN(Index!L389/Index!L388)</f>
        <v>5.7146872941239071E-3</v>
      </c>
      <c r="M388" s="28">
        <f>LN(Index!M389/Index!M388)</f>
        <v>-2.9506001991408754E-2</v>
      </c>
      <c r="N388" s="28">
        <f>LN(Index!N389/Index!N388)</f>
        <v>-9.1289318018940718E-3</v>
      </c>
    </row>
    <row r="389" spans="1:14">
      <c r="A389" s="15">
        <v>40340</v>
      </c>
      <c r="B389" s="28">
        <f>LN(Index!B390/Index!B389)</f>
        <v>1.9066879961940279E-2</v>
      </c>
      <c r="C389" s="28">
        <f>LN(Index!C390/Index!C389)</f>
        <v>6.5232587542659237E-4</v>
      </c>
      <c r="D389" s="28">
        <f>LN(Index!D390/Index!D389)</f>
        <v>2.9137962404219762E-2</v>
      </c>
      <c r="E389" s="28">
        <f>LN(Index!E390/Index!E389)</f>
        <v>2.3817029372638479E-2</v>
      </c>
      <c r="F389" s="28">
        <f>LN(Index!F390/Index!F389)</f>
        <v>3.9595334107073589E-2</v>
      </c>
      <c r="G389" s="28">
        <f>LN(Index!G390/Index!G389)</f>
        <v>1.7479436625090789E-2</v>
      </c>
      <c r="H389" s="28">
        <f>LN(Index!H390/Index!H389)</f>
        <v>2.7119585007421888E-2</v>
      </c>
      <c r="I389" s="28">
        <f>LN(Index!I390/Index!I389)</f>
        <v>1.8319839665989688E-2</v>
      </c>
      <c r="J389" s="28">
        <f>LN(Index!J390/Index!J389)</f>
        <v>9.6042350088925369E-3</v>
      </c>
      <c r="K389" s="28">
        <f>LN(Index!K390/Index!K389)</f>
        <v>-1.1041878869633072E-2</v>
      </c>
      <c r="L389" s="28">
        <f>LN(Index!L390/Index!L389)</f>
        <v>5.2217264549121359E-2</v>
      </c>
      <c r="M389" s="28">
        <f>LN(Index!M390/Index!M389)</f>
        <v>3.4396591198655305E-2</v>
      </c>
      <c r="N389" s="28">
        <f>LN(Index!N390/Index!N389)</f>
        <v>3.3736813466498781E-2</v>
      </c>
    </row>
    <row r="390" spans="1:14">
      <c r="A390" s="15">
        <v>40347</v>
      </c>
      <c r="B390" s="28">
        <f>LN(Index!B391/Index!B390)</f>
        <v>3.1577784368468149E-2</v>
      </c>
      <c r="C390" s="28">
        <f>LN(Index!C391/Index!C390)</f>
        <v>4.2143162990045321E-3</v>
      </c>
      <c r="D390" s="28">
        <f>LN(Index!D391/Index!D390)</f>
        <v>2.4097551579060524E-2</v>
      </c>
      <c r="E390" s="28">
        <f>LN(Index!E391/Index!E390)</f>
        <v>3.719138988577627E-2</v>
      </c>
      <c r="F390" s="28">
        <f>LN(Index!F391/Index!F390)</f>
        <v>3.0727177853698346E-2</v>
      </c>
      <c r="G390" s="28">
        <f>LN(Index!G391/Index!G390)</f>
        <v>5.1787552882685939E-2</v>
      </c>
      <c r="H390" s="28">
        <f>LN(Index!H391/Index!H390)</f>
        <v>4.5870778531469855E-2</v>
      </c>
      <c r="I390" s="28">
        <f>LN(Index!I391/Index!I390)</f>
        <v>3.2599645512288188E-2</v>
      </c>
      <c r="J390" s="28">
        <f>LN(Index!J391/Index!J390)</f>
        <v>2.2877043637288777E-2</v>
      </c>
      <c r="K390" s="28">
        <f>LN(Index!K391/Index!K390)</f>
        <v>4.9260302289280501E-2</v>
      </c>
      <c r="L390" s="28">
        <f>LN(Index!L391/Index!L390)</f>
        <v>1.681865596742951E-2</v>
      </c>
      <c r="M390" s="28">
        <f>LN(Index!M391/Index!M390)</f>
        <v>3.1594881200130473E-2</v>
      </c>
      <c r="N390" s="28">
        <f>LN(Index!N391/Index!N390)</f>
        <v>3.6900192218036192E-2</v>
      </c>
    </row>
    <row r="391" spans="1:14">
      <c r="A391" s="15">
        <v>40354</v>
      </c>
      <c r="B391" s="28">
        <f>LN(Index!B392/Index!B391)</f>
        <v>-3.2651759103675612E-2</v>
      </c>
      <c r="C391" s="28">
        <f>LN(Index!C392/Index!C391)</f>
        <v>6.2883595523712948E-3</v>
      </c>
      <c r="D391" s="28">
        <f>LN(Index!D392/Index!D391)</f>
        <v>-1.1199190230623284E-2</v>
      </c>
      <c r="E391" s="28">
        <f>LN(Index!E392/Index!E391)</f>
        <v>-2.6407293711268379E-2</v>
      </c>
      <c r="F391" s="28">
        <f>LN(Index!F392/Index!F391)</f>
        <v>-2.4249242662555574E-2</v>
      </c>
      <c r="G391" s="28">
        <f>LN(Index!G392/Index!G391)</f>
        <v>-1.0066141687202577E-2</v>
      </c>
      <c r="H391" s="28">
        <f>LN(Index!H392/Index!H391)</f>
        <v>-3.665724396825866E-2</v>
      </c>
      <c r="I391" s="28">
        <f>LN(Index!I392/Index!I391)</f>
        <v>-1.7042531828255051E-2</v>
      </c>
      <c r="J391" s="28">
        <f>LN(Index!J392/Index!J391)</f>
        <v>1.6189462332654406E-3</v>
      </c>
      <c r="K391" s="28">
        <f>LN(Index!K392/Index!K391)</f>
        <v>2.2511815937455954E-2</v>
      </c>
      <c r="L391" s="28">
        <f>LN(Index!L392/Index!L391)</f>
        <v>-2.0625845091728535E-2</v>
      </c>
      <c r="M391" s="28">
        <f>LN(Index!M392/Index!M391)</f>
        <v>-2.120186660311657E-2</v>
      </c>
      <c r="N391" s="28">
        <f>LN(Index!N392/Index!N391)</f>
        <v>-2.0938905025369939E-2</v>
      </c>
    </row>
    <row r="392" spans="1:14">
      <c r="A392" s="15">
        <v>40361</v>
      </c>
      <c r="B392" s="28">
        <f>LN(Index!B393/Index!B392)</f>
        <v>-4.0551077464369603E-2</v>
      </c>
      <c r="C392" s="28">
        <f>LN(Index!C393/Index!C392)</f>
        <v>8.9327278791750953E-3</v>
      </c>
      <c r="D392" s="28">
        <f>LN(Index!D393/Index!D392)</f>
        <v>-4.8048691555389156E-2</v>
      </c>
      <c r="E392" s="28">
        <f>LN(Index!E393/Index!E392)</f>
        <v>2.4588077892152261E-3</v>
      </c>
      <c r="F392" s="28">
        <f>LN(Index!F393/Index!F392)</f>
        <v>-2.800680737381139E-2</v>
      </c>
      <c r="G392" s="28">
        <f>LN(Index!G393/Index!G392)</f>
        <v>-1.9250036332340369E-2</v>
      </c>
      <c r="H392" s="28">
        <f>LN(Index!H393/Index!H392)</f>
        <v>-1.1590088954972592E-2</v>
      </c>
      <c r="I392" s="28">
        <f>LN(Index!I393/Index!I392)</f>
        <v>-4.4246642915880229E-2</v>
      </c>
      <c r="J392" s="28">
        <f>LN(Index!J393/Index!J392)</f>
        <v>-4.882851636056949E-3</v>
      </c>
      <c r="K392" s="28">
        <f>LN(Index!K393/Index!K392)</f>
        <v>-4.2750100378358767E-2</v>
      </c>
      <c r="L392" s="28">
        <f>LN(Index!L393/Index!L392)</f>
        <v>-1.2753007931434916E-2</v>
      </c>
      <c r="M392" s="28">
        <f>LN(Index!M393/Index!M392)</f>
        <v>-8.3500123972384214E-3</v>
      </c>
      <c r="N392" s="28">
        <f>LN(Index!N393/Index!N392)</f>
        <v>-2.144319301814375E-2</v>
      </c>
    </row>
    <row r="393" spans="1:14">
      <c r="A393" s="15">
        <v>40368</v>
      </c>
      <c r="B393" s="28">
        <f>LN(Index!B394/Index!B393)</f>
        <v>5.1614961309775102E-2</v>
      </c>
      <c r="C393" s="28">
        <f>LN(Index!C394/Index!C393)</f>
        <v>-5.483458371725625E-4</v>
      </c>
      <c r="D393" s="28">
        <f>LN(Index!D394/Index!D393)</f>
        <v>4.4625362918470676E-2</v>
      </c>
      <c r="E393" s="28">
        <f>LN(Index!E394/Index!E393)</f>
        <v>4.1175520450613852E-2</v>
      </c>
      <c r="F393" s="28">
        <f>LN(Index!F394/Index!F393)</f>
        <v>5.397249398678753E-2</v>
      </c>
      <c r="G393" s="28">
        <f>LN(Index!G394/Index!G393)</f>
        <v>3.9777410413191647E-2</v>
      </c>
      <c r="H393" s="28">
        <f>LN(Index!H394/Index!H393)</f>
        <v>3.2656196040989453E-2</v>
      </c>
      <c r="I393" s="28">
        <f>LN(Index!I394/Index!I393)</f>
        <v>5.8618742090373953E-2</v>
      </c>
      <c r="J393" s="28">
        <f>LN(Index!J394/Index!J393)</f>
        <v>4.1755074493369515E-2</v>
      </c>
      <c r="K393" s="28">
        <f>LN(Index!K394/Index!K393)</f>
        <v>2.6333526230522125E-2</v>
      </c>
      <c r="L393" s="28">
        <f>LN(Index!L394/Index!L393)</f>
        <v>3.9694310441340079E-2</v>
      </c>
      <c r="M393" s="28">
        <f>LN(Index!M394/Index!M393)</f>
        <v>7.8526476041362619E-2</v>
      </c>
      <c r="N393" s="28">
        <f>LN(Index!N394/Index!N393)</f>
        <v>5.0549568306311791E-2</v>
      </c>
    </row>
    <row r="394" spans="1:14">
      <c r="A394" s="15">
        <v>40375</v>
      </c>
      <c r="B394" s="28">
        <f>LN(Index!B395/Index!B394)</f>
        <v>-1.5036080250304619E-3</v>
      </c>
      <c r="C394" s="28">
        <f>LN(Index!C395/Index!C394)</f>
        <v>8.94908064066776E-3</v>
      </c>
      <c r="D394" s="28">
        <f>LN(Index!D395/Index!D394)</f>
        <v>-1.5599410385844757E-3</v>
      </c>
      <c r="E394" s="28">
        <f>LN(Index!E395/Index!E394)</f>
        <v>2.0106384450962869E-2</v>
      </c>
      <c r="F394" s="28">
        <f>LN(Index!F395/Index!F394)</f>
        <v>-2.185053707674528E-2</v>
      </c>
      <c r="G394" s="28">
        <f>LN(Index!G395/Index!G394)</f>
        <v>1.0195153895350173E-2</v>
      </c>
      <c r="H394" s="28">
        <f>LN(Index!H395/Index!H394)</f>
        <v>2.0060327972878118E-3</v>
      </c>
      <c r="I394" s="28">
        <f>LN(Index!I395/Index!I394)</f>
        <v>1.0407268079601972E-2</v>
      </c>
      <c r="J394" s="28">
        <f>LN(Index!J395/Index!J394)</f>
        <v>-9.6257002010466679E-4</v>
      </c>
      <c r="K394" s="28">
        <f>LN(Index!K395/Index!K394)</f>
        <v>8.0253006298456504E-3</v>
      </c>
      <c r="L394" s="28">
        <f>LN(Index!L395/Index!L394)</f>
        <v>-1.4530727690755967E-2</v>
      </c>
      <c r="M394" s="28">
        <f>LN(Index!M395/Index!M394)</f>
        <v>2.4087944425709308E-2</v>
      </c>
      <c r="N394" s="28">
        <f>LN(Index!N395/Index!N394)</f>
        <v>-1.6516289906936907E-2</v>
      </c>
    </row>
    <row r="395" spans="1:14">
      <c r="A395" s="15">
        <v>40382</v>
      </c>
      <c r="B395" s="28">
        <f>LN(Index!B396/Index!B395)</f>
        <v>2.4972530057941412E-2</v>
      </c>
      <c r="C395" s="28">
        <f>LN(Index!C396/Index!C395)</f>
        <v>9.3577850010348961E-4</v>
      </c>
      <c r="D395" s="28">
        <f>LN(Index!D396/Index!D395)</f>
        <v>3.9712957316320706E-2</v>
      </c>
      <c r="E395" s="28">
        <f>LN(Index!E396/Index!E395)</f>
        <v>1.045819587872183E-2</v>
      </c>
      <c r="F395" s="28">
        <f>LN(Index!F396/Index!F395)</f>
        <v>3.7693213040371383E-2</v>
      </c>
      <c r="G395" s="28">
        <f>LN(Index!G396/Index!G395)</f>
        <v>2.6387782422614726E-2</v>
      </c>
      <c r="H395" s="28">
        <f>LN(Index!H396/Index!H395)</f>
        <v>3.2205805151557888E-2</v>
      </c>
      <c r="I395" s="28">
        <f>LN(Index!I396/Index!I395)</f>
        <v>1.9864167651286974E-2</v>
      </c>
      <c r="J395" s="28">
        <f>LN(Index!J396/Index!J395)</f>
        <v>2.3790582451914143E-2</v>
      </c>
      <c r="K395" s="28">
        <f>LN(Index!K396/Index!K395)</f>
        <v>4.5028885074678497E-2</v>
      </c>
      <c r="L395" s="28">
        <f>LN(Index!L396/Index!L395)</f>
        <v>5.1001800903745606E-2</v>
      </c>
      <c r="M395" s="28">
        <f>LN(Index!M396/Index!M395)</f>
        <v>-8.1272049907557282E-3</v>
      </c>
      <c r="N395" s="28">
        <f>LN(Index!N396/Index!N395)</f>
        <v>2.4104402197429233E-2</v>
      </c>
    </row>
    <row r="396" spans="1:14">
      <c r="A396" s="15">
        <v>40389</v>
      </c>
      <c r="B396" s="28">
        <f>LN(Index!B397/Index!B396)</f>
        <v>6.582609351543282E-3</v>
      </c>
      <c r="C396" s="28">
        <f>LN(Index!C397/Index!C396)</f>
        <v>6.1962539580423205E-3</v>
      </c>
      <c r="D396" s="28">
        <f>LN(Index!D397/Index!D396)</f>
        <v>9.5565905755089792E-3</v>
      </c>
      <c r="E396" s="28">
        <f>LN(Index!E397/Index!E396)</f>
        <v>2.8362357367925767E-2</v>
      </c>
      <c r="F396" s="28">
        <f>LN(Index!F397/Index!F396)</f>
        <v>-7.2217857118584347E-3</v>
      </c>
      <c r="G396" s="28">
        <f>LN(Index!G397/Index!G396)</f>
        <v>4.2499885975335796E-3</v>
      </c>
      <c r="H396" s="28">
        <f>LN(Index!H397/Index!H396)</f>
        <v>1.6660099240956884E-2</v>
      </c>
      <c r="I396" s="28">
        <f>LN(Index!I397/Index!I396)</f>
        <v>2.8029061339665803E-2</v>
      </c>
      <c r="J396" s="28">
        <f>LN(Index!J397/Index!J396)</f>
        <v>2.4526517101112744E-2</v>
      </c>
      <c r="K396" s="28">
        <f>LN(Index!K397/Index!K396)</f>
        <v>4.3683433419506604E-2</v>
      </c>
      <c r="L396" s="28">
        <f>LN(Index!L397/Index!L396)</f>
        <v>-3.4319414364010047E-4</v>
      </c>
      <c r="M396" s="28">
        <f>LN(Index!M397/Index!M396)</f>
        <v>9.10314482611802E-3</v>
      </c>
      <c r="N396" s="28">
        <f>LN(Index!N397/Index!N396)</f>
        <v>-6.427453608385706E-3</v>
      </c>
    </row>
    <row r="397" spans="1:14">
      <c r="A397" s="15">
        <v>40396</v>
      </c>
      <c r="B397" s="28">
        <f>LN(Index!B398/Index!B397)</f>
        <v>2.4084639491642509E-2</v>
      </c>
      <c r="C397" s="28">
        <f>LN(Index!C398/Index!C397)</f>
        <v>6.8433037096289982E-3</v>
      </c>
      <c r="D397" s="28">
        <f>LN(Index!D398/Index!D397)</f>
        <v>2.9144627053952935E-2</v>
      </c>
      <c r="E397" s="28">
        <f>LN(Index!E398/Index!E397)</f>
        <v>2.988227249879748E-2</v>
      </c>
      <c r="F397" s="28">
        <f>LN(Index!F398/Index!F397)</f>
        <v>2.333480822094541E-2</v>
      </c>
      <c r="G397" s="28">
        <f>LN(Index!G398/Index!G397)</f>
        <v>2.2865177928376289E-2</v>
      </c>
      <c r="H397" s="28">
        <f>LN(Index!H398/Index!H397)</f>
        <v>3.2497033616209425E-2</v>
      </c>
      <c r="I397" s="28">
        <f>LN(Index!I398/Index!I397)</f>
        <v>3.8617400121866909E-2</v>
      </c>
      <c r="J397" s="28">
        <f>LN(Index!J398/Index!J397)</f>
        <v>3.2911961098826575E-2</v>
      </c>
      <c r="K397" s="28">
        <f>LN(Index!K398/Index!K397)</f>
        <v>-2.6671075003351849E-3</v>
      </c>
      <c r="L397" s="28">
        <f>LN(Index!L398/Index!L397)</f>
        <v>6.3899780867778663E-3</v>
      </c>
      <c r="M397" s="28">
        <f>LN(Index!M398/Index!M397)</f>
        <v>2.5429481264412284E-2</v>
      </c>
      <c r="N397" s="28">
        <f>LN(Index!N398/Index!N397)</f>
        <v>2.5304039155492362E-2</v>
      </c>
    </row>
    <row r="398" spans="1:14">
      <c r="A398" s="15">
        <v>40403</v>
      </c>
      <c r="B398" s="28">
        <f>LN(Index!B399/Index!B398)</f>
        <v>-4.3175234930663366E-2</v>
      </c>
      <c r="C398" s="28">
        <f>LN(Index!C399/Index!C398)</f>
        <v>1.488959369049759E-4</v>
      </c>
      <c r="D398" s="28">
        <f>LN(Index!D399/Index!D398)</f>
        <v>-3.630349431679377E-2</v>
      </c>
      <c r="E398" s="28">
        <f>LN(Index!E399/Index!E398)</f>
        <v>-3.884022418089754E-2</v>
      </c>
      <c r="F398" s="28">
        <f>LN(Index!F399/Index!F398)</f>
        <v>-2.065201408195223E-2</v>
      </c>
      <c r="G398" s="28">
        <f>LN(Index!G399/Index!G398)</f>
        <v>-3.0655985822477333E-2</v>
      </c>
      <c r="H398" s="28">
        <f>LN(Index!H399/Index!H398)</f>
        <v>-1.1081129515467043E-2</v>
      </c>
      <c r="I398" s="28">
        <f>LN(Index!I399/Index!I398)</f>
        <v>-5.6253963476917954E-2</v>
      </c>
      <c r="J398" s="28">
        <f>LN(Index!J399/Index!J398)</f>
        <v>-2.5696684147758466E-2</v>
      </c>
      <c r="K398" s="28">
        <f>LN(Index!K399/Index!K398)</f>
        <v>-6.1247858741499503E-2</v>
      </c>
      <c r="L398" s="28">
        <f>LN(Index!L399/Index!L398)</f>
        <v>-3.0568861219923325E-2</v>
      </c>
      <c r="M398" s="28">
        <f>LN(Index!M399/Index!M398)</f>
        <v>-4.0220164208779857E-2</v>
      </c>
      <c r="N398" s="28">
        <f>LN(Index!N399/Index!N398)</f>
        <v>-2.7402010260682556E-2</v>
      </c>
    </row>
    <row r="399" spans="1:14">
      <c r="A399" s="15">
        <v>40410</v>
      </c>
      <c r="B399" s="28">
        <f>LN(Index!B400/Index!B399)</f>
        <v>-8.9108734510259472E-3</v>
      </c>
      <c r="C399" s="28">
        <f>LN(Index!C400/Index!C399)</f>
        <v>5.1381927446087538E-3</v>
      </c>
      <c r="D399" s="28">
        <f>LN(Index!D400/Index!D399)</f>
        <v>1.2714559881966659E-3</v>
      </c>
      <c r="E399" s="28">
        <f>LN(Index!E400/Index!E399)</f>
        <v>-2.173998663640599E-2</v>
      </c>
      <c r="F399" s="28">
        <f>LN(Index!F400/Index!F399)</f>
        <v>1.3895043836019904E-3</v>
      </c>
      <c r="G399" s="28">
        <f>LN(Index!G400/Index!G399)</f>
        <v>-9.3408458348091146E-3</v>
      </c>
      <c r="H399" s="28">
        <f>LN(Index!H400/Index!H399)</f>
        <v>-1.6284291560445072E-2</v>
      </c>
      <c r="I399" s="28">
        <f>LN(Index!I400/Index!I399)</f>
        <v>-1.6985713560165483E-2</v>
      </c>
      <c r="J399" s="28">
        <f>LN(Index!J400/Index!J399)</f>
        <v>-3.4379502308221489E-2</v>
      </c>
      <c r="K399" s="28">
        <f>LN(Index!K400/Index!K399)</f>
        <v>2.4567692467018541E-2</v>
      </c>
      <c r="L399" s="28">
        <f>LN(Index!L400/Index!L399)</f>
        <v>2.5162446736186089E-2</v>
      </c>
      <c r="M399" s="28">
        <f>LN(Index!M400/Index!M399)</f>
        <v>-1.4173706493904814E-2</v>
      </c>
      <c r="N399" s="28">
        <f>LN(Index!N400/Index!N399)</f>
        <v>-8.175160715518031E-3</v>
      </c>
    </row>
    <row r="400" spans="1:14">
      <c r="A400" s="15">
        <v>40417</v>
      </c>
      <c r="B400" s="28">
        <f>LN(Index!B401/Index!B400)</f>
        <v>-4.1502388923919994E-3</v>
      </c>
      <c r="C400" s="28">
        <f>LN(Index!C401/Index!C400)</f>
        <v>-6.5194845989734326E-4</v>
      </c>
      <c r="D400" s="28">
        <f>LN(Index!D401/Index!D400)</f>
        <v>5.2927925563660176E-3</v>
      </c>
      <c r="E400" s="28">
        <f>LN(Index!E401/Index!E400)</f>
        <v>2.2227227350646764E-2</v>
      </c>
      <c r="F400" s="28">
        <f>LN(Index!F401/Index!F400)</f>
        <v>1.6710754517565013E-2</v>
      </c>
      <c r="G400" s="28">
        <f>LN(Index!G401/Index!G400)</f>
        <v>9.522590418081716E-3</v>
      </c>
      <c r="H400" s="28">
        <f>LN(Index!H401/Index!H400)</f>
        <v>2.4123948124244149E-2</v>
      </c>
      <c r="I400" s="28">
        <f>LN(Index!I401/Index!I400)</f>
        <v>5.0140600953911801E-3</v>
      </c>
      <c r="J400" s="28">
        <f>LN(Index!J401/Index!J400)</f>
        <v>2.0770316861921274E-2</v>
      </c>
      <c r="K400" s="28">
        <f>LN(Index!K401/Index!K400)</f>
        <v>-2.6486455814393864E-2</v>
      </c>
      <c r="L400" s="28">
        <f>LN(Index!L401/Index!L400)</f>
        <v>1.5912565570570039E-3</v>
      </c>
      <c r="M400" s="28">
        <f>LN(Index!M401/Index!M400)</f>
        <v>1.5550881030921062E-2</v>
      </c>
      <c r="N400" s="28">
        <f>LN(Index!N401/Index!N400)</f>
        <v>1.720409548572522E-2</v>
      </c>
    </row>
    <row r="401" spans="1:14">
      <c r="A401" s="15">
        <v>40424</v>
      </c>
      <c r="B401" s="28">
        <f>LN(Index!B402/Index!B401)</f>
        <v>3.8055142882107228E-2</v>
      </c>
      <c r="C401" s="28">
        <f>LN(Index!C402/Index!C401)</f>
        <v>-1.6317331138908503E-3</v>
      </c>
      <c r="D401" s="28">
        <f>LN(Index!D402/Index!D401)</f>
        <v>4.4425901560830795E-2</v>
      </c>
      <c r="E401" s="28">
        <f>LN(Index!E402/Index!E401)</f>
        <v>2.5664758142747501E-2</v>
      </c>
      <c r="F401" s="28">
        <f>LN(Index!F402/Index!F401)</f>
        <v>1.8997651804463257E-2</v>
      </c>
      <c r="G401" s="28">
        <f>LN(Index!G402/Index!G401)</f>
        <v>4.2368460441390768E-2</v>
      </c>
      <c r="H401" s="28">
        <f>LN(Index!H402/Index!H401)</f>
        <v>8.6335370889580338E-3</v>
      </c>
      <c r="I401" s="28">
        <f>LN(Index!I402/Index!I401)</f>
        <v>4.8304193921393832E-2</v>
      </c>
      <c r="J401" s="28">
        <f>LN(Index!J402/Index!J401)</f>
        <v>1.9458739333931628E-2</v>
      </c>
      <c r="K401" s="28">
        <f>LN(Index!K402/Index!K401)</f>
        <v>3.6133987921480211E-2</v>
      </c>
      <c r="L401" s="28">
        <f>LN(Index!L402/Index!L401)</f>
        <v>2.5070719524421574E-2</v>
      </c>
      <c r="M401" s="28">
        <f>LN(Index!M402/Index!M401)</f>
        <v>5.5443682759006609E-2</v>
      </c>
      <c r="N401" s="28">
        <f>LN(Index!N402/Index!N401)</f>
        <v>2.2569870751020144E-2</v>
      </c>
    </row>
    <row r="402" spans="1:14">
      <c r="A402" s="15">
        <v>40431</v>
      </c>
      <c r="B402" s="28">
        <f>LN(Index!B403/Index!B402)</f>
        <v>6.6328953468876876E-3</v>
      </c>
      <c r="C402" s="28">
        <f>LN(Index!C403/Index!C402)</f>
        <v>-2.4079563339093357E-3</v>
      </c>
      <c r="D402" s="28">
        <f>LN(Index!D403/Index!D402)</f>
        <v>-4.2680325018354084E-4</v>
      </c>
      <c r="E402" s="28">
        <f>LN(Index!E403/Index!E402)</f>
        <v>7.7413446260959553E-3</v>
      </c>
      <c r="F402" s="28">
        <f>LN(Index!F403/Index!F402)</f>
        <v>1.4601437080187353E-3</v>
      </c>
      <c r="G402" s="28">
        <f>LN(Index!G403/Index!G402)</f>
        <v>1.8399330816322054E-2</v>
      </c>
      <c r="H402" s="28">
        <f>LN(Index!H403/Index!H402)</f>
        <v>8.0052899954854689E-3</v>
      </c>
      <c r="I402" s="28">
        <f>LN(Index!I403/Index!I402)</f>
        <v>-2.4478296614103595E-3</v>
      </c>
      <c r="J402" s="28">
        <f>LN(Index!J403/Index!J402)</f>
        <v>1.3720074335454802E-2</v>
      </c>
      <c r="K402" s="28">
        <f>LN(Index!K403/Index!K402)</f>
        <v>2.9699741667729786E-2</v>
      </c>
      <c r="L402" s="28">
        <f>LN(Index!L403/Index!L402)</f>
        <v>8.1050144401141454E-3</v>
      </c>
      <c r="M402" s="28">
        <f>LN(Index!M403/Index!M402)</f>
        <v>5.3425045981295733E-3</v>
      </c>
      <c r="N402" s="28">
        <f>LN(Index!N403/Index!N402)</f>
        <v>3.1183877704433196E-3</v>
      </c>
    </row>
    <row r="403" spans="1:14">
      <c r="A403" s="15">
        <v>40438</v>
      </c>
      <c r="B403" s="28">
        <f>LN(Index!B404/Index!B403)</f>
        <v>1.4884028125744912E-2</v>
      </c>
      <c r="C403" s="28">
        <f>LN(Index!C404/Index!C403)</f>
        <v>1.3979152522586638E-3</v>
      </c>
      <c r="D403" s="28">
        <f>LN(Index!D404/Index!D403)</f>
        <v>1.3919043385094376E-2</v>
      </c>
      <c r="E403" s="28">
        <f>LN(Index!E404/Index!E403)</f>
        <v>7.1847128085477021E-3</v>
      </c>
      <c r="F403" s="28">
        <f>LN(Index!F404/Index!F403)</f>
        <v>-3.5631349354943256E-3</v>
      </c>
      <c r="G403" s="28">
        <f>LN(Index!G404/Index!G403)</f>
        <v>1.062394816989755E-2</v>
      </c>
      <c r="H403" s="28">
        <f>LN(Index!H404/Index!H403)</f>
        <v>1.3821086040591553E-3</v>
      </c>
      <c r="I403" s="28">
        <f>LN(Index!I404/Index!I403)</f>
        <v>3.2799848366643861E-2</v>
      </c>
      <c r="J403" s="28">
        <f>LN(Index!J404/Index!J403)</f>
        <v>-5.6938387986261519E-3</v>
      </c>
      <c r="K403" s="28">
        <f>LN(Index!K404/Index!K403)</f>
        <v>-1.0817047677679407E-4</v>
      </c>
      <c r="L403" s="28">
        <f>LN(Index!L404/Index!L403)</f>
        <v>1.0724110878576683E-3</v>
      </c>
      <c r="M403" s="28">
        <f>LN(Index!M404/Index!M403)</f>
        <v>1.5598191079153757E-2</v>
      </c>
      <c r="N403" s="28">
        <f>LN(Index!N404/Index!N403)</f>
        <v>-8.4950545016659971E-4</v>
      </c>
    </row>
    <row r="404" spans="1:14">
      <c r="A404" s="15">
        <v>40445</v>
      </c>
      <c r="B404" s="28">
        <f>LN(Index!B405/Index!B404)</f>
        <v>2.302667223169879E-2</v>
      </c>
      <c r="C404" s="28">
        <f>LN(Index!C405/Index!C404)</f>
        <v>9.8193684781769496E-3</v>
      </c>
      <c r="D404" s="28">
        <f>LN(Index!D405/Index!D404)</f>
        <v>2.0418793988759419E-2</v>
      </c>
      <c r="E404" s="28">
        <f>LN(Index!E405/Index!E404)</f>
        <v>2.0077540697294526E-2</v>
      </c>
      <c r="F404" s="28">
        <f>LN(Index!F405/Index!F404)</f>
        <v>2.3816372630871399E-2</v>
      </c>
      <c r="G404" s="28">
        <f>LN(Index!G405/Index!G404)</f>
        <v>2.8877189694804985E-3</v>
      </c>
      <c r="H404" s="28">
        <f>LN(Index!H405/Index!H404)</f>
        <v>1.2422912885187459E-2</v>
      </c>
      <c r="I404" s="28">
        <f>LN(Index!I405/Index!I404)</f>
        <v>2.5377744316455605E-2</v>
      </c>
      <c r="J404" s="28">
        <f>LN(Index!J405/Index!J404)</f>
        <v>8.3112825627814444E-3</v>
      </c>
      <c r="K404" s="28">
        <f>LN(Index!K405/Index!K404)</f>
        <v>-3.0335336818141699E-3</v>
      </c>
      <c r="L404" s="28">
        <f>LN(Index!L405/Index!L404)</f>
        <v>3.8215785532925012E-2</v>
      </c>
      <c r="M404" s="28">
        <f>LN(Index!M405/Index!M404)</f>
        <v>2.840301334366797E-2</v>
      </c>
      <c r="N404" s="28">
        <f>LN(Index!N405/Index!N404)</f>
        <v>1.6682699581309111E-2</v>
      </c>
    </row>
    <row r="405" spans="1:14">
      <c r="A405" s="15">
        <v>40452</v>
      </c>
      <c r="B405" s="28">
        <f>LN(Index!B406/Index!B405)</f>
        <v>9.8005262953896125E-4</v>
      </c>
      <c r="C405" s="28">
        <f>LN(Index!C406/Index!C405)</f>
        <v>5.9275952656303926E-3</v>
      </c>
      <c r="D405" s="28">
        <f>LN(Index!D406/Index!D405)</f>
        <v>1.1483379777723691E-2</v>
      </c>
      <c r="E405" s="28">
        <f>LN(Index!E406/Index!E405)</f>
        <v>2.6169635523910998E-3</v>
      </c>
      <c r="F405" s="28">
        <f>LN(Index!F406/Index!F405)</f>
        <v>1.2366798550737204E-2</v>
      </c>
      <c r="G405" s="28">
        <f>LN(Index!G406/Index!G405)</f>
        <v>7.1677956141763558E-3</v>
      </c>
      <c r="H405" s="28">
        <f>LN(Index!H406/Index!H405)</f>
        <v>3.6957252642310281E-3</v>
      </c>
      <c r="I405" s="28">
        <f>LN(Index!I406/Index!I405)</f>
        <v>1.0965040413838343E-2</v>
      </c>
      <c r="J405" s="28">
        <f>LN(Index!J406/Index!J405)</f>
        <v>2.9264234931603876E-3</v>
      </c>
      <c r="K405" s="28">
        <f>LN(Index!K406/Index!K405)</f>
        <v>4.9248297830212498E-3</v>
      </c>
      <c r="L405" s="28">
        <f>LN(Index!L406/Index!L405)</f>
        <v>1.2998948122085025E-3</v>
      </c>
      <c r="M405" s="28">
        <f>LN(Index!M406/Index!M405)</f>
        <v>1.1732212728197614E-2</v>
      </c>
      <c r="N405" s="28">
        <f>LN(Index!N406/Index!N405)</f>
        <v>1.5659548645173691E-2</v>
      </c>
    </row>
    <row r="406" spans="1:14">
      <c r="A406" s="15">
        <v>40459</v>
      </c>
      <c r="B406" s="28">
        <f>LN(Index!B407/Index!B406)</f>
        <v>2.1371262335649378E-2</v>
      </c>
      <c r="C406" s="28">
        <f>LN(Index!C407/Index!C406)</f>
        <v>9.8695067251229583E-3</v>
      </c>
      <c r="D406" s="28">
        <f>LN(Index!D407/Index!D406)</f>
        <v>3.1113472134649437E-2</v>
      </c>
      <c r="E406" s="28">
        <f>LN(Index!E407/Index!E406)</f>
        <v>4.0009204004032878E-2</v>
      </c>
      <c r="F406" s="28">
        <f>LN(Index!F407/Index!F406)</f>
        <v>6.7362124664550709E-3</v>
      </c>
      <c r="G406" s="28">
        <f>LN(Index!G407/Index!G406)</f>
        <v>9.9554070081838367E-3</v>
      </c>
      <c r="H406" s="28">
        <f>LN(Index!H407/Index!H406)</f>
        <v>2.6043895247298152E-2</v>
      </c>
      <c r="I406" s="28">
        <f>LN(Index!I407/Index!I406)</f>
        <v>1.9245646316893381E-2</v>
      </c>
      <c r="J406" s="28">
        <f>LN(Index!J407/Index!J406)</f>
        <v>1.9745013843705916E-2</v>
      </c>
      <c r="K406" s="28">
        <f>LN(Index!K407/Index!K406)</f>
        <v>1.2842322697456963E-2</v>
      </c>
      <c r="L406" s="28">
        <f>LN(Index!L407/Index!L406)</f>
        <v>-3.0339183307400868E-3</v>
      </c>
      <c r="M406" s="28">
        <f>LN(Index!M407/Index!M406)</f>
        <v>3.7879006121201278E-2</v>
      </c>
      <c r="N406" s="28">
        <f>LN(Index!N407/Index!N406)</f>
        <v>1.535508333517463E-2</v>
      </c>
    </row>
    <row r="407" spans="1:14">
      <c r="A407" s="15">
        <v>40466</v>
      </c>
      <c r="B407" s="28">
        <f>LN(Index!B408/Index!B407)</f>
        <v>1.1228130454070126E-2</v>
      </c>
      <c r="C407" s="28">
        <f>LN(Index!C408/Index!C407)</f>
        <v>-2.6397868690771404E-3</v>
      </c>
      <c r="D407" s="28">
        <f>LN(Index!D408/Index!D407)</f>
        <v>1.3350109928892127E-2</v>
      </c>
      <c r="E407" s="28">
        <f>LN(Index!E408/Index!E407)</f>
        <v>1.692002399421182E-2</v>
      </c>
      <c r="F407" s="28">
        <f>LN(Index!F408/Index!F407)</f>
        <v>7.2163143941028386E-3</v>
      </c>
      <c r="G407" s="28">
        <f>LN(Index!G408/Index!G407)</f>
        <v>4.6531768626460988E-3</v>
      </c>
      <c r="H407" s="28">
        <f>LN(Index!H408/Index!H407)</f>
        <v>1.1738185168677882E-2</v>
      </c>
      <c r="I407" s="28">
        <f>LN(Index!I408/Index!I407)</f>
        <v>1.6882102092792246E-2</v>
      </c>
      <c r="J407" s="28">
        <f>LN(Index!J408/Index!J407)</f>
        <v>7.8453091654310091E-3</v>
      </c>
      <c r="K407" s="28">
        <f>LN(Index!K408/Index!K407)</f>
        <v>1.7718823086058186E-2</v>
      </c>
      <c r="L407" s="28">
        <f>LN(Index!L408/Index!L407)</f>
        <v>-3.5011210324538979E-3</v>
      </c>
      <c r="M407" s="28">
        <f>LN(Index!M408/Index!M407)</f>
        <v>2.5224901312344707E-2</v>
      </c>
      <c r="N407" s="28">
        <f>LN(Index!N408/Index!N407)</f>
        <v>1.033155404502261E-2</v>
      </c>
    </row>
    <row r="408" spans="1:14">
      <c r="A408" s="15">
        <v>40473</v>
      </c>
      <c r="B408" s="28">
        <f>LN(Index!B409/Index!B408)</f>
        <v>-3.8423963945456079E-4</v>
      </c>
      <c r="C408" s="28">
        <f>LN(Index!C409/Index!C408)</f>
        <v>7.5493615664467282E-4</v>
      </c>
      <c r="D408" s="28">
        <f>LN(Index!D409/Index!D408)</f>
        <v>-7.8038633081899632E-4</v>
      </c>
      <c r="E408" s="28">
        <f>LN(Index!E409/Index!E408)</f>
        <v>2.1755479809239132E-3</v>
      </c>
      <c r="F408" s="28">
        <f>LN(Index!F409/Index!F408)</f>
        <v>-8.2794358688781519E-4</v>
      </c>
      <c r="G408" s="28">
        <f>LN(Index!G409/Index!G408)</f>
        <v>-1.9529006772516812E-3</v>
      </c>
      <c r="H408" s="28">
        <f>LN(Index!H409/Index!H408)</f>
        <v>6.7677068484457478E-3</v>
      </c>
      <c r="I408" s="28">
        <f>LN(Index!I409/Index!I408)</f>
        <v>-5.1002428298837048E-3</v>
      </c>
      <c r="J408" s="28">
        <f>LN(Index!J409/Index!J408)</f>
        <v>2.6309100128658175E-3</v>
      </c>
      <c r="K408" s="28">
        <f>LN(Index!K409/Index!K408)</f>
        <v>-4.8244719636975561E-3</v>
      </c>
      <c r="L408" s="28">
        <f>LN(Index!L409/Index!L408)</f>
        <v>-6.5842688014697255E-3</v>
      </c>
      <c r="M408" s="28">
        <f>LN(Index!M409/Index!M408)</f>
        <v>-3.7384627455174604E-3</v>
      </c>
      <c r="N408" s="28">
        <f>LN(Index!N409/Index!N408)</f>
        <v>-4.3891738860717382E-3</v>
      </c>
    </row>
    <row r="409" spans="1:14">
      <c r="A409" s="15">
        <v>40480</v>
      </c>
      <c r="B409" s="28">
        <f>LN(Index!B410/Index!B409)</f>
        <v>-5.970906323747307E-4</v>
      </c>
      <c r="C409" s="28">
        <f>LN(Index!C410/Index!C409)</f>
        <v>-1.0163930540597554E-3</v>
      </c>
      <c r="D409" s="28">
        <f>LN(Index!D410/Index!D409)</f>
        <v>-1.6265853474191731E-2</v>
      </c>
      <c r="E409" s="28">
        <f>LN(Index!E410/Index!E409)</f>
        <v>1.9338686659445513E-2</v>
      </c>
      <c r="F409" s="28">
        <f>LN(Index!F410/Index!F409)</f>
        <v>8.1250779620348091E-3</v>
      </c>
      <c r="G409" s="28">
        <f>LN(Index!G410/Index!G409)</f>
        <v>5.712424678677025E-4</v>
      </c>
      <c r="H409" s="28">
        <f>LN(Index!H410/Index!H409)</f>
        <v>1.7693061526077202E-2</v>
      </c>
      <c r="I409" s="28">
        <f>LN(Index!I410/Index!I409)</f>
        <v>8.5112343063383118E-3</v>
      </c>
      <c r="J409" s="28">
        <f>LN(Index!J410/Index!J409)</f>
        <v>2.4497301351412881E-2</v>
      </c>
      <c r="K409" s="28">
        <f>LN(Index!K410/Index!K409)</f>
        <v>6.176218320319303E-3</v>
      </c>
      <c r="L409" s="28">
        <f>LN(Index!L410/Index!L409)</f>
        <v>1.8863416607148176E-2</v>
      </c>
      <c r="M409" s="28">
        <f>LN(Index!M410/Index!M409)</f>
        <v>1.3374964225213181E-2</v>
      </c>
      <c r="N409" s="28">
        <f>LN(Index!N410/Index!N409)</f>
        <v>1.547115787797014E-3</v>
      </c>
    </row>
    <row r="410" spans="1:14">
      <c r="A410" s="15">
        <v>40487</v>
      </c>
      <c r="B410" s="28">
        <f>LN(Index!B411/Index!B410)</f>
        <v>3.4181601584750192E-2</v>
      </c>
      <c r="C410" s="28">
        <f>LN(Index!C411/Index!C410)</f>
        <v>8.3617123721423017E-3</v>
      </c>
      <c r="D410" s="28">
        <f>LN(Index!D411/Index!D410)</f>
        <v>5.3367449450879241E-2</v>
      </c>
      <c r="E410" s="28">
        <f>LN(Index!E411/Index!E410)</f>
        <v>1.1635600431325666E-2</v>
      </c>
      <c r="F410" s="28">
        <f>LN(Index!F411/Index!F410)</f>
        <v>1.5119755498674399E-2</v>
      </c>
      <c r="G410" s="28">
        <f>LN(Index!G411/Index!G410)</f>
        <v>4.4112803737580183E-2</v>
      </c>
      <c r="H410" s="28">
        <f>LN(Index!H411/Index!H410)</f>
        <v>1.6656449605985221E-2</v>
      </c>
      <c r="I410" s="28">
        <f>LN(Index!I411/Index!I410)</f>
        <v>3.103230838108027E-2</v>
      </c>
      <c r="J410" s="28">
        <f>LN(Index!J411/Index!J410)</f>
        <v>3.9336076692762824E-2</v>
      </c>
      <c r="K410" s="28">
        <f>LN(Index!K411/Index!K410)</f>
        <v>5.7609800093498538E-2</v>
      </c>
      <c r="L410" s="28">
        <f>LN(Index!L411/Index!L410)</f>
        <v>7.407483655643054E-3</v>
      </c>
      <c r="M410" s="28">
        <f>LN(Index!M411/Index!M410)</f>
        <v>1.0740983571585547E-2</v>
      </c>
      <c r="N410" s="28">
        <f>LN(Index!N411/Index!N410)</f>
        <v>1.585118493630619E-2</v>
      </c>
    </row>
    <row r="411" spans="1:14">
      <c r="A411" s="15">
        <v>40494</v>
      </c>
      <c r="B411" s="28">
        <f>LN(Index!B412/Index!B411)</f>
        <v>-2.26951701919706E-2</v>
      </c>
      <c r="C411" s="28">
        <f>LN(Index!C412/Index!C411)</f>
        <v>-1.6618144844617776E-2</v>
      </c>
      <c r="D411" s="28">
        <f>LN(Index!D412/Index!D411)</f>
        <v>-4.4218134352041104E-2</v>
      </c>
      <c r="E411" s="28">
        <f>LN(Index!E412/Index!E411)</f>
        <v>-2.8685764726005765E-2</v>
      </c>
      <c r="F411" s="28">
        <f>LN(Index!F412/Index!F411)</f>
        <v>-2.0070326422064577E-2</v>
      </c>
      <c r="G411" s="28">
        <f>LN(Index!G412/Index!G411)</f>
        <v>-1.1696660071423068E-2</v>
      </c>
      <c r="H411" s="28">
        <f>LN(Index!H412/Index!H411)</f>
        <v>-2.0713585223379204E-2</v>
      </c>
      <c r="I411" s="28">
        <f>LN(Index!I412/Index!I411)</f>
        <v>-4.2556592791498496E-2</v>
      </c>
      <c r="J411" s="28">
        <f>LN(Index!J412/Index!J411)</f>
        <v>-1.3566147053452665E-2</v>
      </c>
      <c r="K411" s="28">
        <f>LN(Index!K412/Index!K411)</f>
        <v>-5.3123823136694056E-3</v>
      </c>
      <c r="L411" s="28">
        <f>LN(Index!L412/Index!L411)</f>
        <v>-2.0154116636096678E-2</v>
      </c>
      <c r="M411" s="28">
        <f>LN(Index!M412/Index!M411)</f>
        <v>-3.1748995025084624E-2</v>
      </c>
      <c r="N411" s="28">
        <f>LN(Index!N412/Index!N411)</f>
        <v>-2.061644701813636E-2</v>
      </c>
    </row>
    <row r="412" spans="1:14">
      <c r="A412" s="15">
        <v>40501</v>
      </c>
      <c r="B412" s="28">
        <f>LN(Index!B413/Index!B412)</f>
        <v>-8.253496066659839E-4</v>
      </c>
      <c r="C412" s="28">
        <f>LN(Index!C413/Index!C412)</f>
        <v>-6.1710451493108952E-3</v>
      </c>
      <c r="D412" s="28">
        <f>LN(Index!D413/Index!D412)</f>
        <v>-1.8850387857182863E-2</v>
      </c>
      <c r="E412" s="28">
        <f>LN(Index!E413/Index!E412)</f>
        <v>-9.8757361585182502E-3</v>
      </c>
      <c r="F412" s="28">
        <f>LN(Index!F413/Index!F412)</f>
        <v>-4.796769826570917E-3</v>
      </c>
      <c r="G412" s="28">
        <f>LN(Index!G413/Index!G412)</f>
        <v>-2.7419181409125051E-2</v>
      </c>
      <c r="H412" s="28">
        <f>LN(Index!H413/Index!H412)</f>
        <v>-1.3396350435274105E-2</v>
      </c>
      <c r="I412" s="28">
        <f>LN(Index!I413/Index!I412)</f>
        <v>-5.0042210076233513E-3</v>
      </c>
      <c r="J412" s="28">
        <f>LN(Index!J413/Index!J412)</f>
        <v>-1.0843228503500427E-2</v>
      </c>
      <c r="K412" s="28">
        <f>LN(Index!K413/Index!K412)</f>
        <v>-2.8839278191866421E-2</v>
      </c>
      <c r="L412" s="28">
        <f>LN(Index!L413/Index!L412)</f>
        <v>1.2957073762478318E-3</v>
      </c>
      <c r="M412" s="28">
        <f>LN(Index!M413/Index!M412)</f>
        <v>-1.8282062355415168E-2</v>
      </c>
      <c r="N412" s="28">
        <f>LN(Index!N413/Index!N412)</f>
        <v>-5.6229368888659455E-3</v>
      </c>
    </row>
    <row r="413" spans="1:14">
      <c r="A413" s="15">
        <v>40508</v>
      </c>
      <c r="B413" s="28">
        <f>LN(Index!B414/Index!B413)</f>
        <v>-2.0420304845069064E-2</v>
      </c>
      <c r="C413" s="28">
        <f>LN(Index!C414/Index!C413)</f>
        <v>-2.1836647015191085E-3</v>
      </c>
      <c r="D413" s="28">
        <f>LN(Index!D414/Index!D413)</f>
        <v>-1.8872299685711167E-2</v>
      </c>
      <c r="E413" s="28">
        <f>LN(Index!E414/Index!E413)</f>
        <v>-4.1665596056906458E-2</v>
      </c>
      <c r="F413" s="28">
        <f>LN(Index!F414/Index!F413)</f>
        <v>6.643763021916048E-4</v>
      </c>
      <c r="G413" s="28">
        <f>LN(Index!G414/Index!G413)</f>
        <v>-1.3706166440960276E-2</v>
      </c>
      <c r="H413" s="28">
        <f>LN(Index!H414/Index!H413)</f>
        <v>-2.2989239681973063E-2</v>
      </c>
      <c r="I413" s="28">
        <f>LN(Index!I414/Index!I413)</f>
        <v>-2.1093728130936736E-2</v>
      </c>
      <c r="J413" s="28">
        <f>LN(Index!J414/Index!J413)</f>
        <v>-7.6970483934264804E-3</v>
      </c>
      <c r="K413" s="28">
        <f>LN(Index!K414/Index!K413)</f>
        <v>9.7465461254222698E-3</v>
      </c>
      <c r="L413" s="28">
        <f>LN(Index!L414/Index!L413)</f>
        <v>-6.2553370667165504E-3</v>
      </c>
      <c r="M413" s="28">
        <f>LN(Index!M414/Index!M413)</f>
        <v>-5.1225352802528691E-2</v>
      </c>
      <c r="N413" s="28">
        <f>LN(Index!N414/Index!N413)</f>
        <v>-6.2360519734282723E-3</v>
      </c>
    </row>
    <row r="414" spans="1:14">
      <c r="A414" s="15">
        <v>40515</v>
      </c>
      <c r="B414" s="28">
        <f>LN(Index!B415/Index!B414)</f>
        <v>2.9943112137346174E-2</v>
      </c>
      <c r="C414" s="28">
        <f>LN(Index!C415/Index!C414)</f>
        <v>-6.6094877463633685E-3</v>
      </c>
      <c r="D414" s="28">
        <f>LN(Index!D415/Index!D414)</f>
        <v>2.8970040438150487E-2</v>
      </c>
      <c r="E414" s="28">
        <f>LN(Index!E415/Index!E414)</f>
        <v>1.1384179127509456E-3</v>
      </c>
      <c r="F414" s="28">
        <f>LN(Index!F415/Index!F414)</f>
        <v>1.4650672114206377E-2</v>
      </c>
      <c r="G414" s="28">
        <f>LN(Index!G415/Index!G414)</f>
        <v>1.9808473238459093E-2</v>
      </c>
      <c r="H414" s="28">
        <f>LN(Index!H415/Index!H414)</f>
        <v>-3.1055544372262395E-3</v>
      </c>
      <c r="I414" s="28">
        <f>LN(Index!I415/Index!I414)</f>
        <v>3.5828425292417726E-2</v>
      </c>
      <c r="J414" s="28">
        <f>LN(Index!J415/Index!J414)</f>
        <v>-1.3012512411185204E-2</v>
      </c>
      <c r="K414" s="28">
        <f>LN(Index!K415/Index!K414)</f>
        <v>3.2149721647198433E-2</v>
      </c>
      <c r="L414" s="28">
        <f>LN(Index!L415/Index!L414)</f>
        <v>1.1978493108076927E-3</v>
      </c>
      <c r="M414" s="28">
        <f>LN(Index!M415/Index!M414)</f>
        <v>3.0783533126572015E-2</v>
      </c>
      <c r="N414" s="28">
        <f>LN(Index!N415/Index!N414)</f>
        <v>1.7990517766172422E-2</v>
      </c>
    </row>
    <row r="415" spans="1:14">
      <c r="A415" s="15">
        <v>40522</v>
      </c>
      <c r="B415" s="28">
        <f>LN(Index!B416/Index!B415)</f>
        <v>7.4850469485762561E-3</v>
      </c>
      <c r="C415" s="28">
        <f>LN(Index!C416/Index!C415)</f>
        <v>-7.5519365526367701E-3</v>
      </c>
      <c r="D415" s="28">
        <f>LN(Index!D416/Index!D415)</f>
        <v>-6.565227997814678E-3</v>
      </c>
      <c r="E415" s="28">
        <f>LN(Index!E416/Index!E415)</f>
        <v>-3.0418491946874056E-3</v>
      </c>
      <c r="F415" s="28">
        <f>LN(Index!F416/Index!F415)</f>
        <v>-7.5618144393173638E-3</v>
      </c>
      <c r="G415" s="28">
        <f>LN(Index!G416/Index!G415)</f>
        <v>-2.2024265961785711E-2</v>
      </c>
      <c r="H415" s="28">
        <f>LN(Index!H416/Index!H415)</f>
        <v>-3.2878968626888125E-3</v>
      </c>
      <c r="I415" s="28">
        <f>LN(Index!I416/Index!I415)</f>
        <v>-6.7053759938451368E-3</v>
      </c>
      <c r="J415" s="28">
        <f>LN(Index!J416/Index!J415)</f>
        <v>2.6770779871152024E-3</v>
      </c>
      <c r="K415" s="28">
        <f>LN(Index!K416/Index!K415)</f>
        <v>-1.4522027586138055E-2</v>
      </c>
      <c r="L415" s="28">
        <f>LN(Index!L416/Index!L415)</f>
        <v>-1.0954620193443362E-2</v>
      </c>
      <c r="M415" s="28">
        <f>LN(Index!M416/Index!M415)</f>
        <v>-1.3538594952709577E-2</v>
      </c>
      <c r="N415" s="28">
        <f>LN(Index!N416/Index!N415)</f>
        <v>-9.2069464414641384E-3</v>
      </c>
    </row>
    <row r="416" spans="1:14">
      <c r="A416" s="15">
        <v>40529</v>
      </c>
      <c r="B416" s="28">
        <f>LN(Index!B417/Index!B416)</f>
        <v>1.0499690746494561E-3</v>
      </c>
      <c r="C416" s="28">
        <f>LN(Index!C417/Index!C416)</f>
        <v>-4.795156983421349E-4</v>
      </c>
      <c r="D416" s="28">
        <f>LN(Index!D417/Index!D416)</f>
        <v>-6.4746746897515065E-3</v>
      </c>
      <c r="E416" s="28">
        <f>LN(Index!E417/Index!E416)</f>
        <v>-7.5443116713814432E-3</v>
      </c>
      <c r="F416" s="28">
        <f>LN(Index!F417/Index!F416)</f>
        <v>3.1860178120266631E-3</v>
      </c>
      <c r="G416" s="28">
        <f>LN(Index!G417/Index!G416)</f>
        <v>-8.1515212253237511E-3</v>
      </c>
      <c r="H416" s="28">
        <f>LN(Index!H417/Index!H416)</f>
        <v>1.418365367129884E-4</v>
      </c>
      <c r="I416" s="28">
        <f>LN(Index!I417/Index!I416)</f>
        <v>-5.3039839693302506E-3</v>
      </c>
      <c r="J416" s="28">
        <f>LN(Index!J417/Index!J416)</f>
        <v>-3.4622194803679207E-3</v>
      </c>
      <c r="K416" s="28">
        <f>LN(Index!K417/Index!K416)</f>
        <v>-3.1973302884216619E-2</v>
      </c>
      <c r="L416" s="28">
        <f>LN(Index!L417/Index!L416)</f>
        <v>-9.5557174410381331E-3</v>
      </c>
      <c r="M416" s="28">
        <f>LN(Index!M417/Index!M416)</f>
        <v>5.9596863916821776E-3</v>
      </c>
      <c r="N416" s="28">
        <f>LN(Index!N417/Index!N416)</f>
        <v>1.5209059970206719E-3</v>
      </c>
    </row>
    <row r="417" spans="1:14">
      <c r="A417" s="15">
        <v>40536</v>
      </c>
      <c r="B417" s="28">
        <f>LN(Index!B418/Index!B417)</f>
        <v>1.3095208970435626E-2</v>
      </c>
      <c r="C417" s="28">
        <f>LN(Index!C418/Index!C417)</f>
        <v>8.0904941112487725E-4</v>
      </c>
      <c r="D417" s="28">
        <f>LN(Index!D418/Index!D417)</f>
        <v>2.5650907258484873E-2</v>
      </c>
      <c r="E417" s="28">
        <f>LN(Index!E418/Index!E417)</f>
        <v>1.5723849576114744E-2</v>
      </c>
      <c r="F417" s="28">
        <f>LN(Index!F418/Index!F417)</f>
        <v>1.2098822606702609E-2</v>
      </c>
      <c r="G417" s="28">
        <f>LN(Index!G418/Index!G417)</f>
        <v>1.6682528287009666E-3</v>
      </c>
      <c r="H417" s="28">
        <f>LN(Index!H418/Index!H417)</f>
        <v>1.320709190113342E-2</v>
      </c>
      <c r="I417" s="28">
        <f>LN(Index!I418/Index!I417)</f>
        <v>1.4209317807821023E-2</v>
      </c>
      <c r="J417" s="28">
        <f>LN(Index!J418/Index!J417)</f>
        <v>1.8555170505944001E-2</v>
      </c>
      <c r="K417" s="28">
        <f>LN(Index!K418/Index!K417)</f>
        <v>5.4135861852572818E-2</v>
      </c>
      <c r="L417" s="28">
        <f>LN(Index!L418/Index!L417)</f>
        <v>1.42725295626154E-2</v>
      </c>
      <c r="M417" s="28">
        <f>LN(Index!M418/Index!M417)</f>
        <v>5.6178669507604738E-3</v>
      </c>
      <c r="N417" s="28">
        <f>LN(Index!N418/Index!N417)</f>
        <v>1.1449235536775539E-2</v>
      </c>
    </row>
    <row r="418" spans="1:14">
      <c r="A418" s="15">
        <v>40543</v>
      </c>
      <c r="B418" s="28">
        <f>LN(Index!B419/Index!B418)</f>
        <v>4.4235907858999951E-3</v>
      </c>
      <c r="C418" s="28">
        <f>LN(Index!C419/Index!C418)</f>
        <v>8.8862967345493451E-3</v>
      </c>
      <c r="D418" s="28">
        <f>LN(Index!D419/Index!D418)</f>
        <v>1.4836202291626506E-2</v>
      </c>
      <c r="E418" s="28">
        <f>LN(Index!E419/Index!E418)</f>
        <v>-2.3851251642746508E-3</v>
      </c>
      <c r="F418" s="28">
        <f>LN(Index!F419/Index!F418)</f>
        <v>4.6921187751926717E-3</v>
      </c>
      <c r="G418" s="28">
        <f>LN(Index!G419/Index!G418)</f>
        <v>1.5944429794132863E-2</v>
      </c>
      <c r="H418" s="28">
        <f>LN(Index!H419/Index!H418)</f>
        <v>-3.6518529974732105E-3</v>
      </c>
      <c r="I418" s="28">
        <f>LN(Index!I419/Index!I418)</f>
        <v>1.7677925539352633E-2</v>
      </c>
      <c r="J418" s="28">
        <f>LN(Index!J419/Index!J418)</f>
        <v>1.19585218709353E-3</v>
      </c>
      <c r="K418" s="28">
        <f>LN(Index!K419/Index!K418)</f>
        <v>9.7952661803400731E-3</v>
      </c>
      <c r="L418" s="28">
        <f>LN(Index!L419/Index!L418)</f>
        <v>1.8544844052023484E-2</v>
      </c>
      <c r="M418" s="28">
        <f>LN(Index!M419/Index!M418)</f>
        <v>6.9770131216753137E-3</v>
      </c>
      <c r="N418" s="28">
        <f>LN(Index!N419/Index!N418)</f>
        <v>1.9938680750313975E-3</v>
      </c>
    </row>
    <row r="419" spans="1:14">
      <c r="A419" s="15">
        <v>40550</v>
      </c>
      <c r="B419" s="28">
        <f>LN(Index!B420/Index!B419)</f>
        <v>1.0462702205284397E-3</v>
      </c>
      <c r="C419" s="28">
        <f>LN(Index!C420/Index!C419)</f>
        <v>-4.7315180000034596E-3</v>
      </c>
      <c r="D419" s="28">
        <f>LN(Index!D420/Index!D419)</f>
        <v>3.8510959020974724E-3</v>
      </c>
      <c r="E419" s="28">
        <f>LN(Index!E420/Index!E419)</f>
        <v>-5.9567775363071297E-3</v>
      </c>
      <c r="F419" s="28">
        <f>LN(Index!F420/Index!F419)</f>
        <v>-7.450681009869624E-3</v>
      </c>
      <c r="G419" s="28">
        <f>LN(Index!G420/Index!G419)</f>
        <v>2.5080885988361227E-4</v>
      </c>
      <c r="H419" s="28">
        <f>LN(Index!H420/Index!H419)</f>
        <v>7.6844593684097465E-3</v>
      </c>
      <c r="I419" s="28">
        <f>LN(Index!I420/Index!I419)</f>
        <v>-7.0573474320692331E-3</v>
      </c>
      <c r="J419" s="28">
        <f>LN(Index!J420/Index!J419)</f>
        <v>3.7135241752943074E-3</v>
      </c>
      <c r="K419" s="28">
        <f>LN(Index!K420/Index!K419)</f>
        <v>2.1017390455546955E-2</v>
      </c>
      <c r="L419" s="28">
        <f>LN(Index!L420/Index!L419)</f>
        <v>-2.091538584222281E-2</v>
      </c>
      <c r="M419" s="28">
        <f>LN(Index!M420/Index!M419)</f>
        <v>-2.2830465815909667E-2</v>
      </c>
      <c r="N419" s="28">
        <f>LN(Index!N420/Index!N419)</f>
        <v>-8.6122738523053393E-3</v>
      </c>
    </row>
    <row r="420" spans="1:14">
      <c r="A420" s="15">
        <v>40557</v>
      </c>
      <c r="B420" s="28">
        <f>LN(Index!B421/Index!B420)</f>
        <v>2.130245277101557E-2</v>
      </c>
      <c r="C420" s="28">
        <f>LN(Index!C421/Index!C420)</f>
        <v>3.9296290631951327E-3</v>
      </c>
      <c r="D420" s="28">
        <f>LN(Index!D421/Index!D420)</f>
        <v>1.3616040353015699E-2</v>
      </c>
      <c r="E420" s="28">
        <f>LN(Index!E421/Index!E420)</f>
        <v>7.2045804030484873E-3</v>
      </c>
      <c r="F420" s="28">
        <f>LN(Index!F421/Index!F420)</f>
        <v>6.4002379475569778E-3</v>
      </c>
      <c r="G420" s="28">
        <f>LN(Index!G421/Index!G420)</f>
        <v>7.01930337168364E-4</v>
      </c>
      <c r="H420" s="28">
        <f>LN(Index!H421/Index!H420)</f>
        <v>-1.5299176186485863E-2</v>
      </c>
      <c r="I420" s="28">
        <f>LN(Index!I421/Index!I420)</f>
        <v>7.0483127328523824E-4</v>
      </c>
      <c r="J420" s="28">
        <f>LN(Index!J421/Index!J420)</f>
        <v>-7.3656041315313427E-3</v>
      </c>
      <c r="K420" s="28">
        <f>LN(Index!K421/Index!K420)</f>
        <v>4.7530395580490721E-2</v>
      </c>
      <c r="L420" s="28">
        <f>LN(Index!L421/Index!L420)</f>
        <v>-1.5662261503393629E-2</v>
      </c>
      <c r="M420" s="28">
        <f>LN(Index!M421/Index!M420)</f>
        <v>4.8286729605769567E-2</v>
      </c>
      <c r="N420" s="28">
        <f>LN(Index!N421/Index!N420)</f>
        <v>1.4759743568369291E-2</v>
      </c>
    </row>
    <row r="421" spans="1:14">
      <c r="A421" s="15">
        <v>40564</v>
      </c>
      <c r="B421" s="28">
        <f>LN(Index!B422/Index!B421)</f>
        <v>-4.9472825811810051E-3</v>
      </c>
      <c r="C421" s="28">
        <f>LN(Index!C422/Index!C421)</f>
        <v>-2.1712951526602067E-3</v>
      </c>
      <c r="D421" s="28">
        <f>LN(Index!D422/Index!D421)</f>
        <v>-5.8309203107933215E-3</v>
      </c>
      <c r="E421" s="28">
        <f>LN(Index!E422/Index!E421)</f>
        <v>2.2967750014539472E-2</v>
      </c>
      <c r="F421" s="28">
        <f>LN(Index!F422/Index!F421)</f>
        <v>2.8225220072697045E-4</v>
      </c>
      <c r="G421" s="28">
        <f>LN(Index!G422/Index!G421)</f>
        <v>-9.8873316347736929E-3</v>
      </c>
      <c r="H421" s="28">
        <f>LN(Index!H422/Index!H421)</f>
        <v>1.9019744915200559E-2</v>
      </c>
      <c r="I421" s="28">
        <f>LN(Index!I422/Index!I421)</f>
        <v>6.8139421296111429E-3</v>
      </c>
      <c r="J421" s="28">
        <f>LN(Index!J422/Index!J421)</f>
        <v>-2.4051281107581833E-2</v>
      </c>
      <c r="K421" s="28">
        <f>LN(Index!K422/Index!K421)</f>
        <v>-3.2629651270551729E-2</v>
      </c>
      <c r="L421" s="28">
        <f>LN(Index!L422/Index!L421)</f>
        <v>1.2379090198467795E-2</v>
      </c>
      <c r="M421" s="28">
        <f>LN(Index!M422/Index!M421)</f>
        <v>1.7593424194776237E-2</v>
      </c>
      <c r="N421" s="28">
        <f>LN(Index!N422/Index!N421)</f>
        <v>-2.1627833289339644E-3</v>
      </c>
    </row>
    <row r="422" spans="1:14">
      <c r="A422" s="15">
        <v>40571</v>
      </c>
      <c r="B422" s="28">
        <f>LN(Index!B423/Index!B422)</f>
        <v>-3.1481915435437708E-4</v>
      </c>
      <c r="C422" s="28">
        <f>LN(Index!C423/Index!C422)</f>
        <v>5.5230713191991975E-3</v>
      </c>
      <c r="D422" s="28">
        <f>LN(Index!D423/Index!D422)</f>
        <v>4.6927602132205929E-3</v>
      </c>
      <c r="E422" s="28">
        <f>LN(Index!E423/Index!E422)</f>
        <v>1.787078880201465E-3</v>
      </c>
      <c r="F422" s="28">
        <f>LN(Index!F423/Index!F422)</f>
        <v>4.1637210370300557E-3</v>
      </c>
      <c r="G422" s="28">
        <f>LN(Index!G423/Index!G422)</f>
        <v>-3.2400962187008689E-4</v>
      </c>
      <c r="H422" s="28">
        <f>LN(Index!H423/Index!H422)</f>
        <v>1.8942827300227683E-3</v>
      </c>
      <c r="I422" s="28">
        <f>LN(Index!I423/Index!I422)</f>
        <v>1.1648624737851816E-2</v>
      </c>
      <c r="J422" s="28">
        <f>LN(Index!J423/Index!J422)</f>
        <v>-1.0834106954548898E-2</v>
      </c>
      <c r="K422" s="28">
        <f>LN(Index!K423/Index!K422)</f>
        <v>2.4411967380192336E-2</v>
      </c>
      <c r="L422" s="28">
        <f>LN(Index!L423/Index!L422)</f>
        <v>1.7900346421030607E-2</v>
      </c>
      <c r="M422" s="28">
        <f>LN(Index!M423/Index!M422)</f>
        <v>5.1836070518383095E-3</v>
      </c>
      <c r="N422" s="28">
        <f>LN(Index!N423/Index!N422)</f>
        <v>-2.2826111292439145E-3</v>
      </c>
    </row>
    <row r="423" spans="1:14">
      <c r="A423" s="15">
        <v>40578</v>
      </c>
      <c r="B423" s="28">
        <f>LN(Index!B424/Index!B423)</f>
        <v>2.2417389635023922E-2</v>
      </c>
      <c r="C423" s="28">
        <f>LN(Index!C424/Index!C423)</f>
        <v>-7.5498976464361692E-3</v>
      </c>
      <c r="D423" s="28">
        <f>LN(Index!D424/Index!D423)</f>
        <v>1.4508937743888275E-2</v>
      </c>
      <c r="E423" s="28">
        <f>LN(Index!E424/Index!E423)</f>
        <v>1.9091482701806162E-2</v>
      </c>
      <c r="F423" s="28">
        <f>LN(Index!F424/Index!F423)</f>
        <v>2.2369466308415731E-2</v>
      </c>
      <c r="G423" s="28">
        <f>LN(Index!G424/Index!G423)</f>
        <v>1.3853457707904953E-2</v>
      </c>
      <c r="H423" s="28">
        <f>LN(Index!H424/Index!H423)</f>
        <v>1.4390976063444137E-2</v>
      </c>
      <c r="I423" s="28">
        <f>LN(Index!I424/Index!I423)</f>
        <v>1.5844595357344643E-2</v>
      </c>
      <c r="J423" s="28">
        <f>LN(Index!J424/Index!J423)</f>
        <v>4.1014682420394133E-2</v>
      </c>
      <c r="K423" s="28">
        <f>LN(Index!K424/Index!K423)</f>
        <v>1.4453350843661639E-3</v>
      </c>
      <c r="L423" s="28">
        <f>LN(Index!L424/Index!L423)</f>
        <v>4.2766623918473329E-2</v>
      </c>
      <c r="M423" s="28">
        <f>LN(Index!M424/Index!M423)</f>
        <v>6.7289764337982961E-3</v>
      </c>
      <c r="N423" s="28">
        <f>LN(Index!N424/Index!N423)</f>
        <v>1.6863287640114008E-2</v>
      </c>
    </row>
    <row r="424" spans="1:14">
      <c r="A424" s="15">
        <v>40585</v>
      </c>
      <c r="B424" s="28">
        <f>LN(Index!B425/Index!B424)</f>
        <v>6.9893723229345365E-3</v>
      </c>
      <c r="C424" s="28">
        <f>LN(Index!C425/Index!C424)</f>
        <v>-3.4670367683854062E-3</v>
      </c>
      <c r="D424" s="28">
        <f>LN(Index!D425/Index!D424)</f>
        <v>-1.2865344226407187E-2</v>
      </c>
      <c r="E424" s="28">
        <f>LN(Index!E425/Index!E424)</f>
        <v>1.6776636734231846E-2</v>
      </c>
      <c r="F424" s="28">
        <f>LN(Index!F425/Index!F424)</f>
        <v>9.8701203902478388E-3</v>
      </c>
      <c r="G424" s="28">
        <f>LN(Index!G425/Index!G424)</f>
        <v>-3.7384678471304125E-2</v>
      </c>
      <c r="H424" s="28">
        <f>LN(Index!H425/Index!H424)</f>
        <v>1.4953814197937941E-2</v>
      </c>
      <c r="I424" s="28">
        <f>LN(Index!I425/Index!I424)</f>
        <v>-6.0505668613600565E-3</v>
      </c>
      <c r="J424" s="28">
        <f>LN(Index!J425/Index!J424)</f>
        <v>-1.782375924010328E-3</v>
      </c>
      <c r="K424" s="28">
        <f>LN(Index!K425/Index!K424)</f>
        <v>-5.6817751381249733E-2</v>
      </c>
      <c r="L424" s="28">
        <f>LN(Index!L425/Index!L424)</f>
        <v>3.5862654611022241E-2</v>
      </c>
      <c r="M424" s="28">
        <f>LN(Index!M425/Index!M424)</f>
        <v>4.5534927675451109E-3</v>
      </c>
      <c r="N424" s="28">
        <f>LN(Index!N425/Index!N424)</f>
        <v>-4.268478657082501E-4</v>
      </c>
    </row>
    <row r="425" spans="1:14">
      <c r="A425" s="15">
        <v>40592</v>
      </c>
      <c r="B425" s="28">
        <f>LN(Index!B426/Index!B425)</f>
        <v>1.6001169921337755E-2</v>
      </c>
      <c r="C425" s="28">
        <f>LN(Index!C426/Index!C425)</f>
        <v>3.8846604954824865E-3</v>
      </c>
      <c r="D425" s="28">
        <f>LN(Index!D426/Index!D425)</f>
        <v>1.7406988888618375E-2</v>
      </c>
      <c r="E425" s="28">
        <f>LN(Index!E426/Index!E425)</f>
        <v>1.2034416075844691E-2</v>
      </c>
      <c r="F425" s="28">
        <f>LN(Index!F426/Index!F425)</f>
        <v>3.2230991842455647E-4</v>
      </c>
      <c r="G425" s="28">
        <f>LN(Index!G426/Index!G425)</f>
        <v>2.8607104598052196E-2</v>
      </c>
      <c r="H425" s="28">
        <f>LN(Index!H426/Index!H425)</f>
        <v>5.1488429637134335E-3</v>
      </c>
      <c r="I425" s="28">
        <f>LN(Index!I426/Index!I425)</f>
        <v>9.1986806895377748E-3</v>
      </c>
      <c r="J425" s="28">
        <f>LN(Index!J426/Index!J425)</f>
        <v>3.2395457628943296E-2</v>
      </c>
      <c r="K425" s="28">
        <f>LN(Index!K426/Index!K425)</f>
        <v>4.9528311453349086E-2</v>
      </c>
      <c r="L425" s="28">
        <f>LN(Index!L426/Index!L425)</f>
        <v>-3.2914347010759203E-2</v>
      </c>
      <c r="M425" s="28">
        <f>LN(Index!M426/Index!M425)</f>
        <v>1.271091550786807E-2</v>
      </c>
      <c r="N425" s="28">
        <f>LN(Index!N426/Index!N425)</f>
        <v>1.302789302916795E-2</v>
      </c>
    </row>
    <row r="426" spans="1:14">
      <c r="A426" s="15">
        <v>40599</v>
      </c>
      <c r="B426" s="28">
        <f>LN(Index!B427/Index!B426)</f>
        <v>-1.5770024145616214E-2</v>
      </c>
      <c r="C426" s="28">
        <f>LN(Index!C427/Index!C426)</f>
        <v>9.852881227902878E-3</v>
      </c>
      <c r="D426" s="28">
        <f>LN(Index!D427/Index!D426)</f>
        <v>-9.2919504884615787E-3</v>
      </c>
      <c r="E426" s="28">
        <f>LN(Index!E427/Index!E426)</f>
        <v>-8.1327716360538507E-3</v>
      </c>
      <c r="F426" s="28">
        <f>LN(Index!F427/Index!F426)</f>
        <v>-2.5604130760982771E-3</v>
      </c>
      <c r="G426" s="28">
        <f>LN(Index!G427/Index!G426)</f>
        <v>-1.37210458184873E-2</v>
      </c>
      <c r="H426" s="28">
        <f>LN(Index!H427/Index!H426)</f>
        <v>-5.8221352418962946E-3</v>
      </c>
      <c r="I426" s="28">
        <f>LN(Index!I427/Index!I426)</f>
        <v>-2.0179726374252697E-2</v>
      </c>
      <c r="J426" s="28">
        <f>LN(Index!J427/Index!J426)</f>
        <v>-1.7869951718349358E-2</v>
      </c>
      <c r="K426" s="28">
        <f>LN(Index!K427/Index!K426)</f>
        <v>-7.8605660170848149E-2</v>
      </c>
      <c r="L426" s="28">
        <f>LN(Index!L427/Index!L426)</f>
        <v>-9.046388479644998E-3</v>
      </c>
      <c r="M426" s="28">
        <f>LN(Index!M427/Index!M426)</f>
        <v>-5.5104381730062312E-3</v>
      </c>
      <c r="N426" s="28">
        <f>LN(Index!N427/Index!N426)</f>
        <v>3.3527762618883682E-3</v>
      </c>
    </row>
    <row r="427" spans="1:14">
      <c r="A427" s="15">
        <v>40606</v>
      </c>
      <c r="B427" s="28">
        <f>LN(Index!B428/Index!B427)</f>
        <v>5.3090757997666929E-3</v>
      </c>
      <c r="C427" s="28">
        <f>LN(Index!C428/Index!C427)</f>
        <v>-8.5678415758992611E-4</v>
      </c>
      <c r="D427" s="28">
        <f>LN(Index!D428/Index!D427)</f>
        <v>4.8126596844154578E-3</v>
      </c>
      <c r="E427" s="28">
        <f>LN(Index!E428/Index!E427)</f>
        <v>1.8166219923902539E-2</v>
      </c>
      <c r="F427" s="28">
        <f>LN(Index!F428/Index!F427)</f>
        <v>7.2368503101243641E-3</v>
      </c>
      <c r="G427" s="28">
        <f>LN(Index!G428/Index!G427)</f>
        <v>1.958799185235359E-2</v>
      </c>
      <c r="H427" s="28">
        <f>LN(Index!H428/Index!H427)</f>
        <v>1.2333942724860734E-2</v>
      </c>
      <c r="I427" s="28">
        <f>LN(Index!I428/Index!I427)</f>
        <v>2.6536801012812694E-2</v>
      </c>
      <c r="J427" s="28">
        <f>LN(Index!J428/Index!J427)</f>
        <v>1.8189196368875681E-2</v>
      </c>
      <c r="K427" s="28">
        <f>LN(Index!K428/Index!K427)</f>
        <v>3.7123602180424022E-2</v>
      </c>
      <c r="L427" s="28">
        <f>LN(Index!L428/Index!L427)</f>
        <v>-6.7089961401272189E-3</v>
      </c>
      <c r="M427" s="28">
        <f>LN(Index!M428/Index!M427)</f>
        <v>1.2044102839493444E-2</v>
      </c>
      <c r="N427" s="28">
        <f>LN(Index!N428/Index!N427)</f>
        <v>1.5429018446234387E-2</v>
      </c>
    </row>
    <row r="428" spans="1:14">
      <c r="A428" s="15">
        <v>40613</v>
      </c>
      <c r="B428" s="28">
        <f>LN(Index!B429/Index!B428)</f>
        <v>-2.5058472573552353E-2</v>
      </c>
      <c r="C428" s="28">
        <f>LN(Index!C429/Index!C428)</f>
        <v>1.3882122354036577E-3</v>
      </c>
      <c r="D428" s="28">
        <f>LN(Index!D429/Index!D428)</f>
        <v>-1.3749157168394522E-2</v>
      </c>
      <c r="E428" s="28">
        <f>LN(Index!E429/Index!E428)</f>
        <v>-2.3774044542835208E-2</v>
      </c>
      <c r="F428" s="28">
        <f>LN(Index!F429/Index!F428)</f>
        <v>-1.2592544741081782E-2</v>
      </c>
      <c r="G428" s="28">
        <f>LN(Index!G429/Index!G428)</f>
        <v>-2.4903612181364356E-2</v>
      </c>
      <c r="H428" s="28">
        <f>LN(Index!H429/Index!H428)</f>
        <v>-9.2989325444964837E-3</v>
      </c>
      <c r="I428" s="28">
        <f>LN(Index!I429/Index!I428)</f>
        <v>-2.3030085232310437E-2</v>
      </c>
      <c r="J428" s="28">
        <f>LN(Index!J429/Index!J428)</f>
        <v>-2.566372298157896E-2</v>
      </c>
      <c r="K428" s="28">
        <f>LN(Index!K429/Index!K428)</f>
        <v>-1.5453871297696506E-3</v>
      </c>
      <c r="L428" s="28">
        <f>LN(Index!L429/Index!L428)</f>
        <v>-4.2815726617451019E-2</v>
      </c>
      <c r="M428" s="28">
        <f>LN(Index!M429/Index!M428)</f>
        <v>-2.2395502571854256E-2</v>
      </c>
      <c r="N428" s="28">
        <f>LN(Index!N429/Index!N428)</f>
        <v>-1.2976300501141746E-2</v>
      </c>
    </row>
    <row r="429" spans="1:14">
      <c r="A429" s="15">
        <v>40620</v>
      </c>
      <c r="B429" s="28">
        <f>LN(Index!B430/Index!B429)</f>
        <v>-2.1474962538298902E-2</v>
      </c>
      <c r="C429" s="28">
        <f>LN(Index!C430/Index!C429)</f>
        <v>1.2466246359000481E-2</v>
      </c>
      <c r="D429" s="28">
        <f>LN(Index!D430/Index!D429)</f>
        <v>-2.729888858850494E-2</v>
      </c>
      <c r="E429" s="28">
        <f>LN(Index!E430/Index!E429)</f>
        <v>5.8700602458115992E-3</v>
      </c>
      <c r="F429" s="28">
        <f>LN(Index!F430/Index!F429)</f>
        <v>-1.1288721616563002E-2</v>
      </c>
      <c r="G429" s="28">
        <f>LN(Index!G430/Index!G429)</f>
        <v>-1.3622181565613879E-2</v>
      </c>
      <c r="H429" s="28">
        <f>LN(Index!H430/Index!H429)</f>
        <v>5.7788792334011294E-4</v>
      </c>
      <c r="I429" s="28">
        <f>LN(Index!I430/Index!I429)</f>
        <v>-2.2405303496000069E-2</v>
      </c>
      <c r="J429" s="28">
        <f>LN(Index!J430/Index!J429)</f>
        <v>-2.6283443901086254E-3</v>
      </c>
      <c r="K429" s="28">
        <f>LN(Index!K430/Index!K429)</f>
        <v>-2.045613282268444E-2</v>
      </c>
      <c r="L429" s="28">
        <f>LN(Index!L430/Index!L429)</f>
        <v>-6.4266898885740009E-5</v>
      </c>
      <c r="M429" s="28">
        <f>LN(Index!M430/Index!M429)</f>
        <v>-6.6354154262774573E-3</v>
      </c>
      <c r="N429" s="28">
        <f>LN(Index!N430/Index!N429)</f>
        <v>-9.8730802512152094E-3</v>
      </c>
    </row>
    <row r="430" spans="1:14">
      <c r="A430" s="15">
        <v>40627</v>
      </c>
      <c r="B430" s="28">
        <f>LN(Index!B431/Index!B430)</f>
        <v>2.9638829579106511E-2</v>
      </c>
      <c r="C430" s="28">
        <f>LN(Index!C431/Index!C430)</f>
        <v>-6.551071889223819E-3</v>
      </c>
      <c r="D430" s="28">
        <f>LN(Index!D431/Index!D430)</f>
        <v>1.796282001430214E-2</v>
      </c>
      <c r="E430" s="28">
        <f>LN(Index!E431/Index!E430)</f>
        <v>2.1237821882837168E-2</v>
      </c>
      <c r="F430" s="28">
        <f>LN(Index!F431/Index!F430)</f>
        <v>1.8509849693830731E-2</v>
      </c>
      <c r="G430" s="28">
        <f>LN(Index!G431/Index!G430)</f>
        <v>4.5020538679110093E-2</v>
      </c>
      <c r="H430" s="28">
        <f>LN(Index!H431/Index!H430)</f>
        <v>1.9131540988561832E-2</v>
      </c>
      <c r="I430" s="28">
        <f>LN(Index!I431/Index!I430)</f>
        <v>2.6184018690004706E-2</v>
      </c>
      <c r="J430" s="28">
        <f>LN(Index!J431/Index!J430)</f>
        <v>1.8440584953675603E-2</v>
      </c>
      <c r="K430" s="28">
        <f>LN(Index!K431/Index!K430)</f>
        <v>4.3040988416141637E-2</v>
      </c>
      <c r="L430" s="28">
        <f>LN(Index!L431/Index!L430)</f>
        <v>-6.0288527399118561E-3</v>
      </c>
      <c r="M430" s="28">
        <f>LN(Index!M431/Index!M430)</f>
        <v>3.3536296972665705E-2</v>
      </c>
      <c r="N430" s="28">
        <f>LN(Index!N431/Index!N430)</f>
        <v>2.8886992049760862E-2</v>
      </c>
    </row>
    <row r="431" spans="1:14">
      <c r="A431" s="15">
        <v>40634</v>
      </c>
      <c r="B431" s="28">
        <f>LN(Index!B432/Index!B431)</f>
        <v>1.1697355285233238E-2</v>
      </c>
      <c r="C431" s="28">
        <f>LN(Index!C432/Index!C431)</f>
        <v>-3.762828909899079E-3</v>
      </c>
      <c r="D431" s="28">
        <f>LN(Index!D432/Index!D431)</f>
        <v>1.3184775176750027E-2</v>
      </c>
      <c r="E431" s="28">
        <f>LN(Index!E432/Index!E431)</f>
        <v>1.9615103017933566E-2</v>
      </c>
      <c r="F431" s="28">
        <f>LN(Index!F432/Index!F431)</f>
        <v>2.6821871624303613E-2</v>
      </c>
      <c r="G431" s="28">
        <f>LN(Index!G432/Index!G431)</f>
        <v>1.4503675091093519E-2</v>
      </c>
      <c r="H431" s="28">
        <f>LN(Index!H432/Index!H431)</f>
        <v>1.7383648737270586E-2</v>
      </c>
      <c r="I431" s="28">
        <f>LN(Index!I432/Index!I431)</f>
        <v>3.0546311169718107E-2</v>
      </c>
      <c r="J431" s="28">
        <f>LN(Index!J432/Index!J431)</f>
        <v>2.5723232177259706E-2</v>
      </c>
      <c r="K431" s="28">
        <f>LN(Index!K432/Index!K431)</f>
        <v>2.5323723340542588E-3</v>
      </c>
      <c r="L431" s="28">
        <f>LN(Index!L432/Index!L431)</f>
        <v>4.7185616845903722E-2</v>
      </c>
      <c r="M431" s="28">
        <f>LN(Index!M432/Index!M431)</f>
        <v>3.1787381521287607E-2</v>
      </c>
      <c r="N431" s="28">
        <f>LN(Index!N432/Index!N431)</f>
        <v>1.9058404705962106E-2</v>
      </c>
    </row>
    <row r="432" spans="1:14">
      <c r="A432" s="15">
        <v>40641</v>
      </c>
      <c r="B432" s="28">
        <f>LN(Index!B433/Index!B432)</f>
        <v>7.4121726122045829E-3</v>
      </c>
      <c r="C432" s="28">
        <f>LN(Index!C433/Index!C432)</f>
        <v>-4.4276593970133228E-3</v>
      </c>
      <c r="D432" s="28">
        <f>LN(Index!D433/Index!D432)</f>
        <v>2.3900885646678019E-3</v>
      </c>
      <c r="E432" s="28">
        <f>LN(Index!E433/Index!E432)</f>
        <v>1.6769788427348019E-2</v>
      </c>
      <c r="F432" s="28">
        <f>LN(Index!F433/Index!F432)</f>
        <v>-1.0224807490317374E-2</v>
      </c>
      <c r="G432" s="28">
        <f>LN(Index!G433/Index!G432)</f>
        <v>1.2534949129953591E-2</v>
      </c>
      <c r="H432" s="28">
        <f>LN(Index!H433/Index!H432)</f>
        <v>2.1244914552430686E-3</v>
      </c>
      <c r="I432" s="28">
        <f>LN(Index!I433/Index!I432)</f>
        <v>-5.32250917086522E-3</v>
      </c>
      <c r="J432" s="28">
        <f>LN(Index!J433/Index!J432)</f>
        <v>1.1417752989930734E-3</v>
      </c>
      <c r="K432" s="28">
        <f>LN(Index!K433/Index!K432)</f>
        <v>3.4157014054306614E-2</v>
      </c>
      <c r="L432" s="28">
        <f>LN(Index!L433/Index!L432)</f>
        <v>-1.8504180311396841E-2</v>
      </c>
      <c r="M432" s="28">
        <f>LN(Index!M433/Index!M432)</f>
        <v>1.42139754866738E-2</v>
      </c>
      <c r="N432" s="28">
        <f>LN(Index!N433/Index!N432)</f>
        <v>8.1865551724047555E-4</v>
      </c>
    </row>
    <row r="433" spans="1:14">
      <c r="A433" s="15">
        <v>40648</v>
      </c>
      <c r="B433" s="28">
        <f>LN(Index!B434/Index!B433)</f>
        <v>-9.9574344649700566E-3</v>
      </c>
      <c r="C433" s="28">
        <f>LN(Index!C434/Index!C433)</f>
        <v>1.0505812973651106E-2</v>
      </c>
      <c r="D433" s="28">
        <f>LN(Index!D434/Index!D433)</f>
        <v>3.8248157735937013E-3</v>
      </c>
      <c r="E433" s="28">
        <f>LN(Index!E434/Index!E433)</f>
        <v>1.7437015312034402E-3</v>
      </c>
      <c r="F433" s="28">
        <f>LN(Index!F434/Index!F433)</f>
        <v>7.4940298327297024E-4</v>
      </c>
      <c r="G433" s="28">
        <f>LN(Index!G434/Index!G433)</f>
        <v>9.5849436598380679E-4</v>
      </c>
      <c r="H433" s="28">
        <f>LN(Index!H434/Index!H433)</f>
        <v>1.049338648255333E-3</v>
      </c>
      <c r="I433" s="28">
        <f>LN(Index!I434/Index!I433)</f>
        <v>-4.0227761082569577E-3</v>
      </c>
      <c r="J433" s="28">
        <f>LN(Index!J434/Index!J433)</f>
        <v>1.0133016358367416E-2</v>
      </c>
      <c r="K433" s="28">
        <f>LN(Index!K434/Index!K433)</f>
        <v>1.3394316936287993E-2</v>
      </c>
      <c r="L433" s="28">
        <f>LN(Index!L434/Index!L433)</f>
        <v>2.8805462205072635E-4</v>
      </c>
      <c r="M433" s="28">
        <f>LN(Index!M434/Index!M433)</f>
        <v>-1.1102764762073737E-2</v>
      </c>
      <c r="N433" s="28">
        <f>LN(Index!N434/Index!N433)</f>
        <v>7.6867904037493319E-4</v>
      </c>
    </row>
    <row r="434" spans="1:14">
      <c r="A434" s="15">
        <v>40655</v>
      </c>
      <c r="B434" s="28">
        <f>LN(Index!B435/Index!B434)</f>
        <v>1.7035909416720427E-2</v>
      </c>
      <c r="C434" s="28">
        <f>LN(Index!C435/Index!C434)</f>
        <v>5.226365565833703E-3</v>
      </c>
      <c r="D434" s="28">
        <f>LN(Index!D435/Index!D434)</f>
        <v>1.3488938012663293E-2</v>
      </c>
      <c r="E434" s="28">
        <f>LN(Index!E435/Index!E434)</f>
        <v>1.7469360962319821E-2</v>
      </c>
      <c r="F434" s="28">
        <f>LN(Index!F435/Index!F434)</f>
        <v>1.2032638225988537E-2</v>
      </c>
      <c r="G434" s="28">
        <f>LN(Index!G435/Index!G434)</f>
        <v>2.4207104432460342E-2</v>
      </c>
      <c r="H434" s="28">
        <f>LN(Index!H435/Index!H434)</f>
        <v>1.2495843169844211E-2</v>
      </c>
      <c r="I434" s="28">
        <f>LN(Index!I435/Index!I434)</f>
        <v>3.0294461844214974E-2</v>
      </c>
      <c r="J434" s="28">
        <f>LN(Index!J435/Index!J434)</f>
        <v>9.0523373007936041E-3</v>
      </c>
      <c r="K434" s="28">
        <f>LN(Index!K435/Index!K434)</f>
        <v>3.3891226224846166E-2</v>
      </c>
      <c r="L434" s="28">
        <f>LN(Index!L435/Index!L434)</f>
        <v>1.0070182519356619E-2</v>
      </c>
      <c r="M434" s="28">
        <f>LN(Index!M435/Index!M434)</f>
        <v>2.1054590812507885E-2</v>
      </c>
      <c r="N434" s="28">
        <f>LN(Index!N435/Index!N434)</f>
        <v>1.5206271006723148E-2</v>
      </c>
    </row>
    <row r="435" spans="1:14">
      <c r="A435" s="15">
        <v>40662</v>
      </c>
      <c r="B435" s="28">
        <f>LN(Index!B436/Index!B435)</f>
        <v>2.006868218701905E-2</v>
      </c>
      <c r="C435" s="28">
        <f>LN(Index!C436/Index!C435)</f>
        <v>7.4563339580623359E-3</v>
      </c>
      <c r="D435" s="28">
        <f>LN(Index!D436/Index!D435)</f>
        <v>1.7868545418243117E-2</v>
      </c>
      <c r="E435" s="28">
        <f>LN(Index!E436/Index!E435)</f>
        <v>2.9472215005859434E-2</v>
      </c>
      <c r="F435" s="28">
        <f>LN(Index!F436/Index!F435)</f>
        <v>2.0584428085852917E-2</v>
      </c>
      <c r="G435" s="28">
        <f>LN(Index!G436/Index!G435)</f>
        <v>-1.161931044560092E-2</v>
      </c>
      <c r="H435" s="28">
        <f>LN(Index!H436/Index!H435)</f>
        <v>2.9734685487354945E-2</v>
      </c>
      <c r="I435" s="28">
        <f>LN(Index!I436/Index!I435)</f>
        <v>1.283105132513503E-2</v>
      </c>
      <c r="J435" s="28">
        <f>LN(Index!J436/Index!J435)</f>
        <v>2.7456331212982354E-2</v>
      </c>
      <c r="K435" s="28">
        <f>LN(Index!K436/Index!K435)</f>
        <v>-2.3666222026429679E-2</v>
      </c>
      <c r="L435" s="28">
        <f>LN(Index!L436/Index!L435)</f>
        <v>1.0730050105569013E-2</v>
      </c>
      <c r="M435" s="28">
        <f>LN(Index!M436/Index!M435)</f>
        <v>1.7804272822586446E-2</v>
      </c>
      <c r="N435" s="28">
        <f>LN(Index!N436/Index!N435)</f>
        <v>1.8115195070202244E-2</v>
      </c>
    </row>
    <row r="436" spans="1:14">
      <c r="A436" s="15">
        <v>40669</v>
      </c>
      <c r="B436" s="28">
        <f>LN(Index!B437/Index!B436)</f>
        <v>-2.1362657296804321E-2</v>
      </c>
      <c r="C436" s="28">
        <f>LN(Index!C437/Index!C436)</f>
        <v>5.2181802923331466E-3</v>
      </c>
      <c r="D436" s="28">
        <f>LN(Index!D437/Index!D436)</f>
        <v>-1.6387794900891088E-2</v>
      </c>
      <c r="E436" s="28">
        <f>LN(Index!E437/Index!E436)</f>
        <v>-2.1083251306299462E-2</v>
      </c>
      <c r="F436" s="28">
        <f>LN(Index!F437/Index!F436)</f>
        <v>-8.8475790284836611E-3</v>
      </c>
      <c r="G436" s="28">
        <f>LN(Index!G437/Index!G436)</f>
        <v>-4.1703534853424996E-3</v>
      </c>
      <c r="H436" s="28">
        <f>LN(Index!H437/Index!H436)</f>
        <v>-7.0140892497068232E-3</v>
      </c>
      <c r="I436" s="28">
        <f>LN(Index!I437/Index!I436)</f>
        <v>-1.5614655439995578E-2</v>
      </c>
      <c r="J436" s="28">
        <f>LN(Index!J437/Index!J436)</f>
        <v>-1.3426945103593386E-2</v>
      </c>
      <c r="K436" s="28">
        <f>LN(Index!K437/Index!K436)</f>
        <v>-3.0546174623584586E-2</v>
      </c>
      <c r="L436" s="28">
        <f>LN(Index!L437/Index!L436)</f>
        <v>-6.5483436050840583E-3</v>
      </c>
      <c r="M436" s="28">
        <f>LN(Index!M437/Index!M436)</f>
        <v>-1.8496574625435493E-2</v>
      </c>
      <c r="N436" s="28">
        <f>LN(Index!N437/Index!N436)</f>
        <v>-1.4040092955207405E-2</v>
      </c>
    </row>
    <row r="437" spans="1:14">
      <c r="A437" s="15">
        <v>40676</v>
      </c>
      <c r="B437" s="28">
        <f>LN(Index!B438/Index!B437)</f>
        <v>-1.1915299123611531E-2</v>
      </c>
      <c r="C437" s="28">
        <f>LN(Index!C438/Index!C437)</f>
        <v>-2.5912717482483752E-3</v>
      </c>
      <c r="D437" s="28">
        <f>LN(Index!D438/Index!D437)</f>
        <v>-9.9756086079128628E-3</v>
      </c>
      <c r="E437" s="28">
        <f>LN(Index!E438/Index!E437)</f>
        <v>-1.6396609165861248E-2</v>
      </c>
      <c r="F437" s="28">
        <f>LN(Index!F438/Index!F437)</f>
        <v>1.5743544183016249E-3</v>
      </c>
      <c r="G437" s="28">
        <f>LN(Index!G438/Index!G437)</f>
        <v>-3.8602383785790481E-3</v>
      </c>
      <c r="H437" s="28">
        <f>LN(Index!H438/Index!H437)</f>
        <v>2.8277396669820179E-3</v>
      </c>
      <c r="I437" s="28">
        <f>LN(Index!I438/Index!I437)</f>
        <v>-1.1789820957530988E-2</v>
      </c>
      <c r="J437" s="28">
        <f>LN(Index!J438/Index!J437)</f>
        <v>-6.4876865044156563E-3</v>
      </c>
      <c r="K437" s="28">
        <f>LN(Index!K438/Index!K437)</f>
        <v>1.2539548557631208E-2</v>
      </c>
      <c r="L437" s="28">
        <f>LN(Index!L438/Index!L437)</f>
        <v>4.4357331380677984E-3</v>
      </c>
      <c r="M437" s="28">
        <f>LN(Index!M438/Index!M437)</f>
        <v>-2.0213961834539572E-2</v>
      </c>
      <c r="N437" s="28">
        <f>LN(Index!N438/Index!N437)</f>
        <v>-7.5209769653168902E-3</v>
      </c>
    </row>
    <row r="438" spans="1:14">
      <c r="A438" s="15">
        <v>40683</v>
      </c>
      <c r="B438" s="28">
        <f>LN(Index!B439/Index!B438)</f>
        <v>-4.866008064019405E-3</v>
      </c>
      <c r="C438" s="28">
        <f>LN(Index!C439/Index!C438)</f>
        <v>-1.4415661199271816E-4</v>
      </c>
      <c r="D438" s="28">
        <f>LN(Index!D439/Index!D438)</f>
        <v>5.0312227624489314E-3</v>
      </c>
      <c r="E438" s="28">
        <f>LN(Index!E439/Index!E438)</f>
        <v>1.492345788115496E-3</v>
      </c>
      <c r="F438" s="28">
        <f>LN(Index!F439/Index!F438)</f>
        <v>1.0403702764313525E-2</v>
      </c>
      <c r="G438" s="28">
        <f>LN(Index!G439/Index!G438)</f>
        <v>4.963170851859283E-3</v>
      </c>
      <c r="H438" s="28">
        <f>LN(Index!H439/Index!H438)</f>
        <v>6.5224290943819031E-3</v>
      </c>
      <c r="I438" s="28">
        <f>LN(Index!I439/Index!I438)</f>
        <v>-2.5610106820258432E-3</v>
      </c>
      <c r="J438" s="28">
        <f>LN(Index!J439/Index!J438)</f>
        <v>7.3106315445729863E-3</v>
      </c>
      <c r="K438" s="28">
        <f>LN(Index!K439/Index!K438)</f>
        <v>4.2278029478115143E-3</v>
      </c>
      <c r="L438" s="28">
        <f>LN(Index!L439/Index!L438)</f>
        <v>6.7823386386488965E-3</v>
      </c>
      <c r="M438" s="28">
        <f>LN(Index!M439/Index!M438)</f>
        <v>-6.3272499301806641E-4</v>
      </c>
      <c r="N438" s="28">
        <f>LN(Index!N439/Index!N438)</f>
        <v>1.1675876405522256E-2</v>
      </c>
    </row>
    <row r="439" spans="1:14">
      <c r="A439" s="15">
        <v>40690</v>
      </c>
      <c r="B439" s="28">
        <f>LN(Index!B440/Index!B439)</f>
        <v>1.3606868333427384E-3</v>
      </c>
      <c r="C439" s="28">
        <f>LN(Index!C440/Index!C439)</f>
        <v>-5.4798472782336587E-4</v>
      </c>
      <c r="D439" s="28">
        <f>LN(Index!D440/Index!D439)</f>
        <v>3.7105793965355534E-3</v>
      </c>
      <c r="E439" s="28">
        <f>LN(Index!E440/Index!E439)</f>
        <v>4.2698807265013393E-3</v>
      </c>
      <c r="F439" s="28">
        <f>LN(Index!F440/Index!F439)</f>
        <v>1.9441518911388186E-3</v>
      </c>
      <c r="G439" s="28">
        <f>LN(Index!G440/Index!G439)</f>
        <v>-5.1269473454817246E-3</v>
      </c>
      <c r="H439" s="28">
        <f>LN(Index!H440/Index!H439)</f>
        <v>-8.0461442275727713E-3</v>
      </c>
      <c r="I439" s="28">
        <f>LN(Index!I440/Index!I439)</f>
        <v>1.5290524973809371E-2</v>
      </c>
      <c r="J439" s="28">
        <f>LN(Index!J440/Index!J439)</f>
        <v>1.4490031751086227E-2</v>
      </c>
      <c r="K439" s="28">
        <f>LN(Index!K440/Index!K439)</f>
        <v>-2.2840982050144353E-2</v>
      </c>
      <c r="L439" s="28">
        <f>LN(Index!L440/Index!L439)</f>
        <v>1.3358222072359422E-2</v>
      </c>
      <c r="M439" s="28">
        <f>LN(Index!M440/Index!M439)</f>
        <v>-1.2579112472805821E-3</v>
      </c>
      <c r="N439" s="28">
        <f>LN(Index!N440/Index!N439)</f>
        <v>1.5321063438976119E-3</v>
      </c>
    </row>
    <row r="440" spans="1:14">
      <c r="A440" s="15">
        <v>40697</v>
      </c>
      <c r="B440" s="28">
        <f>LN(Index!B441/Index!B440)</f>
        <v>-1.3812104118460919E-2</v>
      </c>
      <c r="C440" s="28">
        <f>LN(Index!C441/Index!C440)</f>
        <v>9.6466540041369904E-3</v>
      </c>
      <c r="D440" s="28">
        <f>LN(Index!D441/Index!D440)</f>
        <v>-7.7459721146553411E-3</v>
      </c>
      <c r="E440" s="28">
        <f>LN(Index!E441/Index!E440)</f>
        <v>-2.1181943403702943E-3</v>
      </c>
      <c r="F440" s="28">
        <f>LN(Index!F441/Index!F440)</f>
        <v>-2.0551987403201688E-2</v>
      </c>
      <c r="G440" s="28">
        <f>LN(Index!G441/Index!G440)</f>
        <v>-1.3341128732486961E-2</v>
      </c>
      <c r="H440" s="28">
        <f>LN(Index!H441/Index!H440)</f>
        <v>-2.4805903278038683E-2</v>
      </c>
      <c r="I440" s="28">
        <f>LN(Index!I441/Index!I440)</f>
        <v>6.47699442209306E-3</v>
      </c>
      <c r="J440" s="28">
        <f>LN(Index!J441/Index!J440)</f>
        <v>-2.3023542401565757E-2</v>
      </c>
      <c r="K440" s="28">
        <f>LN(Index!K441/Index!K440)</f>
        <v>-2.7324408434994445E-2</v>
      </c>
      <c r="L440" s="28">
        <f>LN(Index!L441/Index!L440)</f>
        <v>-3.6107253030151304E-2</v>
      </c>
      <c r="M440" s="28">
        <f>LN(Index!M441/Index!M440)</f>
        <v>1.5064687060611143E-2</v>
      </c>
      <c r="N440" s="28">
        <f>LN(Index!N441/Index!N440)</f>
        <v>-8.1769434096741356E-3</v>
      </c>
    </row>
    <row r="441" spans="1:14">
      <c r="A441" s="15">
        <v>40704</v>
      </c>
      <c r="B441" s="28">
        <f>LN(Index!B442/Index!B441)</f>
        <v>-2.4244076341776499E-2</v>
      </c>
      <c r="C441" s="28">
        <f>LN(Index!C442/Index!C441)</f>
        <v>9.1389410901628022E-4</v>
      </c>
      <c r="D441" s="28">
        <f>LN(Index!D442/Index!D441)</f>
        <v>-2.6411040029907958E-2</v>
      </c>
      <c r="E441" s="28">
        <f>LN(Index!E442/Index!E441)</f>
        <v>-2.168162095760675E-2</v>
      </c>
      <c r="F441" s="28">
        <f>LN(Index!F442/Index!F441)</f>
        <v>-1.901427047448177E-2</v>
      </c>
      <c r="G441" s="28">
        <f>LN(Index!G442/Index!G441)</f>
        <v>-8.6935537514545337E-3</v>
      </c>
      <c r="H441" s="28">
        <f>LN(Index!H442/Index!H441)</f>
        <v>-1.3864924049727081E-2</v>
      </c>
      <c r="I441" s="28">
        <f>LN(Index!I442/Index!I441)</f>
        <v>-1.2944715142241065E-2</v>
      </c>
      <c r="J441" s="28">
        <f>LN(Index!J442/Index!J441)</f>
        <v>-2.0141035990486184E-2</v>
      </c>
      <c r="K441" s="28">
        <f>LN(Index!K442/Index!K441)</f>
        <v>-4.2685323595096768E-2</v>
      </c>
      <c r="L441" s="28">
        <f>LN(Index!L442/Index!L441)</f>
        <v>-1.5830656609076336E-2</v>
      </c>
      <c r="M441" s="28">
        <f>LN(Index!M442/Index!M441)</f>
        <v>-3.0404174105174868E-2</v>
      </c>
      <c r="N441" s="28">
        <f>LN(Index!N442/Index!N441)</f>
        <v>-2.0319066403107811E-2</v>
      </c>
    </row>
    <row r="442" spans="1:14">
      <c r="A442" s="15">
        <v>40711</v>
      </c>
      <c r="B442" s="28">
        <f>LN(Index!B443/Index!B442)</f>
        <v>-6.1578898164123368E-3</v>
      </c>
      <c r="C442" s="28">
        <f>LN(Index!C443/Index!C442)</f>
        <v>-3.4261242305160661E-4</v>
      </c>
      <c r="D442" s="28">
        <f>LN(Index!D443/Index!D442)</f>
        <v>-2.1740529056695347E-3</v>
      </c>
      <c r="E442" s="28">
        <f>LN(Index!E443/Index!E442)</f>
        <v>-1.0786949739767328E-2</v>
      </c>
      <c r="F442" s="28">
        <f>LN(Index!F443/Index!F442)</f>
        <v>3.2566009888192141E-3</v>
      </c>
      <c r="G442" s="28">
        <f>LN(Index!G443/Index!G442)</f>
        <v>-2.0719529924615666E-2</v>
      </c>
      <c r="H442" s="28">
        <f>LN(Index!H443/Index!H442)</f>
        <v>3.2322172175283468E-3</v>
      </c>
      <c r="I442" s="28">
        <f>LN(Index!I443/Index!I442)</f>
        <v>2.4394736371297836E-3</v>
      </c>
      <c r="J442" s="28">
        <f>LN(Index!J443/Index!J442)</f>
        <v>-2.7846728483476696E-3</v>
      </c>
      <c r="K442" s="28">
        <f>LN(Index!K443/Index!K442)</f>
        <v>-3.7721273417286566E-2</v>
      </c>
      <c r="L442" s="28">
        <f>LN(Index!L443/Index!L442)</f>
        <v>-1.4663522229417341E-3</v>
      </c>
      <c r="M442" s="28">
        <f>LN(Index!M443/Index!M442)</f>
        <v>-2.8449371908791002E-2</v>
      </c>
      <c r="N442" s="28">
        <f>LN(Index!N443/Index!N442)</f>
        <v>-2.3325094122349944E-3</v>
      </c>
    </row>
    <row r="443" spans="1:14">
      <c r="A443" s="15">
        <v>40718</v>
      </c>
      <c r="B443" s="28">
        <f>LN(Index!B444/Index!B443)</f>
        <v>-4.0140427836204392E-3</v>
      </c>
      <c r="C443" s="28">
        <f>LN(Index!C444/Index!C443)</f>
        <v>8.5631106448520538E-4</v>
      </c>
      <c r="D443" s="28">
        <f>LN(Index!D444/Index!D443)</f>
        <v>-1.7298271283390787E-3</v>
      </c>
      <c r="E443" s="28">
        <f>LN(Index!E444/Index!E443)</f>
        <v>-2.423648653970472E-2</v>
      </c>
      <c r="F443" s="28">
        <f>LN(Index!F444/Index!F443)</f>
        <v>1.1390487320376399E-2</v>
      </c>
      <c r="G443" s="28">
        <f>LN(Index!G444/Index!G443)</f>
        <v>-6.7701445125762112E-3</v>
      </c>
      <c r="H443" s="28">
        <f>LN(Index!H444/Index!H443)</f>
        <v>-1.578837512037834E-2</v>
      </c>
      <c r="I443" s="28">
        <f>LN(Index!I444/Index!I443)</f>
        <v>-7.3548293317309077E-3</v>
      </c>
      <c r="J443" s="28">
        <f>LN(Index!J444/Index!J443)</f>
        <v>-2.0312854090625564E-2</v>
      </c>
      <c r="K443" s="28">
        <f>LN(Index!K444/Index!K443)</f>
        <v>1.5380048160584026E-3</v>
      </c>
      <c r="L443" s="28">
        <f>LN(Index!L444/Index!L443)</f>
        <v>2.040282641819538E-2</v>
      </c>
      <c r="M443" s="28">
        <f>LN(Index!M444/Index!M443)</f>
        <v>-2.269817807494641E-2</v>
      </c>
      <c r="N443" s="28">
        <f>LN(Index!N444/Index!N443)</f>
        <v>8.1175424754674382E-3</v>
      </c>
    </row>
    <row r="444" spans="1:14">
      <c r="A444" s="15">
        <v>40725</v>
      </c>
      <c r="B444" s="28">
        <f>LN(Index!B445/Index!B444)</f>
        <v>5.2209805542018928E-2</v>
      </c>
      <c r="C444" s="28">
        <f>LN(Index!C445/Index!C444)</f>
        <v>-6.81365361520621E-3</v>
      </c>
      <c r="D444" s="28">
        <f>LN(Index!D445/Index!D444)</f>
        <v>3.5093530950769954E-2</v>
      </c>
      <c r="E444" s="28">
        <f>LN(Index!E445/Index!E444)</f>
        <v>5.5513926059426268E-2</v>
      </c>
      <c r="F444" s="28">
        <f>LN(Index!F445/Index!F444)</f>
        <v>3.7480510892014332E-2</v>
      </c>
      <c r="G444" s="28">
        <f>LN(Index!G445/Index!G444)</f>
        <v>3.682257227269968E-2</v>
      </c>
      <c r="H444" s="28">
        <f>LN(Index!H445/Index!H444)</f>
        <v>4.1713582048758732E-2</v>
      </c>
      <c r="I444" s="28">
        <f>LN(Index!I445/Index!I444)</f>
        <v>3.7189121391387511E-2</v>
      </c>
      <c r="J444" s="28">
        <f>LN(Index!J445/Index!J444)</f>
        <v>6.2059007192783872E-2</v>
      </c>
      <c r="K444" s="28">
        <f>LN(Index!K445/Index!K444)</f>
        <v>3.1008565408317538E-2</v>
      </c>
      <c r="L444" s="28">
        <f>LN(Index!L445/Index!L444)</f>
        <v>4.3748943377201845E-2</v>
      </c>
      <c r="M444" s="28">
        <f>LN(Index!M445/Index!M444)</f>
        <v>4.0439089782330365E-2</v>
      </c>
      <c r="N444" s="28">
        <f>LN(Index!N445/Index!N444)</f>
        <v>3.9186337832487657E-2</v>
      </c>
    </row>
    <row r="445" spans="1:14">
      <c r="A445" s="15">
        <v>40732</v>
      </c>
      <c r="B445" s="28">
        <f>LN(Index!B446/Index!B445)</f>
        <v>-5.0615199038102604E-4</v>
      </c>
      <c r="C445" s="28">
        <f>LN(Index!C446/Index!C445)</f>
        <v>5.3289147421052485E-3</v>
      </c>
      <c r="D445" s="28">
        <f>LN(Index!D446/Index!D445)</f>
        <v>1.6578018276060594E-2</v>
      </c>
      <c r="E445" s="28">
        <f>LN(Index!E446/Index!E445)</f>
        <v>-2.3299171462233426E-2</v>
      </c>
      <c r="F445" s="28">
        <f>LN(Index!F446/Index!F445)</f>
        <v>-6.0187339015494272E-3</v>
      </c>
      <c r="G445" s="28">
        <f>LN(Index!G446/Index!G445)</f>
        <v>1.7756838683557017E-2</v>
      </c>
      <c r="H445" s="28">
        <f>LN(Index!H446/Index!H445)</f>
        <v>-8.0131532465489083E-3</v>
      </c>
      <c r="I445" s="28">
        <f>LN(Index!I446/Index!I445)</f>
        <v>1.7152052486957706E-3</v>
      </c>
      <c r="J445" s="28">
        <f>LN(Index!J446/Index!J445)</f>
        <v>3.1834505760191156E-3</v>
      </c>
      <c r="K445" s="28">
        <f>LN(Index!K446/Index!K445)</f>
        <v>0</v>
      </c>
      <c r="L445" s="28">
        <f>LN(Index!L446/Index!L445)</f>
        <v>-9.5015844523023297E-3</v>
      </c>
      <c r="M445" s="28">
        <f>LN(Index!M446/Index!M445)</f>
        <v>-4.3409553417184922E-2</v>
      </c>
      <c r="N445" s="28">
        <f>LN(Index!N446/Index!N445)</f>
        <v>-6.4941199974271847E-3</v>
      </c>
    </row>
    <row r="446" spans="1:14">
      <c r="A446" s="15">
        <v>40739</v>
      </c>
      <c r="B446" s="28">
        <f>LN(Index!B447/Index!B446)</f>
        <v>-2.2558649643940481E-2</v>
      </c>
      <c r="C446" s="28">
        <f>LN(Index!C447/Index!C446)</f>
        <v>4.2484702426342129E-3</v>
      </c>
      <c r="D446" s="28">
        <f>LN(Index!D447/Index!D446)</f>
        <v>-2.5720725864770595E-2</v>
      </c>
      <c r="E446" s="28">
        <f>LN(Index!E447/Index!E446)</f>
        <v>-2.5526583032758454E-2</v>
      </c>
      <c r="F446" s="28">
        <f>LN(Index!F447/Index!F446)</f>
        <v>-7.6332476565212559E-3</v>
      </c>
      <c r="G446" s="28">
        <f>LN(Index!G447/Index!G446)</f>
        <v>-2.4483058015285195E-2</v>
      </c>
      <c r="H446" s="28">
        <f>LN(Index!H447/Index!H446)</f>
        <v>-1.5852482105683702E-2</v>
      </c>
      <c r="I446" s="28">
        <f>LN(Index!I447/Index!I446)</f>
        <v>-5.000803491127288E-3</v>
      </c>
      <c r="J446" s="28">
        <f>LN(Index!J447/Index!J446)</f>
        <v>-1.8797021150247343E-2</v>
      </c>
      <c r="K446" s="28">
        <f>LN(Index!K447/Index!K446)</f>
        <v>-5.1765404193113533E-2</v>
      </c>
      <c r="L446" s="28">
        <f>LN(Index!L447/Index!L446)</f>
        <v>-1.3653265096270538E-2</v>
      </c>
      <c r="M446" s="28">
        <f>LN(Index!M447/Index!M446)</f>
        <v>-3.6293036377934809E-2</v>
      </c>
      <c r="N446" s="28">
        <f>LN(Index!N447/Index!N446)</f>
        <v>-9.1519955112104173E-3</v>
      </c>
    </row>
    <row r="447" spans="1:14">
      <c r="A447" s="15">
        <v>40746</v>
      </c>
      <c r="B447" s="28">
        <f>LN(Index!B448/Index!B447)</f>
        <v>2.6689689540373738E-2</v>
      </c>
      <c r="C447" s="28">
        <f>LN(Index!C448/Index!C447)</f>
        <v>3.0681842251073458E-3</v>
      </c>
      <c r="D447" s="28">
        <f>LN(Index!D448/Index!D447)</f>
        <v>2.364818626279824E-2</v>
      </c>
      <c r="E447" s="28">
        <f>LN(Index!E448/Index!E447)</f>
        <v>3.8112354430622823E-2</v>
      </c>
      <c r="F447" s="28">
        <f>LN(Index!F448/Index!F447)</f>
        <v>1.0166079448594557E-2</v>
      </c>
      <c r="G447" s="28">
        <f>LN(Index!G448/Index!G447)</f>
        <v>2.0901027699353068E-2</v>
      </c>
      <c r="H447" s="28">
        <f>LN(Index!H448/Index!H447)</f>
        <v>2.1668685058536748E-2</v>
      </c>
      <c r="I447" s="28">
        <f>LN(Index!I448/Index!I447)</f>
        <v>1.7712240263804396E-2</v>
      </c>
      <c r="J447" s="28">
        <f>LN(Index!J448/Index!J447)</f>
        <v>1.665464301823932E-2</v>
      </c>
      <c r="K447" s="28">
        <f>LN(Index!K448/Index!K447)</f>
        <v>1.2215307825289691E-2</v>
      </c>
      <c r="L447" s="28">
        <f>LN(Index!L448/Index!L447)</f>
        <v>1.0308887615543003E-2</v>
      </c>
      <c r="M447" s="28">
        <f>LN(Index!M448/Index!M447)</f>
        <v>4.9528770097103769E-2</v>
      </c>
      <c r="N447" s="28">
        <f>LN(Index!N448/Index!N447)</f>
        <v>1.6725693081054017E-2</v>
      </c>
    </row>
    <row r="448" spans="1:14">
      <c r="A448" s="15">
        <v>40753</v>
      </c>
      <c r="B448" s="28">
        <f>LN(Index!B449/Index!B448)</f>
        <v>-3.2126436005247914E-2</v>
      </c>
      <c r="C448" s="28">
        <f>LN(Index!C449/Index!C448)</f>
        <v>7.7702664097060352E-3</v>
      </c>
      <c r="D448" s="28">
        <f>LN(Index!D449/Index!D448)</f>
        <v>-2.1152085122804486E-2</v>
      </c>
      <c r="E448" s="28">
        <f>LN(Index!E449/Index!E448)</f>
        <v>-1.7511513210601088E-2</v>
      </c>
      <c r="F448" s="28">
        <f>LN(Index!F449/Index!F448)</f>
        <v>-2.2338688215421017E-2</v>
      </c>
      <c r="G448" s="28">
        <f>LN(Index!G449/Index!G448)</f>
        <v>-4.4594183140071022E-3</v>
      </c>
      <c r="H448" s="28">
        <f>LN(Index!H449/Index!H448)</f>
        <v>-2.2093683946515664E-2</v>
      </c>
      <c r="I448" s="28">
        <f>LN(Index!I449/Index!I448)</f>
        <v>-5.3679828293072013E-3</v>
      </c>
      <c r="J448" s="28">
        <f>LN(Index!J449/Index!J448)</f>
        <v>-1.2923940672536915E-2</v>
      </c>
      <c r="K448" s="28">
        <f>LN(Index!K449/Index!K448)</f>
        <v>-2.8825430154972579E-2</v>
      </c>
      <c r="L448" s="28">
        <f>LN(Index!L449/Index!L448)</f>
        <v>-8.5885558262206192E-3</v>
      </c>
      <c r="M448" s="28">
        <f>LN(Index!M449/Index!M448)</f>
        <v>-3.5773647219940405E-2</v>
      </c>
      <c r="N448" s="28">
        <f>LN(Index!N449/Index!N448)</f>
        <v>-1.8790066154805076E-2</v>
      </c>
    </row>
    <row r="449" spans="1:14">
      <c r="A449" s="15">
        <v>40760</v>
      </c>
      <c r="B449" s="28">
        <f>LN(Index!B450/Index!B449)</f>
        <v>-8.9656424820062905E-2</v>
      </c>
      <c r="C449" s="28">
        <f>LN(Index!C450/Index!C449)</f>
        <v>3.4279325503130697E-3</v>
      </c>
      <c r="D449" s="28">
        <f>LN(Index!D450/Index!D449)</f>
        <v>-9.7325296979296441E-2</v>
      </c>
      <c r="E449" s="28">
        <f>LN(Index!E450/Index!E449)</f>
        <v>-6.8800421631629721E-2</v>
      </c>
      <c r="F449" s="28">
        <f>LN(Index!F450/Index!F449)</f>
        <v>-5.6057256119919782E-2</v>
      </c>
      <c r="G449" s="28">
        <f>LN(Index!G450/Index!G449)</f>
        <v>-7.1503703484609799E-2</v>
      </c>
      <c r="H449" s="28">
        <f>LN(Index!H450/Index!H449)</f>
        <v>-3.0219474835623247E-2</v>
      </c>
      <c r="I449" s="28">
        <f>LN(Index!I450/Index!I449)</f>
        <v>-8.5872974382082565E-2</v>
      </c>
      <c r="J449" s="28">
        <f>LN(Index!J450/Index!J449)</f>
        <v>-2.2482898609096892E-2</v>
      </c>
      <c r="K449" s="28">
        <f>LN(Index!K450/Index!K449)</f>
        <v>-6.8979759226331955E-2</v>
      </c>
      <c r="L449" s="28">
        <f>LN(Index!L450/Index!L449)</f>
        <v>-5.8208869233919339E-2</v>
      </c>
      <c r="M449" s="28">
        <f>LN(Index!M450/Index!M449)</f>
        <v>-0.13346499644809645</v>
      </c>
      <c r="N449" s="28">
        <f>LN(Index!N450/Index!N449)</f>
        <v>-7.422928445665132E-2</v>
      </c>
    </row>
    <row r="450" spans="1:14">
      <c r="A450" s="15">
        <v>40767</v>
      </c>
      <c r="B450" s="28">
        <f>LN(Index!B451/Index!B450)</f>
        <v>-1.114177775052733E-2</v>
      </c>
      <c r="C450" s="28">
        <f>LN(Index!C451/Index!C450)</f>
        <v>1.0297142790029142E-2</v>
      </c>
      <c r="D450" s="28">
        <f>LN(Index!D451/Index!D450)</f>
        <v>-1.2511828101265913E-2</v>
      </c>
      <c r="E450" s="28">
        <f>LN(Index!E451/Index!E450)</f>
        <v>2.8686715420553929E-3</v>
      </c>
      <c r="F450" s="28">
        <f>LN(Index!F451/Index!F450)</f>
        <v>1.9499617654997095E-2</v>
      </c>
      <c r="G450" s="28">
        <f>LN(Index!G451/Index!G450)</f>
        <v>-2.4210976278473691E-2</v>
      </c>
      <c r="H450" s="28">
        <f>LN(Index!H451/Index!H450)</f>
        <v>4.3602630011995254E-3</v>
      </c>
      <c r="I450" s="28">
        <f>LN(Index!I451/Index!I450)</f>
        <v>-1.106419443566853E-2</v>
      </c>
      <c r="J450" s="28">
        <f>LN(Index!J451/Index!J450)</f>
        <v>5.9093310539756368E-3</v>
      </c>
      <c r="K450" s="28">
        <f>LN(Index!K451/Index!K450)</f>
        <v>-4.8457498077083341E-2</v>
      </c>
      <c r="L450" s="28">
        <f>LN(Index!L451/Index!L450)</f>
        <v>3.2862828571874119E-3</v>
      </c>
      <c r="M450" s="28">
        <f>LN(Index!M451/Index!M450)</f>
        <v>1.2531707128523829E-3</v>
      </c>
      <c r="N450" s="28">
        <f>LN(Index!N451/Index!N450)</f>
        <v>1.9308122737025188E-2</v>
      </c>
    </row>
    <row r="451" spans="1:14">
      <c r="A451" s="15">
        <v>40774</v>
      </c>
      <c r="B451" s="28">
        <f>LN(Index!B452/Index!B451)</f>
        <v>-4.2497021703315575E-2</v>
      </c>
      <c r="C451" s="28">
        <f>LN(Index!C452/Index!C451)</f>
        <v>6.8890421716012945E-3</v>
      </c>
      <c r="D451" s="28">
        <f>LN(Index!D452/Index!D451)</f>
        <v>-2.1941808538436757E-2</v>
      </c>
      <c r="E451" s="28">
        <f>LN(Index!E452/Index!E451)</f>
        <v>-3.0206721129031399E-2</v>
      </c>
      <c r="F451" s="28">
        <f>LN(Index!F452/Index!F451)</f>
        <v>-1.4879634190403817E-2</v>
      </c>
      <c r="G451" s="28">
        <f>LN(Index!G452/Index!G451)</f>
        <v>9.5130545937317443E-4</v>
      </c>
      <c r="H451" s="28">
        <f>LN(Index!H452/Index!H451)</f>
        <v>-6.7035496368450763E-3</v>
      </c>
      <c r="I451" s="28">
        <f>LN(Index!I452/Index!I451)</f>
        <v>-3.2157975794988691E-2</v>
      </c>
      <c r="J451" s="28">
        <f>LN(Index!J452/Index!J451)</f>
        <v>-2.5533463378607603E-2</v>
      </c>
      <c r="K451" s="28">
        <f>LN(Index!K452/Index!K451)</f>
        <v>-4.7301406078909647E-2</v>
      </c>
      <c r="L451" s="28">
        <f>LN(Index!L452/Index!L451)</f>
        <v>-2.2297150253586313E-2</v>
      </c>
      <c r="M451" s="28">
        <f>LN(Index!M452/Index!M451)</f>
        <v>-2.3248626627398027E-2</v>
      </c>
      <c r="N451" s="28">
        <f>LN(Index!N452/Index!N451)</f>
        <v>-1.911798073494855E-2</v>
      </c>
    </row>
    <row r="452" spans="1:14">
      <c r="A452" s="15">
        <v>40781</v>
      </c>
      <c r="B452" s="28">
        <f>LN(Index!B453/Index!B452)</f>
        <v>2.730797960652806E-2</v>
      </c>
      <c r="C452" s="28">
        <f>LN(Index!C453/Index!C452)</f>
        <v>-7.7222598284719546E-3</v>
      </c>
      <c r="D452" s="28">
        <f>LN(Index!D453/Index!D452)</f>
        <v>2.2498136786443461E-2</v>
      </c>
      <c r="E452" s="28">
        <f>LN(Index!E453/Index!E452)</f>
        <v>8.9808042471406745E-3</v>
      </c>
      <c r="F452" s="28">
        <f>LN(Index!F453/Index!F452)</f>
        <v>3.759669709237274E-2</v>
      </c>
      <c r="G452" s="28">
        <f>LN(Index!G453/Index!G452)</f>
        <v>2.9349599895899449E-2</v>
      </c>
      <c r="H452" s="28">
        <f>LN(Index!H453/Index!H452)</f>
        <v>1.8225578132517999E-2</v>
      </c>
      <c r="I452" s="28">
        <f>LN(Index!I453/Index!I452)</f>
        <v>2.9564728462279696E-2</v>
      </c>
      <c r="J452" s="28">
        <f>LN(Index!J453/Index!J452)</f>
        <v>1.5524866951169747E-2</v>
      </c>
      <c r="K452" s="28">
        <f>LN(Index!K453/Index!K452)</f>
        <v>1.5469141962356223E-2</v>
      </c>
      <c r="L452" s="28">
        <f>LN(Index!L453/Index!L452)</f>
        <v>4.7227746253916993E-2</v>
      </c>
      <c r="M452" s="28">
        <f>LN(Index!M453/Index!M452)</f>
        <v>1.114400622767079E-2</v>
      </c>
      <c r="N452" s="28">
        <f>LN(Index!N453/Index!N452)</f>
        <v>3.2868155272917234E-2</v>
      </c>
    </row>
    <row r="453" spans="1:14">
      <c r="A453" s="15">
        <v>40788</v>
      </c>
      <c r="B453" s="28">
        <f>LN(Index!B454/Index!B453)</f>
        <v>1.0469329420592503E-2</v>
      </c>
      <c r="C453" s="28">
        <f>LN(Index!C454/Index!C453)</f>
        <v>6.0665846247878628E-3</v>
      </c>
      <c r="D453" s="28">
        <f>LN(Index!D454/Index!D453)</f>
        <v>1.9892592496065193E-2</v>
      </c>
      <c r="E453" s="28">
        <f>LN(Index!E454/Index!E453)</f>
        <v>2.4924808936644408E-2</v>
      </c>
      <c r="F453" s="28">
        <f>LN(Index!F454/Index!F453)</f>
        <v>1.5506128901530343E-2</v>
      </c>
      <c r="G453" s="28">
        <f>LN(Index!G454/Index!G453)</f>
        <v>1.5559816222567462E-2</v>
      </c>
      <c r="H453" s="28">
        <f>LN(Index!H454/Index!H453)</f>
        <v>1.6387812795755324E-2</v>
      </c>
      <c r="I453" s="28">
        <f>LN(Index!I454/Index!I453)</f>
        <v>3.9454914707728814E-2</v>
      </c>
      <c r="J453" s="28">
        <f>LN(Index!J454/Index!J453)</f>
        <v>1.065888124234405E-2</v>
      </c>
      <c r="K453" s="28">
        <f>LN(Index!K454/Index!K453)</f>
        <v>1.2250413564180395E-2</v>
      </c>
      <c r="L453" s="28">
        <f>LN(Index!L454/Index!L453)</f>
        <v>2.818586269396384E-2</v>
      </c>
      <c r="M453" s="28">
        <f>LN(Index!M454/Index!M453)</f>
        <v>2.706992972710939E-2</v>
      </c>
      <c r="N453" s="28">
        <f>LN(Index!N454/Index!N453)</f>
        <v>1.70514148199684E-2</v>
      </c>
    </row>
    <row r="454" spans="1:14">
      <c r="A454" s="15">
        <v>40795</v>
      </c>
      <c r="B454" s="28">
        <f>LN(Index!B455/Index!B454)</f>
        <v>-3.5138726858518793E-2</v>
      </c>
      <c r="C454" s="28">
        <f>LN(Index!C455/Index!C454)</f>
        <v>-2.5994152129171486E-3</v>
      </c>
      <c r="D454" s="28">
        <f>LN(Index!D455/Index!D454)</f>
        <v>-2.2816774764946771E-2</v>
      </c>
      <c r="E454" s="28">
        <f>LN(Index!E455/Index!E454)</f>
        <v>-4.0832564889848301E-2</v>
      </c>
      <c r="F454" s="28">
        <f>LN(Index!F455/Index!F454)</f>
        <v>-1.9538079777343929E-2</v>
      </c>
      <c r="G454" s="28">
        <f>LN(Index!G455/Index!G454)</f>
        <v>1.1733893420660743E-2</v>
      </c>
      <c r="H454" s="28">
        <f>LN(Index!H455/Index!H454)</f>
        <v>-2.2814420143691113E-2</v>
      </c>
      <c r="I454" s="28">
        <f>LN(Index!I455/Index!I454)</f>
        <v>-3.2418965971419661E-2</v>
      </c>
      <c r="J454" s="28">
        <f>LN(Index!J455/Index!J454)</f>
        <v>-1.6708672827637459E-2</v>
      </c>
      <c r="K454" s="28">
        <f>LN(Index!K455/Index!K454)</f>
        <v>-2.8704363272161023E-2</v>
      </c>
      <c r="L454" s="28">
        <f>LN(Index!L455/Index!L454)</f>
        <v>-2.4519760041333938E-2</v>
      </c>
      <c r="M454" s="28">
        <f>LN(Index!M455/Index!M454)</f>
        <v>-3.6977637866294592E-2</v>
      </c>
      <c r="N454" s="28">
        <f>LN(Index!N455/Index!N454)</f>
        <v>-1.922804951510159E-2</v>
      </c>
    </row>
    <row r="455" spans="1:14">
      <c r="A455" s="15">
        <v>40802</v>
      </c>
      <c r="B455" s="28">
        <f>LN(Index!B456/Index!B455)</f>
        <v>3.5793686499844067E-2</v>
      </c>
      <c r="C455" s="28">
        <f>LN(Index!C456/Index!C455)</f>
        <v>-3.0227002673792174E-3</v>
      </c>
      <c r="D455" s="28">
        <f>LN(Index!D456/Index!D455)</f>
        <v>7.2944850868612299E-3</v>
      </c>
      <c r="E455" s="28">
        <f>LN(Index!E456/Index!E455)</f>
        <v>1.1952146635113362E-2</v>
      </c>
      <c r="F455" s="28">
        <f>LN(Index!F456/Index!F455)</f>
        <v>2.8206202142038214E-2</v>
      </c>
      <c r="G455" s="28">
        <f>LN(Index!G456/Index!G455)</f>
        <v>-1.5805166582444709E-2</v>
      </c>
      <c r="H455" s="28">
        <f>LN(Index!H456/Index!H455)</f>
        <v>2.1009864689091398E-2</v>
      </c>
      <c r="I455" s="28">
        <f>LN(Index!I456/Index!I455)</f>
        <v>-7.5897341859050135E-3</v>
      </c>
      <c r="J455" s="28">
        <f>LN(Index!J456/Index!J455)</f>
        <v>1.9394216185507282E-2</v>
      </c>
      <c r="K455" s="28">
        <f>LN(Index!K456/Index!K455)</f>
        <v>-1.8482793582394158E-2</v>
      </c>
      <c r="L455" s="28">
        <f>LN(Index!L456/Index!L455)</f>
        <v>3.1275798932752633E-2</v>
      </c>
      <c r="M455" s="28">
        <f>LN(Index!M456/Index!M455)</f>
        <v>5.9641769838183166E-3</v>
      </c>
      <c r="N455" s="28">
        <f>LN(Index!N456/Index!N455)</f>
        <v>1.9125279450697526E-2</v>
      </c>
    </row>
    <row r="456" spans="1:14">
      <c r="A456" s="15">
        <v>40809</v>
      </c>
      <c r="B456" s="28">
        <f>LN(Index!B457/Index!B456)</f>
        <v>-7.1463058116368536E-2</v>
      </c>
      <c r="C456" s="28">
        <f>LN(Index!C457/Index!C456)</f>
        <v>4.1849762450220452E-3</v>
      </c>
      <c r="D456" s="28">
        <f>LN(Index!D457/Index!D456)</f>
        <v>-7.8371324243799972E-2</v>
      </c>
      <c r="E456" s="28">
        <f>LN(Index!E457/Index!E456)</f>
        <v>-4.4727970034282506E-2</v>
      </c>
      <c r="F456" s="28">
        <f>LN(Index!F457/Index!F456)</f>
        <v>-4.099676314898569E-2</v>
      </c>
      <c r="G456" s="28">
        <f>LN(Index!G457/Index!G456)</f>
        <v>-6.8101226981022264E-2</v>
      </c>
      <c r="H456" s="28">
        <f>LN(Index!H457/Index!H456)</f>
        <v>-2.5617521537816323E-2</v>
      </c>
      <c r="I456" s="28">
        <f>LN(Index!I457/Index!I456)</f>
        <v>-8.3018375177855278E-2</v>
      </c>
      <c r="J456" s="28">
        <f>LN(Index!J457/Index!J456)</f>
        <v>-3.8774351316540286E-2</v>
      </c>
      <c r="K456" s="28">
        <f>LN(Index!K457/Index!K456)</f>
        <v>-6.2976953645293793E-2</v>
      </c>
      <c r="L456" s="28">
        <f>LN(Index!L457/Index!L456)</f>
        <v>-5.1196610276132301E-2</v>
      </c>
      <c r="M456" s="28">
        <f>LN(Index!M457/Index!M456)</f>
        <v>-7.870981843921529E-2</v>
      </c>
      <c r="N456" s="28">
        <f>LN(Index!N457/Index!N456)</f>
        <v>-4.6813898420851395E-2</v>
      </c>
    </row>
    <row r="457" spans="1:14">
      <c r="A457" s="15">
        <v>40816</v>
      </c>
      <c r="B457" s="28">
        <f>LN(Index!B458/Index!B457)</f>
        <v>8.3129929654323885E-3</v>
      </c>
      <c r="C457" s="28">
        <f>LN(Index!C458/Index!C457)</f>
        <v>-5.6024109259954656E-3</v>
      </c>
      <c r="D457" s="28">
        <f>LN(Index!D458/Index!D457)</f>
        <v>-6.534252848332014E-3</v>
      </c>
      <c r="E457" s="28">
        <f>LN(Index!E458/Index!E457)</f>
        <v>4.4518118678222425E-2</v>
      </c>
      <c r="F457" s="28">
        <f>LN(Index!F458/Index!F457)</f>
        <v>1.280282841183974E-2</v>
      </c>
      <c r="G457" s="28">
        <f>LN(Index!G458/Index!G457)</f>
        <v>1.0750514823091344E-2</v>
      </c>
      <c r="H457" s="28">
        <f>LN(Index!H458/Index!H457)</f>
        <v>2.106655641281624E-2</v>
      </c>
      <c r="I457" s="28">
        <f>LN(Index!I458/Index!I457)</f>
        <v>1.9160472987816455E-2</v>
      </c>
      <c r="J457" s="28">
        <f>LN(Index!J458/Index!J457)</f>
        <v>2.9717477003075025E-2</v>
      </c>
      <c r="K457" s="28">
        <f>LN(Index!K458/Index!K457)</f>
        <v>5.1651959898321012E-2</v>
      </c>
      <c r="L457" s="28">
        <f>LN(Index!L458/Index!L457)</f>
        <v>1.6351397854348724E-2</v>
      </c>
      <c r="M457" s="28">
        <f>LN(Index!M458/Index!M457)</f>
        <v>6.4944282960951255E-2</v>
      </c>
      <c r="N457" s="28">
        <f>LN(Index!N458/Index!N457)</f>
        <v>1.4638757275610915E-2</v>
      </c>
    </row>
    <row r="458" spans="1:14">
      <c r="A458" s="15">
        <v>40823</v>
      </c>
      <c r="B458" s="28">
        <f>LN(Index!B459/Index!B458)</f>
        <v>1.9810441561049452E-2</v>
      </c>
      <c r="C458" s="28">
        <f>LN(Index!C459/Index!C458)</f>
        <v>-3.8734356157928908E-3</v>
      </c>
      <c r="D458" s="28">
        <f>LN(Index!D459/Index!D458)</f>
        <v>3.3851162576662231E-3</v>
      </c>
      <c r="E458" s="28">
        <f>LN(Index!E459/Index!E458)</f>
        <v>1.249074811020639E-2</v>
      </c>
      <c r="F458" s="28">
        <f>LN(Index!F459/Index!F458)</f>
        <v>-2.5958620018316585E-3</v>
      </c>
      <c r="G458" s="28">
        <f>LN(Index!G459/Index!G458)</f>
        <v>4.1574990812525585E-4</v>
      </c>
      <c r="H458" s="28">
        <f>LN(Index!H459/Index!H458)</f>
        <v>-4.1937515551676652E-3</v>
      </c>
      <c r="I458" s="28">
        <f>LN(Index!I459/Index!I458)</f>
        <v>2.2608496756462888E-2</v>
      </c>
      <c r="J458" s="28">
        <f>LN(Index!J459/Index!J458)</f>
        <v>7.736021214502971E-3</v>
      </c>
      <c r="K458" s="28">
        <f>LN(Index!K459/Index!K458)</f>
        <v>4.7876789073192086E-3</v>
      </c>
      <c r="L458" s="28">
        <f>LN(Index!L459/Index!L458)</f>
        <v>4.3054553826349208E-3</v>
      </c>
      <c r="M458" s="28">
        <f>LN(Index!M459/Index!M458)</f>
        <v>8.5390524519842227E-3</v>
      </c>
      <c r="N458" s="28">
        <f>LN(Index!N459/Index!N458)</f>
        <v>2.3703878136661794E-3</v>
      </c>
    </row>
    <row r="459" spans="1:14">
      <c r="A459" s="15">
        <v>40830</v>
      </c>
      <c r="B459" s="28">
        <f>LN(Index!B460/Index!B459)</f>
        <v>5.2118776076335069E-2</v>
      </c>
      <c r="C459" s="28">
        <f>LN(Index!C460/Index!C459)</f>
        <v>-4.7476088303613181E-4</v>
      </c>
      <c r="D459" s="28">
        <f>LN(Index!D460/Index!D459)</f>
        <v>5.2659138008190227E-2</v>
      </c>
      <c r="E459" s="28">
        <f>LN(Index!E460/Index!E459)</f>
        <v>2.6682428490371727E-2</v>
      </c>
      <c r="F459" s="28">
        <f>LN(Index!F460/Index!F459)</f>
        <v>3.497510667964935E-2</v>
      </c>
      <c r="G459" s="28">
        <f>LN(Index!G460/Index!G459)</f>
        <v>2.9593497041819211E-2</v>
      </c>
      <c r="H459" s="28">
        <f>LN(Index!H460/Index!H459)</f>
        <v>1.6759262544079934E-2</v>
      </c>
      <c r="I459" s="28">
        <f>LN(Index!I460/Index!I459)</f>
        <v>4.5853646114171698E-2</v>
      </c>
      <c r="J459" s="28">
        <f>LN(Index!J460/Index!J459)</f>
        <v>4.4968190354248132E-3</v>
      </c>
      <c r="K459" s="28">
        <f>LN(Index!K460/Index!K459)</f>
        <v>3.8826786295683237E-2</v>
      </c>
      <c r="L459" s="28">
        <f>LN(Index!L460/Index!L459)</f>
        <v>4.0001903915785855E-2</v>
      </c>
      <c r="M459" s="28">
        <f>LN(Index!M460/Index!M459)</f>
        <v>5.9058510532669611E-2</v>
      </c>
      <c r="N459" s="28">
        <f>LN(Index!N460/Index!N459)</f>
        <v>3.5886963637827528E-2</v>
      </c>
    </row>
    <row r="460" spans="1:14">
      <c r="A460" s="15">
        <v>40837</v>
      </c>
      <c r="B460" s="28">
        <f>LN(Index!B461/Index!B460)</f>
        <v>6.6618468519285207E-3</v>
      </c>
      <c r="C460" s="28">
        <f>LN(Index!C461/Index!C460)</f>
        <v>5.5434213016590335E-3</v>
      </c>
      <c r="D460" s="28">
        <f>LN(Index!D461/Index!D460)</f>
        <v>7.8064408928294922E-3</v>
      </c>
      <c r="E460" s="28">
        <f>LN(Index!E461/Index!E460)</f>
        <v>1.1087240733843883E-2</v>
      </c>
      <c r="F460" s="28">
        <f>LN(Index!F461/Index!F460)</f>
        <v>3.0538420499293752E-2</v>
      </c>
      <c r="G460" s="28">
        <f>LN(Index!G461/Index!G460)</f>
        <v>6.722284244100667E-3</v>
      </c>
      <c r="H460" s="28">
        <f>LN(Index!H461/Index!H460)</f>
        <v>1.6793989701909449E-2</v>
      </c>
      <c r="I460" s="28">
        <f>LN(Index!I461/Index!I460)</f>
        <v>-6.3065149547259277E-3</v>
      </c>
      <c r="J460" s="28">
        <f>LN(Index!J461/Index!J460)</f>
        <v>1.958116111347518E-2</v>
      </c>
      <c r="K460" s="28">
        <f>LN(Index!K461/Index!K460)</f>
        <v>-1.5515634303300952E-2</v>
      </c>
      <c r="L460" s="28">
        <f>LN(Index!L461/Index!L460)</f>
        <v>1.1675399931656711E-2</v>
      </c>
      <c r="M460" s="28">
        <f>LN(Index!M461/Index!M460)</f>
        <v>-1.5388996744411282E-3</v>
      </c>
      <c r="N460" s="28">
        <f>LN(Index!N461/Index!N460)</f>
        <v>3.4746197374992044E-2</v>
      </c>
    </row>
    <row r="461" spans="1:14">
      <c r="A461" s="15">
        <v>40844</v>
      </c>
      <c r="B461" s="28">
        <f>LN(Index!B462/Index!B461)</f>
        <v>4.8912560433269567E-2</v>
      </c>
      <c r="C461" s="28">
        <f>LN(Index!C462/Index!C461)</f>
        <v>4.3518702696277948E-3</v>
      </c>
      <c r="D461" s="28">
        <f>LN(Index!D462/Index!D461)</f>
        <v>6.6784865154805265E-2</v>
      </c>
      <c r="E461" s="28">
        <f>LN(Index!E462/Index!E461)</f>
        <v>1.1404251310687683E-2</v>
      </c>
      <c r="F461" s="28">
        <f>LN(Index!F462/Index!F461)</f>
        <v>8.7584210674317934E-3</v>
      </c>
      <c r="G461" s="28">
        <f>LN(Index!G462/Index!G461)</f>
        <v>5.2408514815077037E-2</v>
      </c>
      <c r="H461" s="28">
        <f>LN(Index!H462/Index!H461)</f>
        <v>4.9627115965303846E-4</v>
      </c>
      <c r="I461" s="28">
        <f>LN(Index!I462/Index!I461)</f>
        <v>3.8584018710892162E-2</v>
      </c>
      <c r="J461" s="28">
        <f>LN(Index!J462/Index!J461)</f>
        <v>9.3438054304075865E-3</v>
      </c>
      <c r="K461" s="28">
        <f>LN(Index!K462/Index!K461)</f>
        <v>8.4793385786481421E-2</v>
      </c>
      <c r="L461" s="28">
        <f>LN(Index!L462/Index!L461)</f>
        <v>9.8844943695340225E-4</v>
      </c>
      <c r="M461" s="28">
        <f>LN(Index!M462/Index!M461)</f>
        <v>4.8629411848224183E-2</v>
      </c>
      <c r="N461" s="28">
        <f>LN(Index!N462/Index!N461)</f>
        <v>1.6610429334638827E-2</v>
      </c>
    </row>
    <row r="462" spans="1:14">
      <c r="A462" s="15">
        <v>40851</v>
      </c>
      <c r="B462" s="28">
        <f>LN(Index!B463/Index!B462)</f>
        <v>-4.16212959634156E-2</v>
      </c>
      <c r="C462" s="28">
        <f>LN(Index!C463/Index!C462)</f>
        <v>4.9773256198440343E-4</v>
      </c>
      <c r="D462" s="28">
        <f>LN(Index!D463/Index!D462)</f>
        <v>-3.3826309446971028E-2</v>
      </c>
      <c r="E462" s="28">
        <f>LN(Index!E463/Index!E462)</f>
        <v>-3.6500663034169087E-2</v>
      </c>
      <c r="F462" s="28">
        <f>LN(Index!F463/Index!F462)</f>
        <v>-7.967743346379506E-3</v>
      </c>
      <c r="G462" s="28">
        <f>LN(Index!G463/Index!G462)</f>
        <v>-2.2571322008775454E-2</v>
      </c>
      <c r="H462" s="28">
        <f>LN(Index!H463/Index!H462)</f>
        <v>-1.150459049000959E-2</v>
      </c>
      <c r="I462" s="28">
        <f>LN(Index!I463/Index!I462)</f>
        <v>-3.9424510936952664E-2</v>
      </c>
      <c r="J462" s="28">
        <f>LN(Index!J463/Index!J462)</f>
        <v>3.7105124795638617E-3</v>
      </c>
      <c r="K462" s="28">
        <f>LN(Index!K463/Index!K462)</f>
        <v>-4.485148078776649E-2</v>
      </c>
      <c r="L462" s="28">
        <f>LN(Index!L463/Index!L462)</f>
        <v>6.3021805877073499E-3</v>
      </c>
      <c r="M462" s="28">
        <f>LN(Index!M463/Index!M462)</f>
        <v>-7.6362771519680683E-2</v>
      </c>
      <c r="N462" s="28">
        <f>LN(Index!N463/Index!N462)</f>
        <v>-1.7289466076087695E-2</v>
      </c>
    </row>
    <row r="463" spans="1:14">
      <c r="A463" s="15">
        <v>40858</v>
      </c>
      <c r="B463" s="28">
        <f>LN(Index!B464/Index!B463)</f>
        <v>1.9846136726185586E-3</v>
      </c>
      <c r="C463" s="28">
        <f>LN(Index!C464/Index!C463)</f>
        <v>-1.3832026107080027E-3</v>
      </c>
      <c r="D463" s="28">
        <f>LN(Index!D464/Index!D463)</f>
        <v>-1.1972894692977271E-2</v>
      </c>
      <c r="E463" s="28">
        <f>LN(Index!E464/Index!E463)</f>
        <v>3.405162787943472E-3</v>
      </c>
      <c r="F463" s="28">
        <f>LN(Index!F464/Index!F463)</f>
        <v>1.334289516356563E-3</v>
      </c>
      <c r="G463" s="28">
        <f>LN(Index!G464/Index!G463)</f>
        <v>1.9988599024270528E-3</v>
      </c>
      <c r="H463" s="28">
        <f>LN(Index!H464/Index!H463)</f>
        <v>1.0555461544512201E-2</v>
      </c>
      <c r="I463" s="28">
        <f>LN(Index!I464/Index!I463)</f>
        <v>-4.2052354957579658E-3</v>
      </c>
      <c r="J463" s="28">
        <f>LN(Index!J464/Index!J463)</f>
        <v>2.2858595719996995E-2</v>
      </c>
      <c r="K463" s="28">
        <f>LN(Index!K464/Index!K463)</f>
        <v>-1.919438952248155E-2</v>
      </c>
      <c r="L463" s="28">
        <f>LN(Index!L464/Index!L463)</f>
        <v>-4.3578683900282363E-3</v>
      </c>
      <c r="M463" s="28">
        <f>LN(Index!M464/Index!M463)</f>
        <v>-7.9867367416263397E-3</v>
      </c>
      <c r="N463" s="28">
        <f>LN(Index!N464/Index!N463)</f>
        <v>-1.3040954390977342E-3</v>
      </c>
    </row>
    <row r="464" spans="1:14">
      <c r="A464" s="15">
        <v>40865</v>
      </c>
      <c r="B464" s="28">
        <f>LN(Index!B465/Index!B464)</f>
        <v>-4.0598729857734391E-2</v>
      </c>
      <c r="C464" s="28">
        <f>LN(Index!C465/Index!C464)</f>
        <v>-2.6888815768251069E-3</v>
      </c>
      <c r="D464" s="28">
        <f>LN(Index!D465/Index!D464)</f>
        <v>-4.3722037569276971E-2</v>
      </c>
      <c r="E464" s="28">
        <f>LN(Index!E465/Index!E464)</f>
        <v>-2.7580920081685185E-2</v>
      </c>
      <c r="F464" s="28">
        <f>LN(Index!F465/Index!F464)</f>
        <v>-1.07012631477997E-2</v>
      </c>
      <c r="G464" s="28">
        <f>LN(Index!G465/Index!G464)</f>
        <v>-1.7960654977874916E-2</v>
      </c>
      <c r="H464" s="28">
        <f>LN(Index!H465/Index!H464)</f>
        <v>-1.5609160829511561E-2</v>
      </c>
      <c r="I464" s="28">
        <f>LN(Index!I465/Index!I464)</f>
        <v>-3.6206197820673407E-2</v>
      </c>
      <c r="J464" s="28">
        <f>LN(Index!J465/Index!J464)</f>
        <v>-3.0166502952608091E-2</v>
      </c>
      <c r="K464" s="28">
        <f>LN(Index!K465/Index!K464)</f>
        <v>-3.0567170700822124E-2</v>
      </c>
      <c r="L464" s="28">
        <f>LN(Index!L465/Index!L464)</f>
        <v>-3.7377479819164644E-2</v>
      </c>
      <c r="M464" s="28">
        <f>LN(Index!M465/Index!M464)</f>
        <v>-2.5566334540589403E-2</v>
      </c>
      <c r="N464" s="28">
        <f>LN(Index!N465/Index!N464)</f>
        <v>-2.2842855509971299E-3</v>
      </c>
    </row>
    <row r="465" spans="1:14">
      <c r="A465" s="15">
        <v>40872</v>
      </c>
      <c r="B465" s="28">
        <f>LN(Index!B466/Index!B465)</f>
        <v>-5.2945220758742598E-2</v>
      </c>
      <c r="C465" s="28">
        <f>LN(Index!C466/Index!C465)</f>
        <v>-7.2990991282950628E-3</v>
      </c>
      <c r="D465" s="28">
        <f>LN(Index!D466/Index!D465)</f>
        <v>-4.7615702254128152E-2</v>
      </c>
      <c r="E465" s="28">
        <f>LN(Index!E466/Index!E465)</f>
        <v>-5.7223919503265462E-2</v>
      </c>
      <c r="F465" s="28">
        <f>LN(Index!F466/Index!F465)</f>
        <v>-3.2828551889935137E-2</v>
      </c>
      <c r="G465" s="28">
        <f>LN(Index!G466/Index!G465)</f>
        <v>-3.5035031070919348E-2</v>
      </c>
      <c r="H465" s="28">
        <f>LN(Index!H466/Index!H465)</f>
        <v>-4.109896223149468E-2</v>
      </c>
      <c r="I465" s="28">
        <f>LN(Index!I466/Index!I465)</f>
        <v>-5.9983711544193845E-2</v>
      </c>
      <c r="J465" s="28">
        <f>LN(Index!J466/Index!J465)</f>
        <v>-4.9292112460253841E-2</v>
      </c>
      <c r="K465" s="28">
        <f>LN(Index!K466/Index!K465)</f>
        <v>-6.2604360186972657E-2</v>
      </c>
      <c r="L465" s="28">
        <f>LN(Index!L466/Index!L465)</f>
        <v>-2.0847675907031023E-2</v>
      </c>
      <c r="M465" s="28">
        <f>LN(Index!M466/Index!M465)</f>
        <v>-7.7611960338441227E-2</v>
      </c>
      <c r="N465" s="28">
        <f>LN(Index!N466/Index!N465)</f>
        <v>-3.6310249544860437E-2</v>
      </c>
    </row>
    <row r="466" spans="1:14">
      <c r="A466" s="15">
        <v>40879</v>
      </c>
      <c r="B466" s="28">
        <f>LN(Index!B467/Index!B466)</f>
        <v>7.8650858494953624E-2</v>
      </c>
      <c r="C466" s="28">
        <f>LN(Index!C467/Index!C466)</f>
        <v>4.8256045442319814E-3</v>
      </c>
      <c r="D466" s="28">
        <f>LN(Index!D467/Index!D466)</f>
        <v>6.5249303739107187E-2</v>
      </c>
      <c r="E466" s="28">
        <f>LN(Index!E467/Index!E466)</f>
        <v>3.7755676975076251E-2</v>
      </c>
      <c r="F466" s="28">
        <f>LN(Index!F467/Index!F466)</f>
        <v>5.3583062909434133E-2</v>
      </c>
      <c r="G466" s="28">
        <f>LN(Index!G467/Index!G466)</f>
        <v>6.3589313637881076E-2</v>
      </c>
      <c r="H466" s="28">
        <f>LN(Index!H467/Index!H466)</f>
        <v>1.8257037102053078E-2</v>
      </c>
      <c r="I466" s="28">
        <f>LN(Index!I467/Index!I466)</f>
        <v>8.1037714603156424E-2</v>
      </c>
      <c r="J466" s="28">
        <f>LN(Index!J467/Index!J466)</f>
        <v>3.3160592933952057E-2</v>
      </c>
      <c r="K466" s="28">
        <f>LN(Index!K467/Index!K466)</f>
        <v>7.2904470458219822E-2</v>
      </c>
      <c r="L466" s="28">
        <f>LN(Index!L467/Index!L466)</f>
        <v>6.6581987114174096E-2</v>
      </c>
      <c r="M466" s="28">
        <f>LN(Index!M467/Index!M466)</f>
        <v>0.10783001139277872</v>
      </c>
      <c r="N466" s="28">
        <f>LN(Index!N467/Index!N466)</f>
        <v>5.3466550734275503E-2</v>
      </c>
    </row>
    <row r="467" spans="1:14">
      <c r="A467" s="15">
        <v>40886</v>
      </c>
      <c r="B467" s="28">
        <f>LN(Index!B468/Index!B467)</f>
        <v>-2.9474553147589792E-4</v>
      </c>
      <c r="C467" s="28">
        <f>LN(Index!C468/Index!C467)</f>
        <v>2.084810828926642E-3</v>
      </c>
      <c r="D467" s="28">
        <f>LN(Index!D468/Index!D467)</f>
        <v>-1.0284335752642869E-2</v>
      </c>
      <c r="E467" s="28">
        <f>LN(Index!E468/Index!E467)</f>
        <v>-6.3577913351390621E-3</v>
      </c>
      <c r="F467" s="28">
        <f>LN(Index!F468/Index!F467)</f>
        <v>-8.7663211924211284E-4</v>
      </c>
      <c r="G467" s="28">
        <f>LN(Index!G468/Index!G467)</f>
        <v>-1.2511647973071331E-2</v>
      </c>
      <c r="H467" s="28">
        <f>LN(Index!H468/Index!H467)</f>
        <v>-3.1354576357434361E-3</v>
      </c>
      <c r="I467" s="28">
        <f>LN(Index!I468/Index!I467)</f>
        <v>-1.1779965319442583E-2</v>
      </c>
      <c r="J467" s="28">
        <f>LN(Index!J468/Index!J467)</f>
        <v>-1.3015891165646446E-2</v>
      </c>
      <c r="K467" s="28">
        <f>LN(Index!K468/Index!K467)</f>
        <v>-1.524819966134072E-3</v>
      </c>
      <c r="L467" s="28">
        <f>LN(Index!L468/Index!L467)</f>
        <v>-3.4171385153861575E-3</v>
      </c>
      <c r="M467" s="28">
        <f>LN(Index!M468/Index!M467)</f>
        <v>-1.0605550903647029E-2</v>
      </c>
      <c r="N467" s="28">
        <f>LN(Index!N468/Index!N467)</f>
        <v>-1.7352280914192054E-3</v>
      </c>
    </row>
    <row r="468" spans="1:14">
      <c r="A468" s="15">
        <v>40893</v>
      </c>
      <c r="B468" s="28">
        <f>LN(Index!B469/Index!B468)</f>
        <v>-3.497702041530814E-2</v>
      </c>
      <c r="C468" s="28">
        <f>LN(Index!C469/Index!C468)</f>
        <v>4.350182114130568E-3</v>
      </c>
      <c r="D468" s="28">
        <f>LN(Index!D469/Index!D468)</f>
        <v>-1.803677885373732E-2</v>
      </c>
      <c r="E468" s="28">
        <f>LN(Index!E469/Index!E468)</f>
        <v>-2.4872280184289958E-2</v>
      </c>
      <c r="F468" s="28">
        <f>LN(Index!F469/Index!F468)</f>
        <v>-1.189044972400567E-3</v>
      </c>
      <c r="G468" s="28">
        <f>LN(Index!G469/Index!G468)</f>
        <v>1.6355957667846528E-3</v>
      </c>
      <c r="H468" s="28">
        <f>LN(Index!H469/Index!H468)</f>
        <v>-2.6090042484406733E-3</v>
      </c>
      <c r="I468" s="28">
        <f>LN(Index!I469/Index!I468)</f>
        <v>-2.5134095350053925E-2</v>
      </c>
      <c r="J468" s="28">
        <f>LN(Index!J469/Index!J468)</f>
        <v>-7.9612621452287129E-3</v>
      </c>
      <c r="K468" s="28">
        <f>LN(Index!K469/Index!K468)</f>
        <v>-2.8309518261538411E-2</v>
      </c>
      <c r="L468" s="28">
        <f>LN(Index!L469/Index!L468)</f>
        <v>-6.296330068783604E-3</v>
      </c>
      <c r="M468" s="28">
        <f>LN(Index!M469/Index!M468)</f>
        <v>-2.8478066098230816E-2</v>
      </c>
      <c r="N468" s="28">
        <f>LN(Index!N469/Index!N468)</f>
        <v>-4.7139359390093449E-3</v>
      </c>
    </row>
    <row r="469" spans="1:14">
      <c r="A469" s="15">
        <v>40900</v>
      </c>
      <c r="B469" s="28">
        <f>LN(Index!B470/Index!B469)</f>
        <v>3.0714565290521325E-2</v>
      </c>
      <c r="C469" s="28">
        <f>LN(Index!C470/Index!C469)</f>
        <v>-5.2113770057434783E-3</v>
      </c>
      <c r="D469" s="28">
        <f>LN(Index!D470/Index!D469)</f>
        <v>2.8676316542413233E-2</v>
      </c>
      <c r="E469" s="28">
        <f>LN(Index!E470/Index!E469)</f>
        <v>2.1222396358120201E-2</v>
      </c>
      <c r="F469" s="28">
        <f>LN(Index!F470/Index!F469)</f>
        <v>3.6815804988572447E-2</v>
      </c>
      <c r="G469" s="28">
        <f>LN(Index!G470/Index!G469)</f>
        <v>8.8132844201985472E-3</v>
      </c>
      <c r="H469" s="28">
        <f>LN(Index!H470/Index!H469)</f>
        <v>2.768243590961712E-2</v>
      </c>
      <c r="I469" s="28">
        <f>LN(Index!I470/Index!I469)</f>
        <v>3.0734173798533369E-3</v>
      </c>
      <c r="J469" s="28">
        <f>LN(Index!J470/Index!J469)</f>
        <v>2.2022371762276553E-2</v>
      </c>
      <c r="K469" s="28">
        <f>LN(Index!K470/Index!K469)</f>
        <v>1.8202645500524861E-2</v>
      </c>
      <c r="L469" s="28">
        <f>LN(Index!L470/Index!L469)</f>
        <v>2.8525376101563898E-2</v>
      </c>
      <c r="M469" s="28">
        <f>LN(Index!M470/Index!M469)</f>
        <v>2.1065902872909662E-2</v>
      </c>
      <c r="N469" s="28">
        <f>LN(Index!N470/Index!N469)</f>
        <v>3.3973960823471781E-2</v>
      </c>
    </row>
    <row r="470" spans="1:14">
      <c r="A470" s="15">
        <v>40907</v>
      </c>
      <c r="B470" s="28">
        <f>LN(Index!B471/Index!B470)</f>
        <v>2.9600436611122569E-4</v>
      </c>
      <c r="C470" s="28">
        <f>LN(Index!C471/Index!C470)</f>
        <v>7.9447884291923565E-3</v>
      </c>
      <c r="D470" s="28">
        <f>LN(Index!D471/Index!D470)</f>
        <v>-5.1271208234806697E-3</v>
      </c>
      <c r="E470" s="28">
        <f>LN(Index!E471/Index!E470)</f>
        <v>3.6259778245668044E-3</v>
      </c>
      <c r="F470" s="28">
        <f>LN(Index!F471/Index!F470)</f>
        <v>4.1168721700074384E-3</v>
      </c>
      <c r="G470" s="28">
        <f>LN(Index!G471/Index!G470)</f>
        <v>7.0447737258252678E-3</v>
      </c>
      <c r="H470" s="28">
        <f>LN(Index!H471/Index!H470)</f>
        <v>3.5887988363642459E-3</v>
      </c>
      <c r="I470" s="28">
        <f>LN(Index!I471/Index!I470)</f>
        <v>3.1873521332144556E-3</v>
      </c>
      <c r="J470" s="28">
        <f>LN(Index!J471/Index!J470)</f>
        <v>2.3213545064085907E-3</v>
      </c>
      <c r="K470" s="28">
        <f>LN(Index!K471/Index!K470)</f>
        <v>-9.7561749453646852E-3</v>
      </c>
      <c r="L470" s="28">
        <f>LN(Index!L471/Index!L470)</f>
        <v>2.0993687452483391E-3</v>
      </c>
      <c r="M470" s="28">
        <f>LN(Index!M471/Index!M470)</f>
        <v>8.2970630997638087E-3</v>
      </c>
      <c r="N470" s="28">
        <f>LN(Index!N471/Index!N470)</f>
        <v>6.023454442403345E-3</v>
      </c>
    </row>
    <row r="471" spans="1:14">
      <c r="A471" s="15">
        <v>40914</v>
      </c>
      <c r="B471" s="28">
        <f>LN(Index!B472/Index!B471)</f>
        <v>7.6487362524346745E-3</v>
      </c>
      <c r="C471" s="28">
        <f>LN(Index!C472/Index!C471)</f>
        <v>-4.5598454047206388E-3</v>
      </c>
      <c r="D471" s="28">
        <f>LN(Index!D472/Index!D471)</f>
        <v>8.5634772948923338E-4</v>
      </c>
      <c r="E471" s="28">
        <f>LN(Index!E472/Index!E471)</f>
        <v>-2.2151259339912664E-2</v>
      </c>
      <c r="F471" s="28">
        <f>LN(Index!F472/Index!F471)</f>
        <v>-1.1017444574177294E-2</v>
      </c>
      <c r="G471" s="28">
        <f>LN(Index!G472/Index!G471)</f>
        <v>-1.1176709895971519E-3</v>
      </c>
      <c r="H471" s="28">
        <f>LN(Index!H472/Index!H471)</f>
        <v>-2.7246649204925647E-2</v>
      </c>
      <c r="I471" s="28">
        <f>LN(Index!I472/Index!I471)</f>
        <v>4.1928204730604302E-4</v>
      </c>
      <c r="J471" s="28">
        <f>LN(Index!J472/Index!J471)</f>
        <v>3.5108501052515161E-3</v>
      </c>
      <c r="K471" s="28">
        <f>LN(Index!K472/Index!K471)</f>
        <v>2.5027684854078337E-2</v>
      </c>
      <c r="L471" s="28">
        <f>LN(Index!L472/Index!L471)</f>
        <v>-3.9618927810302794E-3</v>
      </c>
      <c r="M471" s="28">
        <f>LN(Index!M472/Index!M471)</f>
        <v>-1.1042938387279039E-2</v>
      </c>
      <c r="N471" s="28">
        <f>LN(Index!N472/Index!N471)</f>
        <v>-1.0566879241973765E-2</v>
      </c>
    </row>
    <row r="472" spans="1:14">
      <c r="A472" s="15">
        <v>40921</v>
      </c>
      <c r="B472" s="28">
        <f>LN(Index!B473/Index!B472)</f>
        <v>7.8488155412490147E-3</v>
      </c>
      <c r="C472" s="28">
        <f>LN(Index!C473/Index!C472)</f>
        <v>5.8824511304218091E-3</v>
      </c>
      <c r="D472" s="28">
        <f>LN(Index!D473/Index!D472)</f>
        <v>2.1313439110166768E-2</v>
      </c>
      <c r="E472" s="28">
        <f>LN(Index!E473/Index!E472)</f>
        <v>2.4802035934112119E-3</v>
      </c>
      <c r="F472" s="28">
        <f>LN(Index!F473/Index!F472)</f>
        <v>-5.4303127874668795E-3</v>
      </c>
      <c r="G472" s="28">
        <f>LN(Index!G473/Index!G472)</f>
        <v>9.0740593721344298E-3</v>
      </c>
      <c r="H472" s="28">
        <f>LN(Index!H473/Index!H472)</f>
        <v>7.0085147300945711E-3</v>
      </c>
      <c r="I472" s="28">
        <f>LN(Index!I473/Index!I472)</f>
        <v>1.805857472997956E-2</v>
      </c>
      <c r="J472" s="28">
        <f>LN(Index!J473/Index!J472)</f>
        <v>-6.1912313768188705E-3</v>
      </c>
      <c r="K472" s="28">
        <f>LN(Index!K473/Index!K472)</f>
        <v>3.8974458050755487E-2</v>
      </c>
      <c r="L472" s="28">
        <f>LN(Index!L473/Index!L472)</f>
        <v>1.4365319312181725E-2</v>
      </c>
      <c r="M472" s="28">
        <f>LN(Index!M473/Index!M472)</f>
        <v>5.5173776271988696E-3</v>
      </c>
      <c r="N472" s="28">
        <f>LN(Index!N473/Index!N472)</f>
        <v>-1.1865733972662607E-2</v>
      </c>
    </row>
    <row r="473" spans="1:14">
      <c r="A473" s="15">
        <v>40928</v>
      </c>
      <c r="B473" s="28">
        <f>LN(Index!B474/Index!B473)</f>
        <v>2.8384554256527503E-2</v>
      </c>
      <c r="C473" s="28">
        <f>LN(Index!C474/Index!C473)</f>
        <v>-2.0949343347323561E-3</v>
      </c>
      <c r="D473" s="28">
        <f>LN(Index!D474/Index!D473)</f>
        <v>3.8761357398354727E-2</v>
      </c>
      <c r="E473" s="28">
        <f>LN(Index!E474/Index!E473)</f>
        <v>1.6965989881650961E-2</v>
      </c>
      <c r="F473" s="28">
        <f>LN(Index!F474/Index!F473)</f>
        <v>4.6368420867207022E-3</v>
      </c>
      <c r="G473" s="28">
        <f>LN(Index!G474/Index!G473)</f>
        <v>5.1680463229919239E-3</v>
      </c>
      <c r="H473" s="28">
        <f>LN(Index!H474/Index!H473)</f>
        <v>3.9488789419975094E-5</v>
      </c>
      <c r="I473" s="28">
        <f>LN(Index!I474/Index!I473)</f>
        <v>3.6499100219772075E-2</v>
      </c>
      <c r="J473" s="28">
        <f>LN(Index!J474/Index!J473)</f>
        <v>1.5980099328637167E-2</v>
      </c>
      <c r="K473" s="28">
        <f>LN(Index!K474/Index!K473)</f>
        <v>2.1698899902944341E-2</v>
      </c>
      <c r="L473" s="28">
        <f>LN(Index!L474/Index!L473)</f>
        <v>3.4482840658153929E-3</v>
      </c>
      <c r="M473" s="28">
        <f>LN(Index!M474/Index!M473)</f>
        <v>2.6606896595096182E-2</v>
      </c>
      <c r="N473" s="28">
        <f>LN(Index!N474/Index!N473)</f>
        <v>7.8674988550041965E-3</v>
      </c>
    </row>
    <row r="474" spans="1:14">
      <c r="A474" s="15">
        <v>40935</v>
      </c>
      <c r="B474" s="28">
        <f>LN(Index!B475/Index!B474)</f>
        <v>8.3814681041889348E-3</v>
      </c>
      <c r="C474" s="28">
        <f>LN(Index!C475/Index!C474)</f>
        <v>8.7639127394967108E-3</v>
      </c>
      <c r="D474" s="28">
        <f>LN(Index!D475/Index!D474)</f>
        <v>2.2713155974633616E-2</v>
      </c>
      <c r="E474" s="28">
        <f>LN(Index!E475/Index!E474)</f>
        <v>1.8576532634538137E-2</v>
      </c>
      <c r="F474" s="28">
        <f>LN(Index!F475/Index!F474)</f>
        <v>9.5425164449695621E-3</v>
      </c>
      <c r="G474" s="28">
        <f>LN(Index!G475/Index!G474)</f>
        <v>2.2706173670035128E-2</v>
      </c>
      <c r="H474" s="28">
        <f>LN(Index!H475/Index!H474)</f>
        <v>7.1219086597955027E-3</v>
      </c>
      <c r="I474" s="28">
        <f>LN(Index!I475/Index!I474)</f>
        <v>2.6508783836949205E-2</v>
      </c>
      <c r="J474" s="28">
        <f>LN(Index!J475/Index!J474)</f>
        <v>1.5751047097453064E-2</v>
      </c>
      <c r="K474" s="28">
        <f>LN(Index!K475/Index!K474)</f>
        <v>3.6572249486121068E-2</v>
      </c>
      <c r="L474" s="28">
        <f>LN(Index!L475/Index!L474)</f>
        <v>2.8114057249407638E-2</v>
      </c>
      <c r="M474" s="28">
        <f>LN(Index!M475/Index!M474)</f>
        <v>2.6556550914873009E-2</v>
      </c>
      <c r="N474" s="28">
        <f>LN(Index!N475/Index!N474)</f>
        <v>1.2713572733817633E-2</v>
      </c>
    </row>
    <row r="475" spans="1:14">
      <c r="A475" s="15">
        <v>40942</v>
      </c>
      <c r="B475" s="28">
        <f>LN(Index!B476/Index!B475)</f>
        <v>2.1986932111116759E-2</v>
      </c>
      <c r="C475" s="28">
        <f>LN(Index!C476/Index!C475)</f>
        <v>5.7424904844440125E-4</v>
      </c>
      <c r="D475" s="28">
        <f>LN(Index!D476/Index!D475)</f>
        <v>1.2658396871923465E-2</v>
      </c>
      <c r="E475" s="28">
        <f>LN(Index!E476/Index!E475)</f>
        <v>2.9499953028745179E-2</v>
      </c>
      <c r="F475" s="28">
        <f>LN(Index!F476/Index!F475)</f>
        <v>8.8109183896637293E-3</v>
      </c>
      <c r="G475" s="28">
        <f>LN(Index!G476/Index!G475)</f>
        <v>7.5062924472559028E-3</v>
      </c>
      <c r="H475" s="28">
        <f>LN(Index!H476/Index!H475)</f>
        <v>2.4810638798883806E-2</v>
      </c>
      <c r="I475" s="28">
        <f>LN(Index!I476/Index!I475)</f>
        <v>8.1412190387885729E-3</v>
      </c>
      <c r="J475" s="28">
        <f>LN(Index!J476/Index!J475)</f>
        <v>2.0198871757264335E-2</v>
      </c>
      <c r="K475" s="28">
        <f>LN(Index!K476/Index!K475)</f>
        <v>2.9418486821771617E-2</v>
      </c>
      <c r="L475" s="28">
        <f>LN(Index!L476/Index!L475)</f>
        <v>6.0382479293897128E-3</v>
      </c>
      <c r="M475" s="28">
        <f>LN(Index!M476/Index!M475)</f>
        <v>2.9187019938916554E-2</v>
      </c>
      <c r="N475" s="28">
        <f>LN(Index!N476/Index!N475)</f>
        <v>6.1597703772165403E-3</v>
      </c>
    </row>
    <row r="476" spans="1:14">
      <c r="A476" s="15">
        <v>40949</v>
      </c>
      <c r="B476" s="28">
        <f>LN(Index!B477/Index!B476)</f>
        <v>-3.2083065972304684E-3</v>
      </c>
      <c r="C476" s="28">
        <f>LN(Index!C477/Index!C476)</f>
        <v>5.4673191014335591E-5</v>
      </c>
      <c r="D476" s="28">
        <f>LN(Index!D477/Index!D476)</f>
        <v>-9.8388153180307761E-3</v>
      </c>
      <c r="E476" s="28">
        <f>LN(Index!E477/Index!E476)</f>
        <v>-9.2356935057597463E-3</v>
      </c>
      <c r="F476" s="28">
        <f>LN(Index!F477/Index!F476)</f>
        <v>3.1893880632067993E-4</v>
      </c>
      <c r="G476" s="28">
        <f>LN(Index!G477/Index!G476)</f>
        <v>1.1519127576963462E-2</v>
      </c>
      <c r="H476" s="28">
        <f>LN(Index!H477/Index!H476)</f>
        <v>-5.7865394650413174E-3</v>
      </c>
      <c r="I476" s="28">
        <f>LN(Index!I477/Index!I476)</f>
        <v>-7.52368366715922E-3</v>
      </c>
      <c r="J476" s="28">
        <f>LN(Index!J477/Index!J476)</f>
        <v>-9.9888380173956768E-3</v>
      </c>
      <c r="K476" s="28">
        <f>LN(Index!K477/Index!K476)</f>
        <v>2.7664037890411065E-3</v>
      </c>
      <c r="L476" s="28">
        <f>LN(Index!L477/Index!L476)</f>
        <v>-1.0646228345053742E-3</v>
      </c>
      <c r="M476" s="28">
        <f>LN(Index!M477/Index!M476)</f>
        <v>-8.9123414865052361E-3</v>
      </c>
      <c r="N476" s="28">
        <f>LN(Index!N477/Index!N476)</f>
        <v>5.2716276085026693E-3</v>
      </c>
    </row>
    <row r="477" spans="1:14">
      <c r="A477" s="15">
        <v>40956</v>
      </c>
      <c r="B477" s="28">
        <f>LN(Index!B478/Index!B477)</f>
        <v>1.4380298711868369E-2</v>
      </c>
      <c r="C477" s="28">
        <f>LN(Index!C478/Index!C477)</f>
        <v>-3.8069200376046187E-3</v>
      </c>
      <c r="D477" s="28">
        <f>LN(Index!D478/Index!D477)</f>
        <v>2.4833143670328562E-2</v>
      </c>
      <c r="E477" s="28">
        <f>LN(Index!E478/Index!E477)</f>
        <v>1.4108248925829056E-2</v>
      </c>
      <c r="F477" s="28">
        <f>LN(Index!F478/Index!F477)</f>
        <v>3.6749454489759946E-3</v>
      </c>
      <c r="G477" s="28">
        <f>LN(Index!G478/Index!G477)</f>
        <v>4.2441601076375892E-3</v>
      </c>
      <c r="H477" s="28">
        <f>LN(Index!H478/Index!H477)</f>
        <v>1.257143186522551E-2</v>
      </c>
      <c r="I477" s="28">
        <f>LN(Index!I478/Index!I477)</f>
        <v>7.5612729887890324E-3</v>
      </c>
      <c r="J477" s="28">
        <f>LN(Index!J478/Index!J477)</f>
        <v>2.4339486665757137E-2</v>
      </c>
      <c r="K477" s="28">
        <f>LN(Index!K478/Index!K477)</f>
        <v>-1.0676221993756118E-3</v>
      </c>
      <c r="L477" s="28">
        <f>LN(Index!L478/Index!L477)</f>
        <v>4.5747294320060989E-3</v>
      </c>
      <c r="M477" s="28">
        <f>LN(Index!M478/Index!M477)</f>
        <v>1.2842397726981238E-2</v>
      </c>
      <c r="N477" s="28">
        <f>LN(Index!N478/Index!N477)</f>
        <v>1.7820930509757236E-3</v>
      </c>
    </row>
    <row r="478" spans="1:14">
      <c r="A478" s="15">
        <v>40963</v>
      </c>
      <c r="B478" s="28">
        <f>LN(Index!B479/Index!B478)</f>
        <v>9.6731831053144604E-3</v>
      </c>
      <c r="C478" s="28">
        <f>LN(Index!C479/Index!C478)</f>
        <v>2.6581548337311798E-3</v>
      </c>
      <c r="D478" s="28">
        <f>LN(Index!D479/Index!D478)</f>
        <v>-8.3069751414179785E-4</v>
      </c>
      <c r="E478" s="28">
        <f>LN(Index!E479/Index!E478)</f>
        <v>1.4490259493625396E-2</v>
      </c>
      <c r="F478" s="28">
        <f>LN(Index!F479/Index!F478)</f>
        <v>6.8866037891687866E-3</v>
      </c>
      <c r="G478" s="28">
        <f>LN(Index!G479/Index!G478)</f>
        <v>-2.5068013005558496E-3</v>
      </c>
      <c r="H478" s="28">
        <f>LN(Index!H479/Index!H478)</f>
        <v>2.4012348350104158E-3</v>
      </c>
      <c r="I478" s="28">
        <f>LN(Index!I479/Index!I478)</f>
        <v>1.8855978107491751E-2</v>
      </c>
      <c r="J478" s="28">
        <f>LN(Index!J479/Index!J478)</f>
        <v>-1.2064493349008251E-4</v>
      </c>
      <c r="K478" s="28">
        <f>LN(Index!K479/Index!K478)</f>
        <v>1.1815820020243084E-2</v>
      </c>
      <c r="L478" s="28">
        <f>LN(Index!L479/Index!L478)</f>
        <v>2.207351272724993E-2</v>
      </c>
      <c r="M478" s="28">
        <f>LN(Index!M479/Index!M478)</f>
        <v>8.2614859523755784E-3</v>
      </c>
      <c r="N478" s="28">
        <f>LN(Index!N479/Index!N478)</f>
        <v>6.2642584438832331E-3</v>
      </c>
    </row>
    <row r="479" spans="1:14">
      <c r="A479" s="15">
        <v>40970</v>
      </c>
      <c r="B479" s="28">
        <f>LN(Index!B480/Index!B479)</f>
        <v>-1.5928777891146728E-3</v>
      </c>
      <c r="C479" s="28">
        <f>LN(Index!C480/Index!C479)</f>
        <v>1.722653311446156E-3</v>
      </c>
      <c r="D479" s="28">
        <f>LN(Index!D480/Index!D479)</f>
        <v>6.3905932645257296E-4</v>
      </c>
      <c r="E479" s="28">
        <f>LN(Index!E480/Index!E479)</f>
        <v>7.0425499460043915E-3</v>
      </c>
      <c r="F479" s="28">
        <f>LN(Index!F480/Index!F479)</f>
        <v>2.9537993882556525E-3</v>
      </c>
      <c r="G479" s="28">
        <f>LN(Index!G480/Index!G479)</f>
        <v>6.6957438703578306E-3</v>
      </c>
      <c r="H479" s="28">
        <f>LN(Index!H480/Index!H479)</f>
        <v>5.711555753161672E-3</v>
      </c>
      <c r="I479" s="28">
        <f>LN(Index!I480/Index!I479)</f>
        <v>-1.494315064978409E-2</v>
      </c>
      <c r="J479" s="28">
        <f>LN(Index!J480/Index!J479)</f>
        <v>1.5681834451522172E-2</v>
      </c>
      <c r="K479" s="28">
        <f>LN(Index!K480/Index!K479)</f>
        <v>-4.6083259394064655E-4</v>
      </c>
      <c r="L479" s="28">
        <f>LN(Index!L480/Index!L479)</f>
        <v>-8.4702773556528995E-3</v>
      </c>
      <c r="M479" s="28">
        <f>LN(Index!M480/Index!M479)</f>
        <v>9.1430185361383637E-4</v>
      </c>
      <c r="N479" s="28">
        <f>LN(Index!N480/Index!N479)</f>
        <v>9.4352661150083651E-3</v>
      </c>
    </row>
    <row r="480" spans="1:14">
      <c r="A480" s="15">
        <v>40977</v>
      </c>
      <c r="B480" s="28">
        <f>LN(Index!B481/Index!B480)</f>
        <v>-5.1267117646580347E-3</v>
      </c>
      <c r="C480" s="28">
        <f>LN(Index!C481/Index!C480)</f>
        <v>-5.9736024622569633E-3</v>
      </c>
      <c r="D480" s="28">
        <f>LN(Index!D481/Index!D480)</f>
        <v>-7.3095991014888468E-3</v>
      </c>
      <c r="E480" s="28">
        <f>LN(Index!E481/Index!E480)</f>
        <v>-1.8268875252523097E-2</v>
      </c>
      <c r="F480" s="28">
        <f>LN(Index!F481/Index!F480)</f>
        <v>7.2915412772553128E-3</v>
      </c>
      <c r="G480" s="28">
        <f>LN(Index!G481/Index!G480)</f>
        <v>2.3298184244905789E-4</v>
      </c>
      <c r="H480" s="28">
        <f>LN(Index!H481/Index!H480)</f>
        <v>-2.117782886293852E-3</v>
      </c>
      <c r="I480" s="28">
        <f>LN(Index!I481/Index!I480)</f>
        <v>3.930619010790285E-4</v>
      </c>
      <c r="J480" s="28">
        <f>LN(Index!J481/Index!J480)</f>
        <v>-7.1733723238952872E-3</v>
      </c>
      <c r="K480" s="28">
        <f>LN(Index!K481/Index!K480)</f>
        <v>-2.0576587878226988E-2</v>
      </c>
      <c r="L480" s="28">
        <f>LN(Index!L481/Index!L480)</f>
        <v>6.9554625523786939E-3</v>
      </c>
      <c r="M480" s="28">
        <f>LN(Index!M481/Index!M480)</f>
        <v>-2.3770115801119349E-2</v>
      </c>
      <c r="N480" s="28">
        <f>LN(Index!N481/Index!N480)</f>
        <v>3.2874535391342638E-3</v>
      </c>
    </row>
    <row r="481" spans="1:14">
      <c r="A481" s="15">
        <v>40984</v>
      </c>
      <c r="B481" s="28">
        <f>LN(Index!B482/Index!B481)</f>
        <v>2.2275704634888729E-2</v>
      </c>
      <c r="C481" s="28">
        <f>LN(Index!C482/Index!C481)</f>
        <v>-7.9191396569931512E-3</v>
      </c>
      <c r="D481" s="28">
        <f>LN(Index!D482/Index!D481)</f>
        <v>2.3343403730346473E-2</v>
      </c>
      <c r="E481" s="28">
        <f>LN(Index!E482/Index!E481)</f>
        <v>6.6536669985034422E-3</v>
      </c>
      <c r="F481" s="28">
        <f>LN(Index!F482/Index!F481)</f>
        <v>-4.891968620782716E-3</v>
      </c>
      <c r="G481" s="28">
        <f>LN(Index!G482/Index!G481)</f>
        <v>1.4675097616413358E-2</v>
      </c>
      <c r="H481" s="28">
        <f>LN(Index!H482/Index!H481)</f>
        <v>-4.8551414608882928E-5</v>
      </c>
      <c r="I481" s="28">
        <f>LN(Index!I482/Index!I481)</f>
        <v>2.3162773725324284E-2</v>
      </c>
      <c r="J481" s="28">
        <f>LN(Index!J482/Index!J481)</f>
        <v>2.0231171430248763E-3</v>
      </c>
      <c r="K481" s="28">
        <f>LN(Index!K482/Index!K481)</f>
        <v>1.4539345227843574E-2</v>
      </c>
      <c r="L481" s="28">
        <f>LN(Index!L482/Index!L481)</f>
        <v>2.4647303217897121E-3</v>
      </c>
      <c r="M481" s="28">
        <f>LN(Index!M482/Index!M481)</f>
        <v>1.6988447604523092E-2</v>
      </c>
      <c r="N481" s="28">
        <f>LN(Index!N482/Index!N481)</f>
        <v>-4.3697702425711284E-3</v>
      </c>
    </row>
    <row r="482" spans="1:14">
      <c r="A482" s="15">
        <v>40991</v>
      </c>
      <c r="B482" s="28">
        <f>LN(Index!B483/Index!B482)</f>
        <v>-9.6683787207166791E-3</v>
      </c>
      <c r="C482" s="28">
        <f>LN(Index!C483/Index!C482)</f>
        <v>4.3122578986707991E-3</v>
      </c>
      <c r="D482" s="28">
        <f>LN(Index!D483/Index!D482)</f>
        <v>-2.1286186675655801E-2</v>
      </c>
      <c r="E482" s="28">
        <f>LN(Index!E483/Index!E482)</f>
        <v>-3.4907040297896376E-3</v>
      </c>
      <c r="F482" s="28">
        <f>LN(Index!F483/Index!F482)</f>
        <v>-6.8640737316824811E-3</v>
      </c>
      <c r="G482" s="28">
        <f>LN(Index!G483/Index!G482)</f>
        <v>-6.4715604861935901E-3</v>
      </c>
      <c r="H482" s="28">
        <f>LN(Index!H483/Index!H482)</f>
        <v>-2.7605150680477058E-3</v>
      </c>
      <c r="I482" s="28">
        <f>LN(Index!I483/Index!I482)</f>
        <v>-6.3356944824561464E-3</v>
      </c>
      <c r="J482" s="28">
        <f>LN(Index!J483/Index!J482)</f>
        <v>-8.3277975171943928E-3</v>
      </c>
      <c r="K482" s="28">
        <f>LN(Index!K483/Index!K482)</f>
        <v>-2.3408837321150709E-2</v>
      </c>
      <c r="L482" s="28">
        <f>LN(Index!L483/Index!L482)</f>
        <v>-7.0183946783312582E-3</v>
      </c>
      <c r="M482" s="28">
        <f>LN(Index!M483/Index!M482)</f>
        <v>-1.2171608626927585E-2</v>
      </c>
      <c r="N482" s="28">
        <f>LN(Index!N483/Index!N482)</f>
        <v>-5.1745891337438297E-3</v>
      </c>
    </row>
    <row r="483" spans="1:14">
      <c r="A483" s="15">
        <v>40998</v>
      </c>
      <c r="B483" s="28">
        <f>LN(Index!B484/Index!B483)</f>
        <v>2.869946173889755E-3</v>
      </c>
      <c r="C483" s="28">
        <f>LN(Index!C484/Index!C483)</f>
        <v>2.1491755992396385E-3</v>
      </c>
      <c r="D483" s="28">
        <f>LN(Index!D484/Index!D483)</f>
        <v>5.7633356250092766E-3</v>
      </c>
      <c r="E483" s="28">
        <f>LN(Index!E484/Index!E483)</f>
        <v>9.7086290237322385E-4</v>
      </c>
      <c r="F483" s="28">
        <f>LN(Index!F484/Index!F483)</f>
        <v>6.7570726508694055E-3</v>
      </c>
      <c r="G483" s="28">
        <f>LN(Index!G484/Index!G483)</f>
        <v>1.3392013897304913E-3</v>
      </c>
      <c r="H483" s="28">
        <f>LN(Index!H484/Index!H483)</f>
        <v>6.1856923681240638E-3</v>
      </c>
      <c r="I483" s="28">
        <f>LN(Index!I484/Index!I483)</f>
        <v>1.2035336318692809E-2</v>
      </c>
      <c r="J483" s="28">
        <f>LN(Index!J484/Index!J483)</f>
        <v>4.6969286135854511E-3</v>
      </c>
      <c r="K483" s="28">
        <f>LN(Index!K484/Index!K483)</f>
        <v>6.1935349859632066E-3</v>
      </c>
      <c r="L483" s="28">
        <f>LN(Index!L484/Index!L483)</f>
        <v>1.1381875176520803E-2</v>
      </c>
      <c r="M483" s="28">
        <f>LN(Index!M484/Index!M483)</f>
        <v>-1.0649900907776959E-3</v>
      </c>
      <c r="N483" s="28">
        <f>LN(Index!N484/Index!N483)</f>
        <v>1.8800809180134924E-3</v>
      </c>
    </row>
    <row r="484" spans="1:14">
      <c r="A484" s="15">
        <v>41005</v>
      </c>
      <c r="B484" s="28">
        <f>LN(Index!B485/Index!B484)</f>
        <v>-1.7670314902149434E-2</v>
      </c>
      <c r="C484" s="28">
        <f>LN(Index!C485/Index!C484)</f>
        <v>1.6225956834753118E-3</v>
      </c>
      <c r="D484" s="28">
        <f>LN(Index!D485/Index!D484)</f>
        <v>-1.4795072395229189E-2</v>
      </c>
      <c r="E484" s="28">
        <f>LN(Index!E485/Index!E484)</f>
        <v>-3.0218208986758543E-2</v>
      </c>
      <c r="F484" s="28">
        <f>LN(Index!F485/Index!F484)</f>
        <v>5.7120859254076069E-3</v>
      </c>
      <c r="G484" s="28">
        <f>LN(Index!G485/Index!G484)</f>
        <v>2.0561056502532717E-3</v>
      </c>
      <c r="H484" s="28">
        <f>LN(Index!H485/Index!H484)</f>
        <v>-1.2948929750752115E-2</v>
      </c>
      <c r="I484" s="28">
        <f>LN(Index!I485/Index!I484)</f>
        <v>-9.3156463038791913E-3</v>
      </c>
      <c r="J484" s="28">
        <f>LN(Index!J485/Index!J484)</f>
        <v>-1.141379190556685E-2</v>
      </c>
      <c r="K484" s="28">
        <f>LN(Index!K485/Index!K484)</f>
        <v>-1.235146889070979E-2</v>
      </c>
      <c r="L484" s="28">
        <f>LN(Index!L485/Index!L484)</f>
        <v>-5.5882307830088596E-3</v>
      </c>
      <c r="M484" s="28">
        <f>LN(Index!M485/Index!M484)</f>
        <v>-3.5011003720758153E-2</v>
      </c>
      <c r="N484" s="28">
        <f>LN(Index!N485/Index!N484)</f>
        <v>1.0485494546554418E-2</v>
      </c>
    </row>
    <row r="485" spans="1:14">
      <c r="A485" s="15">
        <v>41012</v>
      </c>
      <c r="B485" s="28">
        <f>LN(Index!B486/Index!B485)</f>
        <v>-1.6173154378250176E-2</v>
      </c>
      <c r="C485" s="28">
        <f>LN(Index!C486/Index!C485)</f>
        <v>4.7426584681299093E-3</v>
      </c>
      <c r="D485" s="28">
        <f>LN(Index!D486/Index!D485)</f>
        <v>-2.4006499769420276E-3</v>
      </c>
      <c r="E485" s="28">
        <f>LN(Index!E486/Index!E485)</f>
        <v>-3.7216053148767855E-5</v>
      </c>
      <c r="F485" s="28">
        <f>LN(Index!F486/Index!F485)</f>
        <v>-1.5371364958009668E-2</v>
      </c>
      <c r="G485" s="28">
        <f>LN(Index!G486/Index!G485)</f>
        <v>2.7628380047550993E-4</v>
      </c>
      <c r="H485" s="28">
        <f>LN(Index!H486/Index!H485)</f>
        <v>-6.1295589841595553E-3</v>
      </c>
      <c r="I485" s="28">
        <f>LN(Index!I486/Index!I485)</f>
        <v>9.0610777053592786E-3</v>
      </c>
      <c r="J485" s="28">
        <f>LN(Index!J486/Index!J485)</f>
        <v>-4.4944090855801372E-3</v>
      </c>
      <c r="K485" s="28">
        <f>LN(Index!K486/Index!K485)</f>
        <v>-1.8194903949707453E-3</v>
      </c>
      <c r="L485" s="28">
        <f>LN(Index!L486/Index!L485)</f>
        <v>7.5490367100238239E-3</v>
      </c>
      <c r="M485" s="28">
        <f>LN(Index!M486/Index!M485)</f>
        <v>-2.3571678311710389E-2</v>
      </c>
      <c r="N485" s="28">
        <f>LN(Index!N486/Index!N485)</f>
        <v>-1.5714226013679961E-2</v>
      </c>
    </row>
    <row r="486" spans="1:14">
      <c r="A486" s="15">
        <v>41019</v>
      </c>
      <c r="B486" s="28">
        <f>LN(Index!B487/Index!B486)</f>
        <v>1.04782806973203E-2</v>
      </c>
      <c r="C486" s="28">
        <f>LN(Index!C487/Index!C486)</f>
        <v>3.5547777954610479E-4</v>
      </c>
      <c r="D486" s="28">
        <f>LN(Index!D487/Index!D486)</f>
        <v>1.8790771678349208E-2</v>
      </c>
      <c r="E486" s="28">
        <f>LN(Index!E487/Index!E486)</f>
        <v>2.5858700116009169E-2</v>
      </c>
      <c r="F486" s="28">
        <f>LN(Index!F487/Index!F486)</f>
        <v>1.6923560491868585E-2</v>
      </c>
      <c r="G486" s="28">
        <f>LN(Index!G487/Index!G486)</f>
        <v>-5.8489094833169878E-4</v>
      </c>
      <c r="H486" s="28">
        <f>LN(Index!H487/Index!H486)</f>
        <v>2.1317890778665853E-2</v>
      </c>
      <c r="I486" s="28">
        <f>LN(Index!I487/Index!I486)</f>
        <v>1.4795081220461944E-2</v>
      </c>
      <c r="J486" s="28">
        <f>LN(Index!J487/Index!J486)</f>
        <v>5.2177720399517326E-2</v>
      </c>
      <c r="K486" s="28">
        <f>LN(Index!K487/Index!K486)</f>
        <v>-1.8228069756713067E-3</v>
      </c>
      <c r="L486" s="28">
        <f>LN(Index!L487/Index!L486)</f>
        <v>4.4199024136408705E-3</v>
      </c>
      <c r="M486" s="28">
        <f>LN(Index!M487/Index!M486)</f>
        <v>9.0842862037674495E-3</v>
      </c>
      <c r="N486" s="28">
        <f>LN(Index!N487/Index!N486)</f>
        <v>1.4021721506062103E-2</v>
      </c>
    </row>
    <row r="487" spans="1:14">
      <c r="A487" s="15">
        <v>41026</v>
      </c>
      <c r="B487" s="28">
        <f>LN(Index!B488/Index!B487)</f>
        <v>1.3176340250972194E-2</v>
      </c>
      <c r="C487" s="28">
        <f>LN(Index!C488/Index!C487)</f>
        <v>4.2014575909066791E-3</v>
      </c>
      <c r="D487" s="28">
        <f>LN(Index!D488/Index!D487)</f>
        <v>1.5184399044778288E-2</v>
      </c>
      <c r="E487" s="28">
        <f>LN(Index!E488/Index!E487)</f>
        <v>1.6393441211529823E-2</v>
      </c>
      <c r="F487" s="28">
        <f>LN(Index!F488/Index!F487)</f>
        <v>1.8579861470194785E-2</v>
      </c>
      <c r="G487" s="28">
        <f>LN(Index!G488/Index!G487)</f>
        <v>1.1602371500026927E-3</v>
      </c>
      <c r="H487" s="28">
        <f>LN(Index!H488/Index!H487)</f>
        <v>1.7178166862610193E-2</v>
      </c>
      <c r="I487" s="28">
        <f>LN(Index!I488/Index!I487)</f>
        <v>1.9877250653788946E-2</v>
      </c>
      <c r="J487" s="28">
        <f>LN(Index!J488/Index!J487)</f>
        <v>9.7823786982966961E-3</v>
      </c>
      <c r="K487" s="28">
        <f>LN(Index!K488/Index!K487)</f>
        <v>-3.6309806839729928E-4</v>
      </c>
      <c r="L487" s="28">
        <f>LN(Index!L488/Index!L487)</f>
        <v>2.0375988709186141E-2</v>
      </c>
      <c r="M487" s="28">
        <f>LN(Index!M488/Index!M487)</f>
        <v>2.2061283976707601E-2</v>
      </c>
      <c r="N487" s="28">
        <f>LN(Index!N488/Index!N487)</f>
        <v>1.2602876718679256E-2</v>
      </c>
    </row>
    <row r="488" spans="1:14">
      <c r="A488" s="15">
        <v>41033</v>
      </c>
      <c r="B488" s="28">
        <f>LN(Index!B489/Index!B488)</f>
        <v>-2.6307247102064731E-2</v>
      </c>
      <c r="C488" s="28">
        <f>LN(Index!C489/Index!C488)</f>
        <v>3.3430757506441298E-3</v>
      </c>
      <c r="D488" s="28">
        <f>LN(Index!D489/Index!D488)</f>
        <v>-7.5001139399946404E-3</v>
      </c>
      <c r="E488" s="28">
        <f>LN(Index!E489/Index!E488)</f>
        <v>-1.5953804063721783E-2</v>
      </c>
      <c r="F488" s="28">
        <f>LN(Index!F489/Index!F488)</f>
        <v>-9.0012374217876903E-3</v>
      </c>
      <c r="G488" s="28">
        <f>LN(Index!G489/Index!G488)</f>
        <v>2.5764776932151714E-4</v>
      </c>
      <c r="H488" s="28">
        <f>LN(Index!H489/Index!H488)</f>
        <v>-6.7774989140869787E-3</v>
      </c>
      <c r="I488" s="28">
        <f>LN(Index!I489/Index!I488)</f>
        <v>-2.046157116482844E-2</v>
      </c>
      <c r="J488" s="28">
        <f>LN(Index!J489/Index!J488)</f>
        <v>-1.0533764875940687E-2</v>
      </c>
      <c r="K488" s="28">
        <f>LN(Index!K489/Index!K488)</f>
        <v>7.2231621241657523E-3</v>
      </c>
      <c r="L488" s="28">
        <f>LN(Index!L489/Index!L488)</f>
        <v>8.8753370873511511E-3</v>
      </c>
      <c r="M488" s="28">
        <f>LN(Index!M489/Index!M488)</f>
        <v>-3.0645955742086534E-2</v>
      </c>
      <c r="N488" s="28">
        <f>LN(Index!N489/Index!N488)</f>
        <v>-1.2672242948670616E-2</v>
      </c>
    </row>
    <row r="489" spans="1:14">
      <c r="A489" s="15">
        <v>41040</v>
      </c>
      <c r="B489" s="28">
        <f>LN(Index!B490/Index!B489)</f>
        <v>-1.8019224157557516E-2</v>
      </c>
      <c r="C489" s="28">
        <f>LN(Index!C490/Index!C489)</f>
        <v>-2.7137778668007541E-4</v>
      </c>
      <c r="D489" s="28">
        <f>LN(Index!D490/Index!D489)</f>
        <v>-1.722860378539421E-2</v>
      </c>
      <c r="E489" s="28">
        <f>LN(Index!E490/Index!E489)</f>
        <v>-1.7733275392455318E-3</v>
      </c>
      <c r="F489" s="28">
        <f>LN(Index!F490/Index!F489)</f>
        <v>3.9484513041941711E-3</v>
      </c>
      <c r="G489" s="28">
        <f>LN(Index!G490/Index!G489)</f>
        <v>-1.5381352752524079E-2</v>
      </c>
      <c r="H489" s="28">
        <f>LN(Index!H490/Index!H489)</f>
        <v>7.3678892741366837E-3</v>
      </c>
      <c r="I489" s="28">
        <f>LN(Index!I490/Index!I489)</f>
        <v>-2.5822250839704085E-2</v>
      </c>
      <c r="J489" s="28">
        <f>LN(Index!J490/Index!J489)</f>
        <v>1.2236497621486979E-2</v>
      </c>
      <c r="K489" s="28">
        <f>LN(Index!K490/Index!K489)</f>
        <v>-3.8468093550681787E-2</v>
      </c>
      <c r="L489" s="28">
        <f>LN(Index!L490/Index!L489)</f>
        <v>-5.4040568236690808E-3</v>
      </c>
      <c r="M489" s="28">
        <f>LN(Index!M490/Index!M489)</f>
        <v>-1.3060794536515496E-2</v>
      </c>
      <c r="N489" s="28">
        <f>LN(Index!N490/Index!N489)</f>
        <v>-3.5786014623264312E-4</v>
      </c>
    </row>
    <row r="490" spans="1:14">
      <c r="A490" s="15">
        <v>41047</v>
      </c>
      <c r="B490" s="28">
        <f>LN(Index!B491/Index!B490)</f>
        <v>-5.2861948761639986E-2</v>
      </c>
      <c r="C490" s="28">
        <f>LN(Index!C491/Index!C490)</f>
        <v>2.7137778668000678E-4</v>
      </c>
      <c r="D490" s="28">
        <f>LN(Index!D491/Index!D490)</f>
        <v>-5.8920468737654663E-2</v>
      </c>
      <c r="E490" s="28">
        <f>LN(Index!E491/Index!E490)</f>
        <v>-5.1313841303447315E-2</v>
      </c>
      <c r="F490" s="28">
        <f>LN(Index!F491/Index!F490)</f>
        <v>-3.9935039337149182E-2</v>
      </c>
      <c r="G490" s="28">
        <f>LN(Index!G491/Index!G490)</f>
        <v>-4.0211762846796888E-2</v>
      </c>
      <c r="H490" s="28">
        <f>LN(Index!H491/Index!H490)</f>
        <v>-3.5891329870538176E-2</v>
      </c>
      <c r="I490" s="28">
        <f>LN(Index!I491/Index!I490)</f>
        <v>-6.2039983115921418E-2</v>
      </c>
      <c r="J490" s="28">
        <f>LN(Index!J491/Index!J490)</f>
        <v>-5.1068070878030634E-2</v>
      </c>
      <c r="K490" s="28">
        <f>LN(Index!K491/Index!K490)</f>
        <v>-4.8008904188377229E-2</v>
      </c>
      <c r="L490" s="28">
        <f>LN(Index!L491/Index!L490)</f>
        <v>-4.4056414504085206E-2</v>
      </c>
      <c r="M490" s="28">
        <f>LN(Index!M491/Index!M490)</f>
        <v>-6.6145256116218173E-2</v>
      </c>
      <c r="N490" s="28">
        <f>LN(Index!N491/Index!N490)</f>
        <v>-4.387005597337091E-2</v>
      </c>
    </row>
    <row r="491" spans="1:14">
      <c r="A491" s="15">
        <v>41054</v>
      </c>
      <c r="B491" s="28">
        <f>LN(Index!B492/Index!B491)</f>
        <v>8.5594462562599786E-3</v>
      </c>
      <c r="C491" s="28">
        <f>LN(Index!C492/Index!C491)</f>
        <v>-3.4519815200349468E-3</v>
      </c>
      <c r="D491" s="28">
        <f>LN(Index!D492/Index!D491)</f>
        <v>1.705740557920386E-2</v>
      </c>
      <c r="E491" s="28">
        <f>LN(Index!E492/Index!E491)</f>
        <v>-1.5924750566014866E-3</v>
      </c>
      <c r="F491" s="28">
        <f>LN(Index!F492/Index!F491)</f>
        <v>1.4857805931377258E-2</v>
      </c>
      <c r="G491" s="28">
        <f>LN(Index!G492/Index!G491)</f>
        <v>-2.736885848590422E-3</v>
      </c>
      <c r="H491" s="28">
        <f>LN(Index!H492/Index!H491)</f>
        <v>1.1664853003118076E-2</v>
      </c>
      <c r="I491" s="28">
        <f>LN(Index!I492/Index!I491)</f>
        <v>-7.790093123842959E-3</v>
      </c>
      <c r="J491" s="28">
        <f>LN(Index!J492/Index!J491)</f>
        <v>2.1761777459829369E-2</v>
      </c>
      <c r="K491" s="28">
        <f>LN(Index!K492/Index!K491)</f>
        <v>5.3131054777694692E-3</v>
      </c>
      <c r="L491" s="28">
        <f>LN(Index!L492/Index!L491)</f>
        <v>9.9969326303988512E-3</v>
      </c>
      <c r="M491" s="28">
        <f>LN(Index!M492/Index!M491)</f>
        <v>-2.359358949034592E-3</v>
      </c>
      <c r="N491" s="28">
        <f>LN(Index!N492/Index!N491)</f>
        <v>6.6331955019102275E-3</v>
      </c>
    </row>
    <row r="492" spans="1:14">
      <c r="A492" s="15">
        <v>41061</v>
      </c>
      <c r="B492" s="28">
        <f>LN(Index!B493/Index!B492)</f>
        <v>-3.0401268479199637E-2</v>
      </c>
      <c r="C492" s="28">
        <f>LN(Index!C493/Index!C492)</f>
        <v>9.1609487160487276E-3</v>
      </c>
      <c r="D492" s="28">
        <f>LN(Index!D493/Index!D492)</f>
        <v>-1.7603704418247865E-2</v>
      </c>
      <c r="E492" s="28">
        <f>LN(Index!E493/Index!E492)</f>
        <v>-4.311952706207621E-2</v>
      </c>
      <c r="F492" s="28">
        <f>LN(Index!F493/Index!F492)</f>
        <v>-2.1617805188853315E-2</v>
      </c>
      <c r="G492" s="28">
        <f>LN(Index!G493/Index!G492)</f>
        <v>7.2398242440586619E-3</v>
      </c>
      <c r="H492" s="28">
        <f>LN(Index!H493/Index!H492)</f>
        <v>-2.4512571677139862E-2</v>
      </c>
      <c r="I492" s="28">
        <f>LN(Index!I493/Index!I492)</f>
        <v>-4.5043607033308447E-3</v>
      </c>
      <c r="J492" s="28">
        <f>LN(Index!J493/Index!J492)</f>
        <v>2.8610882415548121E-3</v>
      </c>
      <c r="K492" s="28">
        <f>LN(Index!K493/Index!K492)</f>
        <v>-2.2592383672870905E-2</v>
      </c>
      <c r="L492" s="28">
        <f>LN(Index!L493/Index!L492)</f>
        <v>-3.2260648527122487E-2</v>
      </c>
      <c r="M492" s="28">
        <f>LN(Index!M493/Index!M492)</f>
        <v>-3.2721886479710978E-2</v>
      </c>
      <c r="N492" s="28">
        <f>LN(Index!N493/Index!N492)</f>
        <v>-2.3201740247819427E-2</v>
      </c>
    </row>
    <row r="493" spans="1:14">
      <c r="A493" s="15">
        <v>41068</v>
      </c>
      <c r="B493" s="28">
        <f>LN(Index!B494/Index!B493)</f>
        <v>3.0653642903232706E-2</v>
      </c>
      <c r="C493" s="28">
        <f>LN(Index!C494/Index!C493)</f>
        <v>-6.7949204981527442E-3</v>
      </c>
      <c r="D493" s="28">
        <f>LN(Index!D494/Index!D493)</f>
        <v>2.8815781296629071E-2</v>
      </c>
      <c r="E493" s="28">
        <f>LN(Index!E494/Index!E493)</f>
        <v>3.2858487569328181E-2</v>
      </c>
      <c r="F493" s="28">
        <f>LN(Index!F494/Index!F493)</f>
        <v>2.2265975741273265E-2</v>
      </c>
      <c r="G493" s="28">
        <f>LN(Index!G494/Index!G493)</f>
        <v>-3.4093063835231043E-3</v>
      </c>
      <c r="H493" s="28">
        <f>LN(Index!H494/Index!H493)</f>
        <v>2.9698352857633222E-2</v>
      </c>
      <c r="I493" s="28">
        <f>LN(Index!I494/Index!I493)</f>
        <v>1.5562175116987254E-2</v>
      </c>
      <c r="J493" s="28">
        <f>LN(Index!J494/Index!J493)</f>
        <v>2.0975557825837168E-2</v>
      </c>
      <c r="K493" s="28">
        <f>LN(Index!K494/Index!K493)</f>
        <v>-2.6463017126542438E-2</v>
      </c>
      <c r="L493" s="28">
        <f>LN(Index!L494/Index!L493)</f>
        <v>4.3148090697793545E-2</v>
      </c>
      <c r="M493" s="28">
        <f>LN(Index!M494/Index!M493)</f>
        <v>2.8465694270009313E-2</v>
      </c>
      <c r="N493" s="28">
        <f>LN(Index!N494/Index!N493)</f>
        <v>1.066292912838495E-2</v>
      </c>
    </row>
    <row r="494" spans="1:14">
      <c r="A494" s="15">
        <v>41075</v>
      </c>
      <c r="B494" s="28">
        <f>LN(Index!B495/Index!B494)</f>
        <v>1.6409880244477315E-2</v>
      </c>
      <c r="C494" s="28">
        <f>LN(Index!C495/Index!C494)</f>
        <v>9.2313546779916307E-4</v>
      </c>
      <c r="D494" s="28">
        <f>LN(Index!D495/Index!D494)</f>
        <v>1.384059528937333E-2</v>
      </c>
      <c r="E494" s="28">
        <f>LN(Index!E495/Index!E494)</f>
        <v>8.4550812574847849E-3</v>
      </c>
      <c r="F494" s="28">
        <f>LN(Index!F495/Index!F494)</f>
        <v>1.1641798758739523E-2</v>
      </c>
      <c r="G494" s="28">
        <f>LN(Index!G495/Index!G494)</f>
        <v>2.1748762213098596E-2</v>
      </c>
      <c r="H494" s="28">
        <f>LN(Index!H495/Index!H494)</f>
        <v>7.6832908735711188E-3</v>
      </c>
      <c r="I494" s="28">
        <f>LN(Index!I495/Index!I494)</f>
        <v>7.7086278268485488E-3</v>
      </c>
      <c r="J494" s="28">
        <f>LN(Index!J495/Index!J494)</f>
        <v>-4.2795279320792636E-3</v>
      </c>
      <c r="K494" s="28">
        <f>LN(Index!K495/Index!K494)</f>
        <v>3.4181276522318622E-2</v>
      </c>
      <c r="L494" s="28">
        <f>LN(Index!L495/Index!L494)</f>
        <v>2.3505218836487183E-2</v>
      </c>
      <c r="M494" s="28">
        <f>LN(Index!M495/Index!M494)</f>
        <v>9.7898310306033399E-3</v>
      </c>
      <c r="N494" s="28">
        <f>LN(Index!N495/Index!N494)</f>
        <v>1.3470925950711156E-2</v>
      </c>
    </row>
    <row r="495" spans="1:14">
      <c r="A495" s="15">
        <v>41082</v>
      </c>
      <c r="B495" s="28">
        <f>LN(Index!B496/Index!B495)</f>
        <v>-2.3693159952958625E-3</v>
      </c>
      <c r="C495" s="28">
        <f>LN(Index!C496/Index!C495)</f>
        <v>-4.0716060333681893E-4</v>
      </c>
      <c r="D495" s="28">
        <f>LN(Index!D496/Index!D495)</f>
        <v>3.2721442653139027E-4</v>
      </c>
      <c r="E495" s="28">
        <f>LN(Index!E496/Index!E495)</f>
        <v>5.6081890614702453E-4</v>
      </c>
      <c r="F495" s="28">
        <f>LN(Index!F496/Index!F495)</f>
        <v>-1.0743649208358609E-2</v>
      </c>
      <c r="G495" s="28">
        <f>LN(Index!G496/Index!G495)</f>
        <v>-8.8471012509621378E-3</v>
      </c>
      <c r="H495" s="28">
        <f>LN(Index!H496/Index!H495)</f>
        <v>-1.3700866076377891E-2</v>
      </c>
      <c r="I495" s="28">
        <f>LN(Index!I496/Index!I495)</f>
        <v>8.6444758267339109E-3</v>
      </c>
      <c r="J495" s="28">
        <f>LN(Index!J496/Index!J495)</f>
        <v>-1.4582744498047964E-2</v>
      </c>
      <c r="K495" s="28">
        <f>LN(Index!K496/Index!K495)</f>
        <v>5.6119774441836176E-3</v>
      </c>
      <c r="L495" s="28">
        <f>LN(Index!L496/Index!L495)</f>
        <v>1.1215377948065072E-3</v>
      </c>
      <c r="M495" s="28">
        <f>LN(Index!M496/Index!M495)</f>
        <v>-3.7503675471787091E-3</v>
      </c>
      <c r="N495" s="28">
        <f>LN(Index!N496/Index!N495)</f>
        <v>-8.2677157186698842E-3</v>
      </c>
    </row>
    <row r="496" spans="1:14">
      <c r="A496" s="15">
        <v>41089</v>
      </c>
      <c r="B496" s="28">
        <f>LN(Index!B497/Index!B496)</f>
        <v>2.4618367135064524E-2</v>
      </c>
      <c r="C496" s="28">
        <f>LN(Index!C497/Index!C496)</f>
        <v>3.2255906533116361E-3</v>
      </c>
      <c r="D496" s="28">
        <f>LN(Index!D497/Index!D496)</f>
        <v>3.743735533411182E-2</v>
      </c>
      <c r="E496" s="28">
        <f>LN(Index!E497/Index!E496)</f>
        <v>3.8910660838225496E-2</v>
      </c>
      <c r="F496" s="28">
        <f>LN(Index!F497/Index!F496)</f>
        <v>2.2083557969356037E-2</v>
      </c>
      <c r="G496" s="28">
        <f>LN(Index!G497/Index!G496)</f>
        <v>2.5104018719857325E-2</v>
      </c>
      <c r="H496" s="28">
        <f>LN(Index!H497/Index!H496)</f>
        <v>2.8083816677390933E-2</v>
      </c>
      <c r="I496" s="28">
        <f>LN(Index!I497/Index!I496)</f>
        <v>3.1917723567703324E-2</v>
      </c>
      <c r="J496" s="28">
        <f>LN(Index!J497/Index!J496)</f>
        <v>3.4738237942853925E-2</v>
      </c>
      <c r="K496" s="28">
        <f>LN(Index!K497/Index!K496)</f>
        <v>7.7269113795040761E-3</v>
      </c>
      <c r="L496" s="28">
        <f>LN(Index!L497/Index!L496)</f>
        <v>3.4806507870750368E-2</v>
      </c>
      <c r="M496" s="28">
        <f>LN(Index!M497/Index!M496)</f>
        <v>3.6471591229786243E-2</v>
      </c>
      <c r="N496" s="28">
        <f>LN(Index!N497/Index!N496)</f>
        <v>2.2739878924412968E-2</v>
      </c>
    </row>
    <row r="497" spans="1:14">
      <c r="A497" s="15">
        <v>41096</v>
      </c>
      <c r="B497" s="28">
        <f>LN(Index!B498/Index!B497)</f>
        <v>-5.1600873902996293E-3</v>
      </c>
      <c r="C497" s="28">
        <f>LN(Index!C498/Index!C497)</f>
        <v>2.7295469956827708E-3</v>
      </c>
      <c r="D497" s="28">
        <f>LN(Index!D498/Index!D497)</f>
        <v>1.271349517980495E-2</v>
      </c>
      <c r="E497" s="28">
        <f>LN(Index!E498/Index!E497)</f>
        <v>-1.9289581503907485E-2</v>
      </c>
      <c r="F497" s="28">
        <f>LN(Index!F498/Index!F497)</f>
        <v>6.8546195207212302E-3</v>
      </c>
      <c r="G497" s="28">
        <f>LN(Index!G498/Index!G497)</f>
        <v>2.1257509689439173E-2</v>
      </c>
      <c r="H497" s="28">
        <f>LN(Index!H498/Index!H497)</f>
        <v>-3.1783812816267012E-3</v>
      </c>
      <c r="I497" s="28">
        <f>LN(Index!I498/Index!I497)</f>
        <v>-6.1506520772495448E-3</v>
      </c>
      <c r="J497" s="28">
        <f>LN(Index!J498/Index!J497)</f>
        <v>6.423306894672267E-3</v>
      </c>
      <c r="K497" s="28">
        <f>LN(Index!K498/Index!K497)</f>
        <v>3.5537047304326747E-2</v>
      </c>
      <c r="L497" s="28">
        <f>LN(Index!L498/Index!L497)</f>
        <v>8.9905614466840311E-3</v>
      </c>
      <c r="M497" s="28">
        <f>LN(Index!M498/Index!M497)</f>
        <v>-2.8827301692350121E-2</v>
      </c>
      <c r="N497" s="28">
        <f>LN(Index!N498/Index!N497)</f>
        <v>7.793715269028785E-3</v>
      </c>
    </row>
    <row r="498" spans="1:14">
      <c r="A498" s="15">
        <v>41103</v>
      </c>
      <c r="B498" s="28">
        <f>LN(Index!B499/Index!B498)</f>
        <v>-3.1039859375909962E-3</v>
      </c>
      <c r="C498" s="28">
        <f>LN(Index!C499/Index!C498)</f>
        <v>4.4431950950484696E-3</v>
      </c>
      <c r="D498" s="28">
        <f>LN(Index!D499/Index!D498)</f>
        <v>1.4303040279254906E-3</v>
      </c>
      <c r="E498" s="28">
        <f>LN(Index!E499/Index!E498)</f>
        <v>1.4780949274058677E-2</v>
      </c>
      <c r="F498" s="28">
        <f>LN(Index!F499/Index!F498)</f>
        <v>1.7002085607283762E-2</v>
      </c>
      <c r="G498" s="28">
        <f>LN(Index!G499/Index!G498)</f>
        <v>4.3081361446996418E-3</v>
      </c>
      <c r="H498" s="28">
        <f>LN(Index!H499/Index!H498)</f>
        <v>1.6014898114196537E-2</v>
      </c>
      <c r="I498" s="28">
        <f>LN(Index!I499/Index!I498)</f>
        <v>2.223320979533018E-2</v>
      </c>
      <c r="J498" s="28">
        <f>LN(Index!J499/Index!J498)</f>
        <v>1.6472149602797376E-2</v>
      </c>
      <c r="K498" s="28">
        <f>LN(Index!K499/Index!K498)</f>
        <v>-8.0861007196495732E-3</v>
      </c>
      <c r="L498" s="28">
        <f>LN(Index!L499/Index!L498)</f>
        <v>1.2314915904984092E-2</v>
      </c>
      <c r="M498" s="28">
        <f>LN(Index!M499/Index!M498)</f>
        <v>1.8174380857724978E-2</v>
      </c>
      <c r="N498" s="28">
        <f>LN(Index!N499/Index!N498)</f>
        <v>1.4597511099211246E-2</v>
      </c>
    </row>
    <row r="499" spans="1:14">
      <c r="A499" s="15">
        <v>41110</v>
      </c>
      <c r="B499" s="28">
        <f>LN(Index!B500/Index!B499)</f>
        <v>4.7214056528990514E-3</v>
      </c>
      <c r="C499" s="28">
        <f>LN(Index!C500/Index!C499)</f>
        <v>4.9583998882309563E-3</v>
      </c>
      <c r="D499" s="28">
        <f>LN(Index!D500/Index!D499)</f>
        <v>6.0715136020020469E-3</v>
      </c>
      <c r="E499" s="28">
        <f>LN(Index!E500/Index!E499)</f>
        <v>-2.5476187865294618E-2</v>
      </c>
      <c r="F499" s="28">
        <f>LN(Index!F500/Index!F499)</f>
        <v>1.0196089459765034E-2</v>
      </c>
      <c r="G499" s="28">
        <f>LN(Index!G500/Index!G499)</f>
        <v>2.15923321511622E-2</v>
      </c>
      <c r="H499" s="28">
        <f>LN(Index!H500/Index!H499)</f>
        <v>-1.5898951807747034E-2</v>
      </c>
      <c r="I499" s="28">
        <f>LN(Index!I500/Index!I499)</f>
        <v>2.4513476355893921E-2</v>
      </c>
      <c r="J499" s="28">
        <f>LN(Index!J500/Index!J499)</f>
        <v>1.8485667513283767E-2</v>
      </c>
      <c r="K499" s="28">
        <f>LN(Index!K500/Index!K499)</f>
        <v>1.5934275260790911E-2</v>
      </c>
      <c r="L499" s="28">
        <f>LN(Index!L500/Index!L499)</f>
        <v>-1.1827965591680161E-2</v>
      </c>
      <c r="M499" s="28">
        <f>LN(Index!M500/Index!M499)</f>
        <v>-2.7255868991595458E-3</v>
      </c>
      <c r="N499" s="28">
        <f>LN(Index!N500/Index!N499)</f>
        <v>1.468968117257741E-2</v>
      </c>
    </row>
    <row r="500" spans="1:14">
      <c r="A500" s="15">
        <v>41117</v>
      </c>
      <c r="B500" s="28">
        <f>LN(Index!B501/Index!B500)</f>
        <v>1.5048422705963453E-2</v>
      </c>
      <c r="C500" s="28">
        <f>LN(Index!C501/Index!C500)</f>
        <v>-1.4715524855868879E-3</v>
      </c>
      <c r="D500" s="28">
        <f>LN(Index!D501/Index!D500)</f>
        <v>9.5282724866301537E-3</v>
      </c>
      <c r="E500" s="28">
        <f>LN(Index!E501/Index!E500)</f>
        <v>9.4821939829987517E-3</v>
      </c>
      <c r="F500" s="28">
        <f>LN(Index!F501/Index!F500)</f>
        <v>1.3214837924100812E-2</v>
      </c>
      <c r="G500" s="28">
        <f>LN(Index!G501/Index!G500)</f>
        <v>-1.267823353130031E-3</v>
      </c>
      <c r="H500" s="28">
        <f>LN(Index!H501/Index!H500)</f>
        <v>8.7519185197453414E-3</v>
      </c>
      <c r="I500" s="28">
        <f>LN(Index!I501/Index!I500)</f>
        <v>2.2897978150532815E-2</v>
      </c>
      <c r="J500" s="28">
        <f>LN(Index!J501/Index!J500)</f>
        <v>5.412675599284422E-3</v>
      </c>
      <c r="K500" s="28">
        <f>LN(Index!K501/Index!K500)</f>
        <v>-2.5140798550802729E-2</v>
      </c>
      <c r="L500" s="28">
        <f>LN(Index!L501/Index!L500)</f>
        <v>2.6503253528619455E-2</v>
      </c>
      <c r="M500" s="28">
        <f>LN(Index!M501/Index!M500)</f>
        <v>1.3769629834051677E-2</v>
      </c>
      <c r="N500" s="28">
        <f>LN(Index!N501/Index!N500)</f>
        <v>8.7562627360835438E-3</v>
      </c>
    </row>
    <row r="501" spans="1:14">
      <c r="A501" s="15">
        <v>41124</v>
      </c>
      <c r="B501" s="28">
        <f>LN(Index!B502/Index!B501)</f>
        <v>7.6743534120048825E-3</v>
      </c>
      <c r="C501" s="28">
        <f>LN(Index!C502/Index!C501)</f>
        <v>8.5643940573730906E-4</v>
      </c>
      <c r="D501" s="28">
        <f>LN(Index!D502/Index!D501)</f>
        <v>1.3551083917109262E-2</v>
      </c>
      <c r="E501" s="28">
        <f>LN(Index!E502/Index!E501)</f>
        <v>6.7704367286961159E-3</v>
      </c>
      <c r="F501" s="28">
        <f>LN(Index!F502/Index!F501)</f>
        <v>-3.399538971629236E-3</v>
      </c>
      <c r="G501" s="28">
        <f>LN(Index!G502/Index!G501)</f>
        <v>9.385649072438277E-3</v>
      </c>
      <c r="H501" s="28">
        <f>LN(Index!H502/Index!H501)</f>
        <v>6.2648786980764879E-3</v>
      </c>
      <c r="I501" s="28">
        <f>LN(Index!I502/Index!I501)</f>
        <v>5.2313407332072607E-3</v>
      </c>
      <c r="J501" s="28">
        <f>LN(Index!J502/Index!J501)</f>
        <v>1.4284424131195672E-3</v>
      </c>
      <c r="K501" s="28">
        <f>LN(Index!K502/Index!K501)</f>
        <v>-2.3303265015266809E-2</v>
      </c>
      <c r="L501" s="28">
        <f>LN(Index!L502/Index!L501)</f>
        <v>1.0742631774440868E-2</v>
      </c>
      <c r="M501" s="28">
        <f>LN(Index!M502/Index!M501)</f>
        <v>-6.447490254172422E-3</v>
      </c>
      <c r="N501" s="28">
        <f>LN(Index!N502/Index!N501)</f>
        <v>-4.0659757892531397E-3</v>
      </c>
    </row>
    <row r="502" spans="1:14">
      <c r="A502" s="15">
        <v>41131</v>
      </c>
      <c r="B502" s="28">
        <f>LN(Index!B503/Index!B502)</f>
        <v>1.4744101830753363E-2</v>
      </c>
      <c r="C502" s="28">
        <f>LN(Index!C503/Index!C502)</f>
        <v>1.0700337070823286E-4</v>
      </c>
      <c r="D502" s="28">
        <f>LN(Index!D503/Index!D502)</f>
        <v>-7.694909064543131E-3</v>
      </c>
      <c r="E502" s="28">
        <f>LN(Index!E503/Index!E502)</f>
        <v>5.4616169203587604E-3</v>
      </c>
      <c r="F502" s="28">
        <f>LN(Index!F503/Index!F502)</f>
        <v>-7.1509045049481142E-3</v>
      </c>
      <c r="G502" s="28">
        <f>LN(Index!G503/Index!G502)</f>
        <v>-5.5424913517217256E-3</v>
      </c>
      <c r="H502" s="28">
        <f>LN(Index!H503/Index!H502)</f>
        <v>-1.6314403934428461E-3</v>
      </c>
      <c r="I502" s="28">
        <f>LN(Index!I503/Index!I502)</f>
        <v>-1.0444587860131548E-2</v>
      </c>
      <c r="J502" s="28">
        <f>LN(Index!J503/Index!J502)</f>
        <v>1.9564626181620866E-3</v>
      </c>
      <c r="K502" s="28">
        <f>LN(Index!K503/Index!K502)</f>
        <v>2.4283891561401906E-2</v>
      </c>
      <c r="L502" s="28">
        <f>LN(Index!L503/Index!L502)</f>
        <v>-1.0631878154544748E-2</v>
      </c>
      <c r="M502" s="28">
        <f>LN(Index!M503/Index!M502)</f>
        <v>-9.5828335342603328E-3</v>
      </c>
      <c r="N502" s="28">
        <f>LN(Index!N503/Index!N502)</f>
        <v>-4.668705066975933E-3</v>
      </c>
    </row>
    <row r="503" spans="1:14">
      <c r="A503" s="15">
        <v>41138</v>
      </c>
      <c r="B503" s="28">
        <f>LN(Index!B504/Index!B503)</f>
        <v>9.2424906256663962E-3</v>
      </c>
      <c r="C503" s="28">
        <f>LN(Index!C504/Index!C503)</f>
        <v>-7.9493382407837942E-3</v>
      </c>
      <c r="D503" s="28">
        <f>LN(Index!D504/Index!D503)</f>
        <v>5.0356545057781742E-3</v>
      </c>
      <c r="E503" s="28">
        <f>LN(Index!E504/Index!E503)</f>
        <v>2.8672926150957866E-2</v>
      </c>
      <c r="F503" s="28">
        <f>LN(Index!F504/Index!F503)</f>
        <v>-6.2071992007487462E-4</v>
      </c>
      <c r="G503" s="28">
        <f>LN(Index!G504/Index!G503)</f>
        <v>8.9926671723885489E-3</v>
      </c>
      <c r="H503" s="28">
        <f>LN(Index!H504/Index!H503)</f>
        <v>-3.4325300163305417E-4</v>
      </c>
      <c r="I503" s="28">
        <f>LN(Index!I504/Index!I503)</f>
        <v>6.5663423638835225E-3</v>
      </c>
      <c r="J503" s="28">
        <f>LN(Index!J504/Index!J503)</f>
        <v>1.8467682307369438E-2</v>
      </c>
      <c r="K503" s="28">
        <f>LN(Index!K504/Index!K503)</f>
        <v>6.4009140720934488E-4</v>
      </c>
      <c r="L503" s="28">
        <f>LN(Index!L504/Index!L503)</f>
        <v>9.3364160640424208E-3</v>
      </c>
      <c r="M503" s="28">
        <f>LN(Index!M504/Index!M503)</f>
        <v>2.5253738068872489E-2</v>
      </c>
      <c r="N503" s="28">
        <f>LN(Index!N504/Index!N503)</f>
        <v>7.425226732821727E-3</v>
      </c>
    </row>
    <row r="504" spans="1:14">
      <c r="A504" s="15">
        <v>41145</v>
      </c>
      <c r="B504" s="28">
        <f>LN(Index!B505/Index!B504)</f>
        <v>-3.408295775887285E-3</v>
      </c>
      <c r="C504" s="28">
        <f>LN(Index!C505/Index!C504)</f>
        <v>8.484183415859289E-3</v>
      </c>
      <c r="D504" s="28">
        <f>LN(Index!D505/Index!D504)</f>
        <v>-2.4843227852991748E-3</v>
      </c>
      <c r="E504" s="28">
        <f>LN(Index!E505/Index!E504)</f>
        <v>3.5703053748688375E-3</v>
      </c>
      <c r="F504" s="28">
        <f>LN(Index!F505/Index!F504)</f>
        <v>-8.7648208074628843E-3</v>
      </c>
      <c r="G504" s="28">
        <f>LN(Index!G505/Index!G504)</f>
        <v>1.1235137059715451E-2</v>
      </c>
      <c r="H504" s="28">
        <f>LN(Index!H505/Index!H504)</f>
        <v>-6.3610558083799463E-3</v>
      </c>
      <c r="I504" s="28">
        <f>LN(Index!I505/Index!I504)</f>
        <v>3.0460706033825408E-2</v>
      </c>
      <c r="J504" s="28">
        <f>LN(Index!J505/Index!J504)</f>
        <v>-6.5353777132420394E-3</v>
      </c>
      <c r="K504" s="28">
        <f>LN(Index!K505/Index!K504)</f>
        <v>-5.2955220492610583E-3</v>
      </c>
      <c r="L504" s="28">
        <f>LN(Index!L505/Index!L504)</f>
        <v>-1.1617249204575927E-2</v>
      </c>
      <c r="M504" s="28">
        <f>LN(Index!M505/Index!M504)</f>
        <v>5.1639468196622088E-3</v>
      </c>
      <c r="N504" s="28">
        <f>LN(Index!N505/Index!N504)</f>
        <v>-3.1826547296556879E-3</v>
      </c>
    </row>
    <row r="505" spans="1:14">
      <c r="A505" s="15">
        <v>41152</v>
      </c>
      <c r="B505" s="28">
        <f>LN(Index!B506/Index!B505)</f>
        <v>-5.1695013858304752E-3</v>
      </c>
      <c r="C505" s="28">
        <f>LN(Index!C506/Index!C505)</f>
        <v>5.1200111848545551E-3</v>
      </c>
      <c r="D505" s="28">
        <f>LN(Index!D506/Index!D505)</f>
        <v>-1.9432811119356767E-3</v>
      </c>
      <c r="E505" s="28">
        <f>LN(Index!E506/Index!E505)</f>
        <v>-2.9924220370413537E-3</v>
      </c>
      <c r="F505" s="28">
        <f>LN(Index!F506/Index!F505)</f>
        <v>-4.951780691819267E-3</v>
      </c>
      <c r="G505" s="28">
        <f>LN(Index!G506/Index!G505)</f>
        <v>3.6780670043329682E-3</v>
      </c>
      <c r="H505" s="28">
        <f>LN(Index!H506/Index!H505)</f>
        <v>-7.1818215882040555E-3</v>
      </c>
      <c r="I505" s="28">
        <f>LN(Index!I506/Index!I505)</f>
        <v>-6.4231480496577432E-3</v>
      </c>
      <c r="J505" s="28">
        <f>LN(Index!J506/Index!J505)</f>
        <v>-9.8110469252362838E-3</v>
      </c>
      <c r="K505" s="28">
        <f>LN(Index!K506/Index!K505)</f>
        <v>-3.1318444988321717E-2</v>
      </c>
      <c r="L505" s="28">
        <f>LN(Index!L506/Index!L505)</f>
        <v>6.2417230471388963E-3</v>
      </c>
      <c r="M505" s="28">
        <f>LN(Index!M506/Index!M505)</f>
        <v>4.3256568466092885E-3</v>
      </c>
      <c r="N505" s="28">
        <f>LN(Index!N506/Index!N505)</f>
        <v>-2.4277644765590945E-3</v>
      </c>
    </row>
    <row r="506" spans="1:14">
      <c r="A506" s="15">
        <v>41159</v>
      </c>
      <c r="B506" s="28">
        <f>LN(Index!B507/Index!B506)</f>
        <v>2.5370964379798459E-2</v>
      </c>
      <c r="C506" s="28">
        <f>LN(Index!C507/Index!C506)</f>
        <v>7.7106131098480786E-4</v>
      </c>
      <c r="D506" s="28">
        <f>LN(Index!D507/Index!D506)</f>
        <v>1.9861028381741377E-2</v>
      </c>
      <c r="E506" s="28">
        <f>LN(Index!E507/Index!E506)</f>
        <v>3.0413530739029745E-2</v>
      </c>
      <c r="F506" s="28">
        <f>LN(Index!F507/Index!F506)</f>
        <v>1.8221553446024993E-2</v>
      </c>
      <c r="G506" s="28">
        <f>LN(Index!G507/Index!G506)</f>
        <v>6.5952530828749514E-3</v>
      </c>
      <c r="H506" s="28">
        <f>LN(Index!H507/Index!H506)</f>
        <v>1.593279930306268E-2</v>
      </c>
      <c r="I506" s="28">
        <f>LN(Index!I507/Index!I506)</f>
        <v>8.9316700637731578E-3</v>
      </c>
      <c r="J506" s="28">
        <f>LN(Index!J507/Index!J506)</f>
        <v>7.0981453080967366E-3</v>
      </c>
      <c r="K506" s="28">
        <f>LN(Index!K507/Index!K506)</f>
        <v>2.7262489130773736E-2</v>
      </c>
      <c r="L506" s="28">
        <f>LN(Index!L507/Index!L506)</f>
        <v>2.0425473070214941E-2</v>
      </c>
      <c r="M506" s="28">
        <f>LN(Index!M507/Index!M506)</f>
        <v>3.6803987808834572E-2</v>
      </c>
      <c r="N506" s="28">
        <f>LN(Index!N507/Index!N506)</f>
        <v>2.0505046723912256E-2</v>
      </c>
    </row>
    <row r="507" spans="1:14">
      <c r="A507" s="15">
        <v>41166</v>
      </c>
      <c r="B507" s="28">
        <f>LN(Index!B508/Index!B507)</f>
        <v>2.671898884959617E-2</v>
      </c>
      <c r="C507" s="28">
        <f>LN(Index!C508/Index!C507)</f>
        <v>-1.356401223932541E-3</v>
      </c>
      <c r="D507" s="28">
        <f>LN(Index!D508/Index!D507)</f>
        <v>2.4371349865204662E-2</v>
      </c>
      <c r="E507" s="28">
        <f>LN(Index!E508/Index!E507)</f>
        <v>2.2143171168919999E-2</v>
      </c>
      <c r="F507" s="28">
        <f>LN(Index!F508/Index!F507)</f>
        <v>2.7173838601982367E-3</v>
      </c>
      <c r="G507" s="28">
        <f>LN(Index!G508/Index!G507)</f>
        <v>1.112543773949776E-2</v>
      </c>
      <c r="H507" s="28">
        <f>LN(Index!H508/Index!H507)</f>
        <v>-1.6088058802821777E-4</v>
      </c>
      <c r="I507" s="28">
        <f>LN(Index!I508/Index!I507)</f>
        <v>2.028437324585514E-2</v>
      </c>
      <c r="J507" s="28">
        <f>LN(Index!J508/Index!J507)</f>
        <v>-2.622452767825733E-2</v>
      </c>
      <c r="K507" s="28">
        <f>LN(Index!K508/Index!K507)</f>
        <v>4.4562790471135892E-2</v>
      </c>
      <c r="L507" s="28">
        <f>LN(Index!L508/Index!L507)</f>
        <v>-4.5674781414575937E-3</v>
      </c>
      <c r="M507" s="28">
        <f>LN(Index!M508/Index!M507)</f>
        <v>4.2396752608022427E-2</v>
      </c>
      <c r="N507" s="28">
        <f>LN(Index!N508/Index!N507)</f>
        <v>1.1784424458103657E-2</v>
      </c>
    </row>
    <row r="508" spans="1:14">
      <c r="A508" s="15">
        <v>41173</v>
      </c>
      <c r="B508" s="28">
        <f>LN(Index!B509/Index!B508)</f>
        <v>-7.1193229067145827E-3</v>
      </c>
      <c r="C508" s="28">
        <f>LN(Index!C509/Index!C508)</f>
        <v>3.400821599613225E-3</v>
      </c>
      <c r="D508" s="28">
        <f>LN(Index!D509/Index!D508)</f>
        <v>-2.0802254410312217E-2</v>
      </c>
      <c r="E508" s="28">
        <f>LN(Index!E509/Index!E508)</f>
        <v>9.8053996848306881E-3</v>
      </c>
      <c r="F508" s="28">
        <f>LN(Index!F509/Index!F508)</f>
        <v>-5.9239868880838677E-3</v>
      </c>
      <c r="G508" s="28">
        <f>LN(Index!G509/Index!G508)</f>
        <v>3.6088432296318487E-3</v>
      </c>
      <c r="H508" s="28">
        <f>LN(Index!H509/Index!H508)</f>
        <v>-1.3191586305358498E-3</v>
      </c>
      <c r="I508" s="28">
        <f>LN(Index!I509/Index!I508)</f>
        <v>-8.6015470115060489E-3</v>
      </c>
      <c r="J508" s="28">
        <f>LN(Index!J509/Index!J508)</f>
        <v>2.0546986729590506E-2</v>
      </c>
      <c r="K508" s="28">
        <f>LN(Index!K509/Index!K508)</f>
        <v>8.4039675045418424E-3</v>
      </c>
      <c r="L508" s="28">
        <f>LN(Index!L509/Index!L508)</f>
        <v>6.8676657923201134E-3</v>
      </c>
      <c r="M508" s="28">
        <f>LN(Index!M509/Index!M508)</f>
        <v>-6.7389625867618876E-3</v>
      </c>
      <c r="N508" s="28">
        <f>LN(Index!N509/Index!N508)</f>
        <v>-5.6336016746560405E-3</v>
      </c>
    </row>
    <row r="509" spans="1:14">
      <c r="A509" s="15">
        <v>41180</v>
      </c>
      <c r="B509" s="28">
        <f>LN(Index!B510/Index!B509)</f>
        <v>-2.0041809890806724E-2</v>
      </c>
      <c r="C509" s="28">
        <f>LN(Index!C510/Index!C509)</f>
        <v>3.1513604725215568E-3</v>
      </c>
      <c r="D509" s="28">
        <f>LN(Index!D510/Index!D509)</f>
        <v>-6.6128744751845128E-3</v>
      </c>
      <c r="E509" s="28">
        <f>LN(Index!E510/Index!E509)</f>
        <v>-2.4993948383889818E-2</v>
      </c>
      <c r="F509" s="28">
        <f>LN(Index!F510/Index!F509)</f>
        <v>3.6096446541062348E-3</v>
      </c>
      <c r="G509" s="28">
        <f>LN(Index!G510/Index!G509)</f>
        <v>-1.3320936478046861E-3</v>
      </c>
      <c r="H509" s="28">
        <f>LN(Index!H510/Index!H509)</f>
        <v>-2.5028697186550786E-3</v>
      </c>
      <c r="I509" s="28">
        <f>LN(Index!I510/Index!I509)</f>
        <v>-6.2049082632663578E-3</v>
      </c>
      <c r="J509" s="28">
        <f>LN(Index!J510/Index!J509)</f>
        <v>-2.9046283684989981E-3</v>
      </c>
      <c r="K509" s="28">
        <f>LN(Index!K510/Index!K509)</f>
        <v>-1.2236584633147455E-2</v>
      </c>
      <c r="L509" s="28">
        <f>LN(Index!L510/Index!L509)</f>
        <v>-4.4169158319807335E-4</v>
      </c>
      <c r="M509" s="28">
        <f>LN(Index!M510/Index!M509)</f>
        <v>-4.0823287887673108E-2</v>
      </c>
      <c r="N509" s="28">
        <f>LN(Index!N510/Index!N509)</f>
        <v>9.2251251410033631E-4</v>
      </c>
    </row>
    <row r="510" spans="1:14">
      <c r="A510" s="15">
        <v>41187</v>
      </c>
      <c r="B510" s="28">
        <f>LN(Index!B511/Index!B510)</f>
        <v>1.7482579555223976E-2</v>
      </c>
      <c r="C510" s="28">
        <f>LN(Index!C511/Index!C510)</f>
        <v>-1.534716643316458E-3</v>
      </c>
      <c r="D510" s="28">
        <f>LN(Index!D511/Index!D510)</f>
        <v>7.8590545017512073E-3</v>
      </c>
      <c r="E510" s="28">
        <f>LN(Index!E511/Index!E510)</f>
        <v>2.8697554422985758E-2</v>
      </c>
      <c r="F510" s="28">
        <f>LN(Index!F511/Index!F510)</f>
        <v>1.9822643430237936E-2</v>
      </c>
      <c r="G510" s="28">
        <f>LN(Index!G511/Index!G510)</f>
        <v>3.5242664327624438E-3</v>
      </c>
      <c r="H510" s="28">
        <f>LN(Index!H511/Index!H510)</f>
        <v>1.8577120724429425E-2</v>
      </c>
      <c r="I510" s="28">
        <f>LN(Index!I511/Index!I510)</f>
        <v>6.8279498256318544E-3</v>
      </c>
      <c r="J510" s="28">
        <f>LN(Index!J511/Index!J510)</f>
        <v>2.1007037918339563E-2</v>
      </c>
      <c r="K510" s="28">
        <f>LN(Index!K511/Index!K510)</f>
        <v>2.8158686508273918E-2</v>
      </c>
      <c r="L510" s="28">
        <f>LN(Index!L511/Index!L510)</f>
        <v>2.4126579754086473E-2</v>
      </c>
      <c r="M510" s="28">
        <f>LN(Index!M511/Index!M510)</f>
        <v>3.186421906659731E-2</v>
      </c>
      <c r="N510" s="28">
        <f>LN(Index!N511/Index!N510)</f>
        <v>2.0507298953186905E-2</v>
      </c>
    </row>
    <row r="511" spans="1:14">
      <c r="A511" s="15">
        <v>41194</v>
      </c>
      <c r="B511" s="28">
        <f>LN(Index!B512/Index!B511)</f>
        <v>-2.16697552073516E-2</v>
      </c>
      <c r="C511" s="28">
        <f>LN(Index!C512/Index!C511)</f>
        <v>3.7004773546332622E-3</v>
      </c>
      <c r="D511" s="28">
        <f>LN(Index!D512/Index!D511)</f>
        <v>-8.9953842792382718E-3</v>
      </c>
      <c r="E511" s="28">
        <f>LN(Index!E512/Index!E511)</f>
        <v>-2.224013132656693E-2</v>
      </c>
      <c r="F511" s="28">
        <f>LN(Index!F512/Index!F511)</f>
        <v>-1.8648032343113321E-2</v>
      </c>
      <c r="G511" s="28">
        <f>LN(Index!G512/Index!G511)</f>
        <v>-5.7754057431619408E-3</v>
      </c>
      <c r="H511" s="28">
        <f>LN(Index!H512/Index!H511)</f>
        <v>-1.3204451193474662E-2</v>
      </c>
      <c r="I511" s="28">
        <f>LN(Index!I512/Index!I511)</f>
        <v>-1.1473336330678948E-2</v>
      </c>
      <c r="J511" s="28">
        <f>LN(Index!J512/Index!J511)</f>
        <v>-1.8217208250445347E-2</v>
      </c>
      <c r="K511" s="28">
        <f>LN(Index!K512/Index!K511)</f>
        <v>-3.3959202656693357E-3</v>
      </c>
      <c r="L511" s="28">
        <f>LN(Index!L512/Index!L511)</f>
        <v>-1.4006536113084866E-2</v>
      </c>
      <c r="M511" s="28">
        <f>LN(Index!M512/Index!M511)</f>
        <v>-1.667529927984061E-2</v>
      </c>
      <c r="N511" s="28">
        <f>LN(Index!N512/Index!N511)</f>
        <v>-2.1590639381765954E-2</v>
      </c>
    </row>
    <row r="512" spans="1:14">
      <c r="A512" s="15">
        <v>41201</v>
      </c>
      <c r="B512" s="28">
        <f>LN(Index!B513/Index!B512)</f>
        <v>1.237317463288526E-2</v>
      </c>
      <c r="C512" s="28">
        <f>LN(Index!C513/Index!C512)</f>
        <v>-2.668253349794297E-3</v>
      </c>
      <c r="D512" s="28">
        <f>LN(Index!D513/Index!D512)</f>
        <v>1.596899566195556E-2</v>
      </c>
      <c r="E512" s="28">
        <f>LN(Index!E513/Index!E512)</f>
        <v>1.3711892068879612E-2</v>
      </c>
      <c r="F512" s="28">
        <f>LN(Index!F513/Index!F512)</f>
        <v>8.010866472087326E-3</v>
      </c>
      <c r="G512" s="28">
        <f>LN(Index!G513/Index!G512)</f>
        <v>1.1753908619970414E-2</v>
      </c>
      <c r="H512" s="28">
        <f>LN(Index!H513/Index!H512)</f>
        <v>1.4400434060727392E-2</v>
      </c>
      <c r="I512" s="28">
        <f>LN(Index!I513/Index!I512)</f>
        <v>2.6439028586319753E-2</v>
      </c>
      <c r="J512" s="28">
        <f>LN(Index!J513/Index!J512)</f>
        <v>5.3661178704975873E-3</v>
      </c>
      <c r="K512" s="28">
        <f>LN(Index!K513/Index!K512)</f>
        <v>3.9383034793340405E-2</v>
      </c>
      <c r="L512" s="28">
        <f>LN(Index!L513/Index!L512)</f>
        <v>1.699524002171654E-2</v>
      </c>
      <c r="M512" s="28">
        <f>LN(Index!M513/Index!M512)</f>
        <v>1.8161900583809298E-2</v>
      </c>
      <c r="N512" s="28">
        <f>LN(Index!N513/Index!N512)</f>
        <v>2.486442840907105E-3</v>
      </c>
    </row>
    <row r="513" spans="1:14">
      <c r="A513" s="15">
        <v>41208</v>
      </c>
      <c r="B513" s="28">
        <f>LN(Index!B514/Index!B513)</f>
        <v>-1.6816347410176569E-2</v>
      </c>
      <c r="C513" s="28">
        <f>LN(Index!C514/Index!C513)</f>
        <v>-1.3235568546781913E-3</v>
      </c>
      <c r="D513" s="28">
        <f>LN(Index!D514/Index!D513)</f>
        <v>-1.1550550451203094E-2</v>
      </c>
      <c r="E513" s="28">
        <f>LN(Index!E514/Index!E513)</f>
        <v>-8.0988730823532019E-3</v>
      </c>
      <c r="F513" s="28">
        <f>LN(Index!F514/Index!F513)</f>
        <v>-5.8431399427217529E-3</v>
      </c>
      <c r="G513" s="28">
        <f>LN(Index!G514/Index!G513)</f>
        <v>-9.438890457920502E-3</v>
      </c>
      <c r="H513" s="28">
        <f>LN(Index!H514/Index!H513)</f>
        <v>-1.0314954049383445E-2</v>
      </c>
      <c r="I513" s="28">
        <f>LN(Index!I514/Index!I513)</f>
        <v>-4.6669810067315768E-3</v>
      </c>
      <c r="J513" s="28">
        <f>LN(Index!J514/Index!J513)</f>
        <v>-8.5320966206858685E-3</v>
      </c>
      <c r="K513" s="28">
        <f>LN(Index!K514/Index!K513)</f>
        <v>-2.6690132533107327E-2</v>
      </c>
      <c r="L513" s="28">
        <f>LN(Index!L514/Index!L513)</f>
        <v>-5.0231432374161697E-4</v>
      </c>
      <c r="M513" s="28">
        <f>LN(Index!M514/Index!M513)</f>
        <v>-5.1093293292141706E-4</v>
      </c>
      <c r="N513" s="28">
        <f>LN(Index!N514/Index!N513)</f>
        <v>-7.3760510573080791E-3</v>
      </c>
    </row>
    <row r="514" spans="1:14">
      <c r="A514" s="15">
        <v>41215</v>
      </c>
      <c r="B514" s="28">
        <f>LN(Index!B515/Index!B514)</f>
        <v>4.2517331892972061E-3</v>
      </c>
      <c r="C514" s="28">
        <f>LN(Index!C515/Index!C514)</f>
        <v>-1.2457427694759599E-3</v>
      </c>
      <c r="D514" s="28">
        <f>LN(Index!D515/Index!D514)</f>
        <v>1.2551227463216267E-2</v>
      </c>
      <c r="E514" s="28">
        <f>LN(Index!E515/Index!E514)</f>
        <v>-2.4171015165716917E-3</v>
      </c>
      <c r="F514" s="28">
        <f>LN(Index!F515/Index!F514)</f>
        <v>-2.5937830805588796E-3</v>
      </c>
      <c r="G514" s="28">
        <f>LN(Index!G515/Index!G514)</f>
        <v>8.227462365458996E-3</v>
      </c>
      <c r="H514" s="28">
        <f>LN(Index!H515/Index!H514)</f>
        <v>3.6635990884393904E-4</v>
      </c>
      <c r="I514" s="28">
        <f>LN(Index!I515/Index!I514)</f>
        <v>-4.9450359266947181E-5</v>
      </c>
      <c r="J514" s="28">
        <f>LN(Index!J515/Index!J514)</f>
        <v>-3.6052897520136407E-2</v>
      </c>
      <c r="K514" s="28">
        <f>LN(Index!K515/Index!K514)</f>
        <v>1.8699450607267448E-2</v>
      </c>
      <c r="L514" s="28">
        <f>LN(Index!L515/Index!L514)</f>
        <v>1.5150722678453986E-2</v>
      </c>
      <c r="M514" s="28">
        <f>LN(Index!M515/Index!M514)</f>
        <v>8.6143642422629018E-3</v>
      </c>
      <c r="N514" s="28">
        <f>LN(Index!N515/Index!N514)</f>
        <v>-5.2385375127174819E-3</v>
      </c>
    </row>
    <row r="515" spans="1:14">
      <c r="A515" s="15">
        <v>41222</v>
      </c>
      <c r="B515" s="28">
        <f>LN(Index!B516/Index!B515)</f>
        <v>-2.3047046303715839E-2</v>
      </c>
      <c r="C515" s="28">
        <f>LN(Index!C516/Index!C515)</f>
        <v>3.4154575888611953E-3</v>
      </c>
      <c r="D515" s="28">
        <f>LN(Index!D516/Index!D515)</f>
        <v>-1.984616533872794E-2</v>
      </c>
      <c r="E515" s="28">
        <f>LN(Index!E516/Index!E515)</f>
        <v>-3.4494335020187811E-2</v>
      </c>
      <c r="F515" s="28">
        <f>LN(Index!F516/Index!F515)</f>
        <v>-2.4927356719091871E-2</v>
      </c>
      <c r="G515" s="28">
        <f>LN(Index!G516/Index!G515)</f>
        <v>-6.4022522681049503E-3</v>
      </c>
      <c r="H515" s="28">
        <f>LN(Index!H516/Index!H515)</f>
        <v>-3.4055623559237261E-2</v>
      </c>
      <c r="I515" s="28">
        <f>LN(Index!I516/Index!I515)</f>
        <v>2.9594147543680603E-3</v>
      </c>
      <c r="J515" s="28">
        <f>LN(Index!J516/Index!J515)</f>
        <v>-2.2735021521093426E-2</v>
      </c>
      <c r="K515" s="28">
        <f>LN(Index!K516/Index!K515)</f>
        <v>-2.4482597034582766E-2</v>
      </c>
      <c r="L515" s="28">
        <f>LN(Index!L516/Index!L515)</f>
        <v>-5.1074954940855382E-3</v>
      </c>
      <c r="M515" s="28">
        <f>LN(Index!M516/Index!M515)</f>
        <v>-3.5784921461088595E-2</v>
      </c>
      <c r="N515" s="28">
        <f>LN(Index!N516/Index!N515)</f>
        <v>-2.4224802633802781E-2</v>
      </c>
    </row>
    <row r="516" spans="1:14">
      <c r="A516" s="15">
        <v>41229</v>
      </c>
      <c r="B516" s="28">
        <f>LN(Index!B517/Index!B516)</f>
        <v>-1.7957807241835821E-2</v>
      </c>
      <c r="C516" s="28">
        <f>LN(Index!C517/Index!C516)</f>
        <v>-2.9912006949521595E-3</v>
      </c>
      <c r="D516" s="28">
        <f>LN(Index!D517/Index!D516)</f>
        <v>-1.3108406007782625E-2</v>
      </c>
      <c r="E516" s="28">
        <f>LN(Index!E517/Index!E516)</f>
        <v>-1.5017144744662921E-2</v>
      </c>
      <c r="F516" s="28">
        <f>LN(Index!F517/Index!F516)</f>
        <v>-9.7174230184507195E-3</v>
      </c>
      <c r="G516" s="28">
        <f>LN(Index!G517/Index!G516)</f>
        <v>-1.3273338365832785E-2</v>
      </c>
      <c r="H516" s="28">
        <f>LN(Index!H517/Index!H516)</f>
        <v>-7.2589669269398256E-3</v>
      </c>
      <c r="I516" s="28">
        <f>LN(Index!I517/Index!I516)</f>
        <v>-2.0177484711247522E-2</v>
      </c>
      <c r="J516" s="28">
        <f>LN(Index!J517/Index!J516)</f>
        <v>-1.3452511118692832E-2</v>
      </c>
      <c r="K516" s="28">
        <f>LN(Index!K517/Index!K516)</f>
        <v>-3.6784858505165982E-2</v>
      </c>
      <c r="L516" s="28">
        <f>LN(Index!L517/Index!L516)</f>
        <v>-2.1277617361174624E-2</v>
      </c>
      <c r="M516" s="28">
        <f>LN(Index!M517/Index!M516)</f>
        <v>-1.2260235520342945E-2</v>
      </c>
      <c r="N516" s="28">
        <f>LN(Index!N517/Index!N516)</f>
        <v>-8.1171282313664966E-3</v>
      </c>
    </row>
    <row r="517" spans="1:14">
      <c r="A517" s="15">
        <v>41236</v>
      </c>
      <c r="B517" s="28">
        <f>LN(Index!B518/Index!B517)</f>
        <v>4.0300040100404347E-2</v>
      </c>
      <c r="C517" s="28">
        <f>LN(Index!C518/Index!C517)</f>
        <v>-2.0433895519779118E-3</v>
      </c>
      <c r="D517" s="28">
        <f>LN(Index!D518/Index!D517)</f>
        <v>2.4268370249666878E-2</v>
      </c>
      <c r="E517" s="28">
        <f>LN(Index!E518/Index!E517)</f>
        <v>4.2602220741844644E-2</v>
      </c>
      <c r="F517" s="28">
        <f>LN(Index!F518/Index!F517)</f>
        <v>1.7168557505857655E-2</v>
      </c>
      <c r="G517" s="28">
        <f>LN(Index!G518/Index!G517)</f>
        <v>2.2522438567572481E-2</v>
      </c>
      <c r="H517" s="28">
        <f>LN(Index!H518/Index!H517)</f>
        <v>1.5297287721362915E-2</v>
      </c>
      <c r="I517" s="28">
        <f>LN(Index!I518/Index!I517)</f>
        <v>3.0504418755846106E-2</v>
      </c>
      <c r="J517" s="28">
        <f>LN(Index!J518/Index!J517)</f>
        <v>2.6533581515204772E-2</v>
      </c>
      <c r="K517" s="28">
        <f>LN(Index!K518/Index!K517)</f>
        <v>2.1510489747386483E-2</v>
      </c>
      <c r="L517" s="28">
        <f>LN(Index!L518/Index!L517)</f>
        <v>2.5434853516329809E-2</v>
      </c>
      <c r="M517" s="28">
        <f>LN(Index!M518/Index!M517)</f>
        <v>3.5590451950734001E-2</v>
      </c>
      <c r="N517" s="28">
        <f>LN(Index!N518/Index!N517)</f>
        <v>2.6525283577120785E-2</v>
      </c>
    </row>
    <row r="518" spans="1:14">
      <c r="A518" s="15">
        <v>41243</v>
      </c>
      <c r="B518" s="28">
        <f>LN(Index!B519/Index!B518)</f>
        <v>8.1211281574273628E-3</v>
      </c>
      <c r="C518" s="28">
        <f>LN(Index!C519/Index!C518)</f>
        <v>3.447456277112953E-3</v>
      </c>
      <c r="D518" s="28">
        <f>LN(Index!D519/Index!D518)</f>
        <v>4.5002444495433414E-3</v>
      </c>
      <c r="E518" s="28">
        <f>LN(Index!E519/Index!E518)</f>
        <v>8.870912774999894E-3</v>
      </c>
      <c r="F518" s="28">
        <f>LN(Index!F519/Index!F518)</f>
        <v>1.273712394664956E-2</v>
      </c>
      <c r="G518" s="28">
        <f>LN(Index!G519/Index!G518)</f>
        <v>1.1148779689416525E-2</v>
      </c>
      <c r="H518" s="28">
        <f>LN(Index!H519/Index!H518)</f>
        <v>1.1419489632838554E-2</v>
      </c>
      <c r="I518" s="28">
        <f>LN(Index!I519/Index!I518)</f>
        <v>1.5623098622637983E-2</v>
      </c>
      <c r="J518" s="28">
        <f>LN(Index!J519/Index!J518)</f>
        <v>1.528555529526235E-2</v>
      </c>
      <c r="K518" s="28">
        <f>LN(Index!K519/Index!K518)</f>
        <v>1.7296511439983394E-2</v>
      </c>
      <c r="L518" s="28">
        <f>LN(Index!L519/Index!L518)</f>
        <v>5.8357022080074454E-3</v>
      </c>
      <c r="M518" s="28">
        <f>LN(Index!M519/Index!M518)</f>
        <v>2.1169772095124818E-2</v>
      </c>
      <c r="N518" s="28">
        <f>LN(Index!N519/Index!N518)</f>
        <v>1.0095490142000316E-2</v>
      </c>
    </row>
    <row r="519" spans="1:14">
      <c r="A519" s="15">
        <v>41250</v>
      </c>
      <c r="B519" s="28">
        <f>LN(Index!B520/Index!B519)</f>
        <v>3.982965781062657E-3</v>
      </c>
      <c r="C519" s="28">
        <f>LN(Index!C520/Index!C519)</f>
        <v>-2.1180831426815703E-4</v>
      </c>
      <c r="D519" s="28">
        <f>LN(Index!D520/Index!D519)</f>
        <v>1.1630087034785533E-2</v>
      </c>
      <c r="E519" s="28">
        <f>LN(Index!E520/Index!E519)</f>
        <v>-3.107731362619482E-3</v>
      </c>
      <c r="F519" s="28">
        <f>LN(Index!F520/Index!F519)</f>
        <v>9.9070965148890253E-4</v>
      </c>
      <c r="G519" s="28">
        <f>LN(Index!G520/Index!G519)</f>
        <v>8.1713017243604091E-3</v>
      </c>
      <c r="H519" s="28">
        <f>LN(Index!H520/Index!H519)</f>
        <v>1.4594762601013161E-3</v>
      </c>
      <c r="I519" s="28">
        <f>LN(Index!I520/Index!I519)</f>
        <v>1.8440560691243325E-2</v>
      </c>
      <c r="J519" s="28">
        <f>LN(Index!J520/Index!J519)</f>
        <v>-9.6514215138956746E-3</v>
      </c>
      <c r="K519" s="28">
        <f>LN(Index!K520/Index!K519)</f>
        <v>-3.4789553879691999E-3</v>
      </c>
      <c r="L519" s="28">
        <f>LN(Index!L520/Index!L519)</f>
        <v>7.4042972762706095E-3</v>
      </c>
      <c r="M519" s="28">
        <f>LN(Index!M520/Index!M519)</f>
        <v>7.3228601314218626E-3</v>
      </c>
      <c r="N519" s="28">
        <f>LN(Index!N520/Index!N519)</f>
        <v>-4.2565392165123841E-4</v>
      </c>
    </row>
    <row r="520" spans="1:14">
      <c r="A520" s="15">
        <v>41257</v>
      </c>
      <c r="B520" s="28">
        <f>LN(Index!B521/Index!B520)</f>
        <v>3.590016817575471E-3</v>
      </c>
      <c r="C520" s="28">
        <f>LN(Index!C521/Index!C520)</f>
        <v>-1.6165153047758671E-3</v>
      </c>
      <c r="D520" s="28">
        <f>LN(Index!D521/Index!D520)</f>
        <v>1.9835488680738575E-3</v>
      </c>
      <c r="E520" s="28">
        <f>LN(Index!E521/Index!E520)</f>
        <v>1.7656390211084574E-2</v>
      </c>
      <c r="F520" s="28">
        <f>LN(Index!F521/Index!F520)</f>
        <v>4.1040074139654312E-3</v>
      </c>
      <c r="G520" s="28">
        <f>LN(Index!G521/Index!G520)</f>
        <v>-5.5370300620863431E-4</v>
      </c>
      <c r="H520" s="28">
        <f>LN(Index!H521/Index!H520)</f>
        <v>6.05053322135953E-3</v>
      </c>
      <c r="I520" s="28">
        <f>LN(Index!I521/Index!I520)</f>
        <v>1.0493899325793676E-2</v>
      </c>
      <c r="J520" s="28">
        <f>LN(Index!J521/Index!J520)</f>
        <v>7.9402928211794298E-3</v>
      </c>
      <c r="K520" s="28">
        <f>LN(Index!K521/Index!K520)</f>
        <v>5.090860287066058E-5</v>
      </c>
      <c r="L520" s="28">
        <f>LN(Index!L521/Index!L520)</f>
        <v>2.0920904658546759E-2</v>
      </c>
      <c r="M520" s="28">
        <f>LN(Index!M521/Index!M520)</f>
        <v>1.7266115210229735E-2</v>
      </c>
      <c r="N520" s="28">
        <f>LN(Index!N521/Index!N520)</f>
        <v>2.9056152885000132E-3</v>
      </c>
    </row>
    <row r="521" spans="1:14">
      <c r="A521" s="15">
        <v>41264</v>
      </c>
      <c r="B521" s="28">
        <f>LN(Index!B522/Index!B521)</f>
        <v>1.1678143632334152E-2</v>
      </c>
      <c r="C521" s="28">
        <f>LN(Index!C522/Index!C521)</f>
        <v>-3.7137249087222586E-4</v>
      </c>
      <c r="D521" s="28">
        <f>LN(Index!D522/Index!D521)</f>
        <v>1.7791596840767601E-2</v>
      </c>
      <c r="E521" s="28">
        <f>LN(Index!E522/Index!E521)</f>
        <v>7.9229554578633503E-3</v>
      </c>
      <c r="F521" s="28">
        <f>LN(Index!F522/Index!F521)</f>
        <v>1.4151800130401385E-2</v>
      </c>
      <c r="G521" s="28">
        <f>LN(Index!G522/Index!G521)</f>
        <v>-9.2807609013250258E-3</v>
      </c>
      <c r="H521" s="28">
        <f>LN(Index!H522/Index!H521)</f>
        <v>7.4282432335147051E-3</v>
      </c>
      <c r="I521" s="28">
        <f>LN(Index!I522/Index!I521)</f>
        <v>-9.7772539497024587E-3</v>
      </c>
      <c r="J521" s="28">
        <f>LN(Index!J522/Index!J521)</f>
        <v>6.2244185525255971E-3</v>
      </c>
      <c r="K521" s="28">
        <f>LN(Index!K522/Index!K521)</f>
        <v>8.0524973900198676E-3</v>
      </c>
      <c r="L521" s="28">
        <f>LN(Index!L522/Index!L521)</f>
        <v>4.7715614718045257E-3</v>
      </c>
      <c r="M521" s="28">
        <f>LN(Index!M522/Index!M521)</f>
        <v>9.2239040173922159E-3</v>
      </c>
      <c r="N521" s="28">
        <f>LN(Index!N522/Index!N521)</f>
        <v>1.4184882058199342E-2</v>
      </c>
    </row>
    <row r="522" spans="1:14">
      <c r="A522" s="15">
        <v>41271</v>
      </c>
      <c r="B522" s="28">
        <f>LN(Index!B523/Index!B522)</f>
        <v>-1.0660170667748315E-2</v>
      </c>
      <c r="C522" s="28">
        <f>LN(Index!C523/Index!C522)</f>
        <v>-8.4936965955716972E-4</v>
      </c>
      <c r="D522" s="28">
        <f>LN(Index!D523/Index!D522)</f>
        <v>-2.2927901824460772E-3</v>
      </c>
      <c r="E522" s="28">
        <f>LN(Index!E523/Index!E522)</f>
        <v>-1.0216459477284448E-3</v>
      </c>
      <c r="F522" s="28">
        <f>LN(Index!F523/Index!F522)</f>
        <v>-1.6751402585870916E-2</v>
      </c>
      <c r="G522" s="28">
        <f>LN(Index!G523/Index!G522)</f>
        <v>-4.7923414403066031E-3</v>
      </c>
      <c r="H522" s="28">
        <f>LN(Index!H523/Index!H522)</f>
        <v>-1.3484003750768079E-2</v>
      </c>
      <c r="I522" s="28">
        <f>LN(Index!I523/Index!I522)</f>
        <v>-1.4998847240503257E-3</v>
      </c>
      <c r="J522" s="28">
        <f>LN(Index!J523/Index!J522)</f>
        <v>-8.0258490735710813E-3</v>
      </c>
      <c r="K522" s="28">
        <f>LN(Index!K523/Index!K522)</f>
        <v>-8.0663812974143458E-3</v>
      </c>
      <c r="L522" s="28">
        <f>LN(Index!L523/Index!L522)</f>
        <v>-8.9957486414151602E-3</v>
      </c>
      <c r="M522" s="28">
        <f>LN(Index!M523/Index!M522)</f>
        <v>7.53278778863659E-3</v>
      </c>
      <c r="N522" s="28">
        <f>LN(Index!N523/Index!N522)</f>
        <v>-1.4500682615229374E-2</v>
      </c>
    </row>
    <row r="523" spans="1:14">
      <c r="A523" s="15">
        <v>41278</v>
      </c>
      <c r="B523" s="28">
        <f>LN(Index!B524/Index!B523)</f>
        <v>3.2090853227435129E-2</v>
      </c>
      <c r="C523" s="28">
        <f>LN(Index!C524/Index!C523)</f>
        <v>-9.3105822711144412E-3</v>
      </c>
      <c r="D523" s="28">
        <f>LN(Index!D524/Index!D523)</f>
        <v>1.8647498837032567E-2</v>
      </c>
      <c r="E523" s="28">
        <f>LN(Index!E524/Index!E523)</f>
        <v>6.6158492852979112E-3</v>
      </c>
      <c r="F523" s="28">
        <f>LN(Index!F524/Index!F523)</f>
        <v>3.8602759723887825E-2</v>
      </c>
      <c r="G523" s="28">
        <f>LN(Index!G524/Index!G523)</f>
        <v>5.6180157878933622E-3</v>
      </c>
      <c r="H523" s="28">
        <f>LN(Index!H524/Index!H523)</f>
        <v>2.1205534114787768E-2</v>
      </c>
      <c r="I523" s="28">
        <f>LN(Index!I524/Index!I523)</f>
        <v>1.7681800441466305E-2</v>
      </c>
      <c r="J523" s="28">
        <f>LN(Index!J524/Index!J523)</f>
        <v>1.9109713625009538E-2</v>
      </c>
      <c r="K523" s="28">
        <f>LN(Index!K524/Index!K523)</f>
        <v>3.6109599810113198E-2</v>
      </c>
      <c r="L523" s="28">
        <f>LN(Index!L524/Index!L523)</f>
        <v>1.9645588218389163E-2</v>
      </c>
      <c r="M523" s="28">
        <f>LN(Index!M524/Index!M523)</f>
        <v>1.5507742441630331E-2</v>
      </c>
      <c r="N523" s="28">
        <f>LN(Index!N524/Index!N523)</f>
        <v>3.3268012434563406E-2</v>
      </c>
    </row>
    <row r="524" spans="1:14">
      <c r="A524" s="15">
        <v>41285</v>
      </c>
      <c r="B524" s="28">
        <f>LN(Index!B525/Index!B524)</f>
        <v>8.5972804753095683E-3</v>
      </c>
      <c r="C524" s="28">
        <f>LN(Index!C525/Index!C524)</f>
        <v>2.9973795389740382E-3</v>
      </c>
      <c r="D524" s="28">
        <f>LN(Index!D525/Index!D524)</f>
        <v>7.4074412778618176E-3</v>
      </c>
      <c r="E524" s="28">
        <f>LN(Index!E525/Index!E524)</f>
        <v>1.4114092631448182E-3</v>
      </c>
      <c r="F524" s="28">
        <f>LN(Index!F525/Index!F524)</f>
        <v>2.4302762179637281E-3</v>
      </c>
      <c r="G524" s="28">
        <f>LN(Index!G525/Index!G524)</f>
        <v>6.7797151499145534E-3</v>
      </c>
      <c r="H524" s="28">
        <f>LN(Index!H525/Index!H524)</f>
        <v>-1.3737527320478411E-2</v>
      </c>
      <c r="I524" s="28">
        <f>LN(Index!I525/Index!I524)</f>
        <v>-3.5554932293104303E-3</v>
      </c>
      <c r="J524" s="28">
        <f>LN(Index!J525/Index!J524)</f>
        <v>1.0160439550957839E-2</v>
      </c>
      <c r="K524" s="28">
        <f>LN(Index!K525/Index!K524)</f>
        <v>2.0352057161682709E-2</v>
      </c>
      <c r="L524" s="28">
        <f>LN(Index!L525/Index!L524)</f>
        <v>6.6083994571778E-3</v>
      </c>
      <c r="M524" s="28">
        <f>LN(Index!M525/Index!M524)</f>
        <v>7.323389317190284E-3</v>
      </c>
      <c r="N524" s="28">
        <f>LN(Index!N525/Index!N524)</f>
        <v>6.4459266319157795E-3</v>
      </c>
    </row>
    <row r="525" spans="1:14">
      <c r="A525" s="15">
        <v>41292</v>
      </c>
      <c r="B525" s="28">
        <f>LN(Index!B526/Index!B525)</f>
        <v>4.4548006019830937E-3</v>
      </c>
      <c r="C525" s="28">
        <f>LN(Index!C526/Index!C525)</f>
        <v>-2.4052916532092507E-4</v>
      </c>
      <c r="D525" s="28">
        <f>LN(Index!D526/Index!D525)</f>
        <v>4.9636196831210162E-3</v>
      </c>
      <c r="E525" s="28">
        <f>LN(Index!E526/Index!E525)</f>
        <v>-3.9217868032261401E-3</v>
      </c>
      <c r="F525" s="28">
        <f>LN(Index!F526/Index!F525)</f>
        <v>7.3068614357022221E-3</v>
      </c>
      <c r="G525" s="28">
        <f>LN(Index!G526/Index!G525)</f>
        <v>1.3590545854990695E-2</v>
      </c>
      <c r="H525" s="28">
        <f>LN(Index!H526/Index!H525)</f>
        <v>-4.4042741104964433E-3</v>
      </c>
      <c r="I525" s="28">
        <f>LN(Index!I526/Index!I525)</f>
        <v>1.8753328011388557E-3</v>
      </c>
      <c r="J525" s="28">
        <f>LN(Index!J526/Index!J525)</f>
        <v>1.903507420058011E-3</v>
      </c>
      <c r="K525" s="28">
        <f>LN(Index!K526/Index!K525)</f>
        <v>-1.1641444853737134E-3</v>
      </c>
      <c r="L525" s="28">
        <f>LN(Index!L526/Index!L525)</f>
        <v>1.0387058869903007E-2</v>
      </c>
      <c r="M525" s="28">
        <f>LN(Index!M526/Index!M525)</f>
        <v>-6.9360982679706326E-3</v>
      </c>
      <c r="N525" s="28">
        <f>LN(Index!N526/Index!N525)</f>
        <v>1.3088157021945115E-2</v>
      </c>
    </row>
    <row r="526" spans="1:14">
      <c r="A526" s="15">
        <v>41299</v>
      </c>
      <c r="B526" s="28">
        <f>LN(Index!B527/Index!B526)</f>
        <v>1.2428656754563956E-2</v>
      </c>
      <c r="C526" s="28">
        <f>LN(Index!C527/Index!C526)</f>
        <v>-3.8563557070701517E-3</v>
      </c>
      <c r="D526" s="28">
        <f>LN(Index!D527/Index!D526)</f>
        <v>6.8747845196241069E-3</v>
      </c>
      <c r="E526" s="28">
        <f>LN(Index!E527/Index!E526)</f>
        <v>2.5653831586381737E-2</v>
      </c>
      <c r="F526" s="28">
        <f>LN(Index!F527/Index!F526)</f>
        <v>1.5336959789090227E-3</v>
      </c>
      <c r="G526" s="28">
        <f>LN(Index!G527/Index!G526)</f>
        <v>7.8315307566243393E-3</v>
      </c>
      <c r="H526" s="28">
        <f>LN(Index!H527/Index!H526)</f>
        <v>1.5138365212906369E-2</v>
      </c>
      <c r="I526" s="28">
        <f>LN(Index!I527/Index!I526)</f>
        <v>2.1239975134917079E-2</v>
      </c>
      <c r="J526" s="28">
        <f>LN(Index!J527/Index!J526)</f>
        <v>2.0748122285523977E-2</v>
      </c>
      <c r="K526" s="28">
        <f>LN(Index!K527/Index!K526)</f>
        <v>6.660173708750894E-3</v>
      </c>
      <c r="L526" s="28">
        <f>LN(Index!L527/Index!L526)</f>
        <v>2.6055608027820616E-3</v>
      </c>
      <c r="M526" s="28">
        <f>LN(Index!M527/Index!M526)</f>
        <v>2.0608717728867632E-2</v>
      </c>
      <c r="N526" s="28">
        <f>LN(Index!N527/Index!N526)</f>
        <v>1.5334696835029777E-3</v>
      </c>
    </row>
    <row r="527" spans="1:14">
      <c r="A527" s="15">
        <v>41306</v>
      </c>
      <c r="B527" s="28">
        <f>LN(Index!B528/Index!B527)</f>
        <v>8.0219828828803439E-3</v>
      </c>
      <c r="C527" s="28">
        <f>LN(Index!C528/Index!C527)</f>
        <v>-1.9068855067144582E-3</v>
      </c>
      <c r="D527" s="28">
        <f>LN(Index!D528/Index!D527)</f>
        <v>-5.5404873293923114E-3</v>
      </c>
      <c r="E527" s="28">
        <f>LN(Index!E528/Index!E527)</f>
        <v>5.5376763621724804E-3</v>
      </c>
      <c r="F527" s="28">
        <f>LN(Index!F528/Index!F527)</f>
        <v>6.1717860714575979E-3</v>
      </c>
      <c r="G527" s="28">
        <f>LN(Index!G528/Index!G527)</f>
        <v>5.3389935067629582E-3</v>
      </c>
      <c r="H527" s="28">
        <f>LN(Index!H528/Index!H527)</f>
        <v>5.1096795520234207E-3</v>
      </c>
      <c r="I527" s="28">
        <f>LN(Index!I528/Index!I527)</f>
        <v>1.5785305570647674E-2</v>
      </c>
      <c r="J527" s="28">
        <f>LN(Index!J528/Index!J527)</f>
        <v>7.161461093306297E-4</v>
      </c>
      <c r="K527" s="28">
        <f>LN(Index!K528/Index!K527)</f>
        <v>1.4128451494064269E-2</v>
      </c>
      <c r="L527" s="28">
        <f>LN(Index!L528/Index!L527)</f>
        <v>-1.0630654424189484E-2</v>
      </c>
      <c r="M527" s="28">
        <f>LN(Index!M528/Index!M527)</f>
        <v>1.1179306443709599E-2</v>
      </c>
      <c r="N527" s="28">
        <f>LN(Index!N528/Index!N527)</f>
        <v>1.0616326898784488E-2</v>
      </c>
    </row>
    <row r="528" spans="1:14">
      <c r="A528" s="15">
        <v>41313</v>
      </c>
      <c r="B528" s="28">
        <f>LN(Index!B529/Index!B528)</f>
        <v>-4.4920368542569417E-3</v>
      </c>
      <c r="C528" s="28">
        <f>LN(Index!C529/Index!C528)</f>
        <v>-2.961529235593873E-3</v>
      </c>
      <c r="D528" s="28">
        <f>LN(Index!D529/Index!D528)</f>
        <v>-3.7293745041491774E-3</v>
      </c>
      <c r="E528" s="28">
        <f>LN(Index!E529/Index!E528)</f>
        <v>-1.9053895398902041E-2</v>
      </c>
      <c r="F528" s="28">
        <f>LN(Index!F529/Index!F528)</f>
        <v>6.5857475512437463E-3</v>
      </c>
      <c r="G528" s="28">
        <f>LN(Index!G529/Index!G528)</f>
        <v>-6.3079956523567722E-3</v>
      </c>
      <c r="H528" s="28">
        <f>LN(Index!H529/Index!H528)</f>
        <v>-4.4067026469081843E-3</v>
      </c>
      <c r="I528" s="28">
        <f>LN(Index!I529/Index!I528)</f>
        <v>-1.4312966194073615E-2</v>
      </c>
      <c r="J528" s="28">
        <f>LN(Index!J529/Index!J528)</f>
        <v>7.9560885630797461E-3</v>
      </c>
      <c r="K528" s="28">
        <f>LN(Index!K529/Index!K528)</f>
        <v>1.0974989076383822E-2</v>
      </c>
      <c r="L528" s="28">
        <f>LN(Index!L529/Index!L528)</f>
        <v>-7.9644652556155656E-3</v>
      </c>
      <c r="M528" s="28">
        <f>LN(Index!M529/Index!M528)</f>
        <v>-1.8894920329827945E-2</v>
      </c>
      <c r="N528" s="28">
        <f>LN(Index!N529/Index!N528)</f>
        <v>2.5324160978925305E-3</v>
      </c>
    </row>
    <row r="529" spans="1:14">
      <c r="A529" s="15">
        <v>41320</v>
      </c>
      <c r="B529" s="28">
        <f>LN(Index!B530/Index!B529)</f>
        <v>-2.4987944966674718E-3</v>
      </c>
      <c r="C529" s="28">
        <f>LN(Index!C530/Index!C529)</f>
        <v>-5.9335978222268106E-4</v>
      </c>
      <c r="D529" s="28">
        <f>LN(Index!D530/Index!D529)</f>
        <v>-2.8481297001271702E-3</v>
      </c>
      <c r="E529" s="28">
        <f>LN(Index!E530/Index!E529)</f>
        <v>-5.4114527564464235E-3</v>
      </c>
      <c r="F529" s="28">
        <f>LN(Index!F530/Index!F529)</f>
        <v>-1.3468056430929335E-2</v>
      </c>
      <c r="G529" s="28">
        <f>LN(Index!G530/Index!G529)</f>
        <v>-1.9692758822161464E-3</v>
      </c>
      <c r="H529" s="28">
        <f>LN(Index!H530/Index!H529)</f>
        <v>-1.0306632202712543E-2</v>
      </c>
      <c r="I529" s="28">
        <f>LN(Index!I530/Index!I529)</f>
        <v>9.0817860240137941E-6</v>
      </c>
      <c r="J529" s="28">
        <f>LN(Index!J530/Index!J529)</f>
        <v>-1.5884832304112868E-2</v>
      </c>
      <c r="K529" s="28">
        <f>LN(Index!K530/Index!K529)</f>
        <v>-1.1639995396998927E-2</v>
      </c>
      <c r="L529" s="28">
        <f>LN(Index!L530/Index!L529)</f>
        <v>-1.9472652144761259E-2</v>
      </c>
      <c r="M529" s="28">
        <f>LN(Index!M530/Index!M529)</f>
        <v>4.3949745130122362E-4</v>
      </c>
      <c r="N529" s="28">
        <f>LN(Index!N530/Index!N529)</f>
        <v>-8.0000821903411408E-3</v>
      </c>
    </row>
    <row r="530" spans="1:14">
      <c r="A530" s="15">
        <v>41327</v>
      </c>
      <c r="B530" s="28">
        <f>LN(Index!B531/Index!B530)</f>
        <v>-3.4674666368563417E-3</v>
      </c>
      <c r="C530" s="28">
        <f>LN(Index!C531/Index!C530)</f>
        <v>5.3956349326510179E-5</v>
      </c>
      <c r="D530" s="28">
        <f>LN(Index!D531/Index!D530)</f>
        <v>3.3549541804284654E-4</v>
      </c>
      <c r="E530" s="28">
        <f>LN(Index!E531/Index!E530)</f>
        <v>1.1908718925382892E-2</v>
      </c>
      <c r="F530" s="28">
        <f>LN(Index!F531/Index!F530)</f>
        <v>1.1423507746791968E-3</v>
      </c>
      <c r="G530" s="28">
        <f>LN(Index!G531/Index!G530)</f>
        <v>5.29402032571708E-3</v>
      </c>
      <c r="H530" s="28">
        <f>LN(Index!H531/Index!H530)</f>
        <v>1.3604531502606385E-2</v>
      </c>
      <c r="I530" s="28">
        <f>LN(Index!I531/Index!I530)</f>
        <v>2.6845897185099987E-3</v>
      </c>
      <c r="J530" s="28">
        <f>LN(Index!J531/Index!J530)</f>
        <v>7.8722245329652229E-3</v>
      </c>
      <c r="K530" s="28">
        <f>LN(Index!K531/Index!K530)</f>
        <v>-1.924819588758489E-2</v>
      </c>
      <c r="L530" s="28">
        <f>LN(Index!L531/Index!L530)</f>
        <v>1.1392780663291947E-2</v>
      </c>
      <c r="M530" s="28">
        <f>LN(Index!M531/Index!M530)</f>
        <v>-1.056783195222219E-2</v>
      </c>
      <c r="N530" s="28">
        <f>LN(Index!N531/Index!N530)</f>
        <v>-1.7196733985755261E-4</v>
      </c>
    </row>
    <row r="531" spans="1:14">
      <c r="A531" s="15">
        <v>41334</v>
      </c>
      <c r="B531" s="28">
        <f>LN(Index!B532/Index!B531)</f>
        <v>-2.1399529292021377E-4</v>
      </c>
      <c r="C531" s="28">
        <f>LN(Index!C532/Index!C531)</f>
        <v>3.9578420874289474E-3</v>
      </c>
      <c r="D531" s="28">
        <f>LN(Index!D532/Index!D531)</f>
        <v>1.3934993014267179E-2</v>
      </c>
      <c r="E531" s="28">
        <f>LN(Index!E532/Index!E531)</f>
        <v>-1.8936547957317949E-2</v>
      </c>
      <c r="F531" s="28">
        <f>LN(Index!F532/Index!F531)</f>
        <v>8.1631546374352128E-3</v>
      </c>
      <c r="G531" s="28">
        <f>LN(Index!G532/Index!G531)</f>
        <v>8.7348401055475228E-3</v>
      </c>
      <c r="H531" s="28">
        <f>LN(Index!H532/Index!H531)</f>
        <v>2.5173045979732535E-3</v>
      </c>
      <c r="I531" s="28">
        <f>LN(Index!I532/Index!I531)</f>
        <v>1.4843109278762795E-3</v>
      </c>
      <c r="J531" s="28">
        <f>LN(Index!J532/Index!J531)</f>
        <v>-2.0670282523269157E-3</v>
      </c>
      <c r="K531" s="28">
        <f>LN(Index!K532/Index!K531)</f>
        <v>-7.3686670262825939E-3</v>
      </c>
      <c r="L531" s="28">
        <f>LN(Index!L532/Index!L531)</f>
        <v>1.5953376339938763E-2</v>
      </c>
      <c r="M531" s="28">
        <f>LN(Index!M532/Index!M531)</f>
        <v>-1.6596477692024356E-2</v>
      </c>
      <c r="N531" s="28">
        <f>LN(Index!N532/Index!N531)</f>
        <v>8.8267240569596503E-4</v>
      </c>
    </row>
    <row r="532" spans="1:14">
      <c r="A532" s="15">
        <v>41341</v>
      </c>
      <c r="B532" s="28">
        <f>LN(Index!B533/Index!B532)</f>
        <v>1.905748250946249E-2</v>
      </c>
      <c r="C532" s="28">
        <f>LN(Index!C533/Index!C532)</f>
        <v>-7.9043264634961839E-3</v>
      </c>
      <c r="D532" s="28">
        <f>LN(Index!D533/Index!D532)</f>
        <v>6.813213168772347E-3</v>
      </c>
      <c r="E532" s="28">
        <f>LN(Index!E533/Index!E532)</f>
        <v>7.2816261079739928E-3</v>
      </c>
      <c r="F532" s="28">
        <f>LN(Index!F533/Index!F532)</f>
        <v>1.1486331486553945E-2</v>
      </c>
      <c r="G532" s="28">
        <f>LN(Index!G533/Index!G532)</f>
        <v>1.3475012765837173E-2</v>
      </c>
      <c r="H532" s="28">
        <f>LN(Index!H533/Index!H532)</f>
        <v>4.5335168075293832E-3</v>
      </c>
      <c r="I532" s="28">
        <f>LN(Index!I533/Index!I532)</f>
        <v>7.2390514313848721E-3</v>
      </c>
      <c r="J532" s="28">
        <f>LN(Index!J533/Index!J532)</f>
        <v>-3.752676101910418E-3</v>
      </c>
      <c r="K532" s="28">
        <f>LN(Index!K533/Index!K532)</f>
        <v>1.4083876863001207E-2</v>
      </c>
      <c r="L532" s="28">
        <f>LN(Index!L533/Index!L532)</f>
        <v>9.3236787493143868E-3</v>
      </c>
      <c r="M532" s="28">
        <f>LN(Index!M533/Index!M532)</f>
        <v>7.3100991744865021E-3</v>
      </c>
      <c r="N532" s="28">
        <f>LN(Index!N533/Index!N532)</f>
        <v>1.6140061792490064E-2</v>
      </c>
    </row>
    <row r="533" spans="1:14">
      <c r="A533" s="15">
        <v>41348</v>
      </c>
      <c r="B533" s="28">
        <f>LN(Index!B534/Index!B533)</f>
        <v>1.0970456675871786E-2</v>
      </c>
      <c r="C533" s="28">
        <f>LN(Index!C534/Index!C533)</f>
        <v>8.1249069065777844E-5</v>
      </c>
      <c r="D533" s="28">
        <f>LN(Index!D534/Index!D533)</f>
        <v>5.5153723428940267E-3</v>
      </c>
      <c r="E533" s="28">
        <f>LN(Index!E534/Index!E533)</f>
        <v>4.7271404215133775E-3</v>
      </c>
      <c r="F533" s="28">
        <f>LN(Index!F534/Index!F533)</f>
        <v>3.1746654758024414E-3</v>
      </c>
      <c r="G533" s="28">
        <f>LN(Index!G534/Index!G533)</f>
        <v>1.3381685944212277E-2</v>
      </c>
      <c r="H533" s="28">
        <f>LN(Index!H534/Index!H533)</f>
        <v>1.1488113423860269E-2</v>
      </c>
      <c r="I533" s="28">
        <f>LN(Index!I534/Index!I533)</f>
        <v>-1.4421573247943483E-2</v>
      </c>
      <c r="J533" s="28">
        <f>LN(Index!J534/Index!J533)</f>
        <v>-7.8839735189564306E-3</v>
      </c>
      <c r="K533" s="28">
        <f>LN(Index!K534/Index!K533)</f>
        <v>1.6328300871105789E-2</v>
      </c>
      <c r="L533" s="28">
        <f>LN(Index!L534/Index!L533)</f>
        <v>-1.6198019458951784E-2</v>
      </c>
      <c r="M533" s="28">
        <f>LN(Index!M534/Index!M533)</f>
        <v>4.443004241513001E-3</v>
      </c>
      <c r="N533" s="28">
        <f>LN(Index!N534/Index!N533)</f>
        <v>6.7145664867276607E-3</v>
      </c>
    </row>
    <row r="534" spans="1:14">
      <c r="A534" s="15">
        <v>41355</v>
      </c>
      <c r="B534" s="28">
        <f>LN(Index!B535/Index!B534)</f>
        <v>-8.446906289965566E-3</v>
      </c>
      <c r="C534" s="28">
        <f>LN(Index!C535/Index!C534)</f>
        <v>4.2698151563522729E-3</v>
      </c>
      <c r="D534" s="28">
        <f>LN(Index!D535/Index!D534)</f>
        <v>-1.0841104863877115E-2</v>
      </c>
      <c r="E534" s="28">
        <f>LN(Index!E535/Index!E534)</f>
        <v>1.229988326988914E-2</v>
      </c>
      <c r="F534" s="28">
        <f>LN(Index!F535/Index!F534)</f>
        <v>1.2722288387376084E-2</v>
      </c>
      <c r="G534" s="28">
        <f>LN(Index!G535/Index!G534)</f>
        <v>1.0073588765832055E-2</v>
      </c>
      <c r="H534" s="28">
        <f>LN(Index!H535/Index!H534)</f>
        <v>1.0434286866631488E-2</v>
      </c>
      <c r="I534" s="28">
        <f>LN(Index!I535/Index!I534)</f>
        <v>4.7829951374581646E-3</v>
      </c>
      <c r="J534" s="28">
        <f>LN(Index!J535/Index!J534)</f>
        <v>1.4825927913776422E-2</v>
      </c>
      <c r="K534" s="28">
        <f>LN(Index!K535/Index!K534)</f>
        <v>-2.2171819209980928E-3</v>
      </c>
      <c r="L534" s="28">
        <f>LN(Index!L535/Index!L534)</f>
        <v>9.2072351775802728E-3</v>
      </c>
      <c r="M534" s="28">
        <f>LN(Index!M535/Index!M534)</f>
        <v>6.1795151506424447E-3</v>
      </c>
      <c r="N534" s="28">
        <f>LN(Index!N535/Index!N534)</f>
        <v>1.5946715547763987E-2</v>
      </c>
    </row>
    <row r="535" spans="1:14">
      <c r="A535" s="15">
        <v>41362</v>
      </c>
      <c r="B535" s="28">
        <f>LN(Index!B536/Index!B535)</f>
        <v>1.5208385680301698E-3</v>
      </c>
      <c r="C535" s="28">
        <f>LN(Index!C536/Index!C535)</f>
        <v>2.4240477286698162E-3</v>
      </c>
      <c r="D535" s="28">
        <f>LN(Index!D536/Index!D535)</f>
        <v>1.2419121787715077E-2</v>
      </c>
      <c r="E535" s="28">
        <f>LN(Index!E536/Index!E535)</f>
        <v>-1.1844536246200296E-2</v>
      </c>
      <c r="F535" s="28">
        <f>LN(Index!F536/Index!F535)</f>
        <v>1.514064303478908E-2</v>
      </c>
      <c r="G535" s="28">
        <f>LN(Index!G536/Index!G535)</f>
        <v>1.2573954150833533E-2</v>
      </c>
      <c r="H535" s="28">
        <f>LN(Index!H536/Index!H535)</f>
        <v>1.3070533558169985E-2</v>
      </c>
      <c r="I535" s="28">
        <f>LN(Index!I536/Index!I535)</f>
        <v>1.5323879277589067E-2</v>
      </c>
      <c r="J535" s="28">
        <f>LN(Index!J536/Index!J535)</f>
        <v>1.4702053875647235E-2</v>
      </c>
      <c r="K535" s="28">
        <f>LN(Index!K536/Index!K535)</f>
        <v>-9.4198572354958574E-3</v>
      </c>
      <c r="L535" s="28">
        <f>LN(Index!L536/Index!L535)</f>
        <v>-5.2708121517686009E-3</v>
      </c>
      <c r="M535" s="28">
        <f>LN(Index!M536/Index!M535)</f>
        <v>-2.3799672198257328E-2</v>
      </c>
      <c r="N535" s="28">
        <f>LN(Index!N536/Index!N535)</f>
        <v>1.4494082104026331E-2</v>
      </c>
    </row>
    <row r="536" spans="1:14">
      <c r="A536" s="15">
        <v>41369</v>
      </c>
      <c r="B536" s="28">
        <f>LN(Index!B537/Index!B536)</f>
        <v>-1.0793412931765223E-2</v>
      </c>
      <c r="C536" s="28">
        <f>LN(Index!C537/Index!C536)</f>
        <v>5.6868631494133223E-3</v>
      </c>
      <c r="D536" s="28">
        <f>LN(Index!D537/Index!D536)</f>
        <v>2.8145201222645914E-2</v>
      </c>
      <c r="E536" s="28">
        <f>LN(Index!E537/Index!E536)</f>
        <v>9.9450449350935687E-3</v>
      </c>
      <c r="F536" s="28">
        <f>LN(Index!F537/Index!F536)</f>
        <v>-6.9430318078818063E-3</v>
      </c>
      <c r="G536" s="28">
        <f>LN(Index!G537/Index!G536)</f>
        <v>-1.749519915422296E-2</v>
      </c>
      <c r="H536" s="28">
        <f>LN(Index!H537/Index!H536)</f>
        <v>1.7609014391436657E-2</v>
      </c>
      <c r="I536" s="28">
        <f>LN(Index!I537/Index!I536)</f>
        <v>1.1003789774671561E-2</v>
      </c>
      <c r="J536" s="28">
        <f>LN(Index!J537/Index!J536)</f>
        <v>-1.9899469726641721E-3</v>
      </c>
      <c r="K536" s="28">
        <f>LN(Index!K537/Index!K536)</f>
        <v>-2.6322845071994241E-2</v>
      </c>
      <c r="L536" s="28">
        <f>LN(Index!L537/Index!L536)</f>
        <v>1.1237489356985061E-2</v>
      </c>
      <c r="M536" s="28">
        <f>LN(Index!M537/Index!M536)</f>
        <v>-6.0009983670992915E-3</v>
      </c>
      <c r="N536" s="28">
        <f>LN(Index!N537/Index!N536)</f>
        <v>-1.7792618266379893E-2</v>
      </c>
    </row>
    <row r="537" spans="1:14">
      <c r="A537" s="15">
        <v>41376</v>
      </c>
      <c r="B537" s="28">
        <f>LN(Index!B538/Index!B537)</f>
        <v>2.6033845583433714E-2</v>
      </c>
      <c r="C537" s="28">
        <f>LN(Index!C538/Index!C537)</f>
        <v>-2.0081672188124113E-3</v>
      </c>
      <c r="D537" s="28">
        <f>LN(Index!D538/Index!D537)</f>
        <v>3.0456035729401136E-2</v>
      </c>
      <c r="E537" s="28">
        <f>LN(Index!E538/Index!E537)</f>
        <v>2.5395557334253797E-2</v>
      </c>
      <c r="F537" s="28">
        <f>LN(Index!F538/Index!F537)</f>
        <v>2.3671158303067472E-2</v>
      </c>
      <c r="G537" s="28">
        <f>LN(Index!G538/Index!G537)</f>
        <v>2.9958214495585694E-2</v>
      </c>
      <c r="H537" s="28">
        <f>LN(Index!H538/Index!H537)</f>
        <v>1.7526760798768415E-2</v>
      </c>
      <c r="I537" s="28">
        <f>LN(Index!I538/Index!I537)</f>
        <v>1.3480630339407395E-2</v>
      </c>
      <c r="J537" s="28">
        <f>LN(Index!J538/Index!J537)</f>
        <v>2.3041038107710892E-2</v>
      </c>
      <c r="K537" s="28">
        <f>LN(Index!K538/Index!K537)</f>
        <v>3.8579644337058502E-2</v>
      </c>
      <c r="L537" s="28">
        <f>LN(Index!L538/Index!L537)</f>
        <v>2.9319233172072363E-2</v>
      </c>
      <c r="M537" s="28">
        <f>LN(Index!M538/Index!M537)</f>
        <v>3.6081159529680863E-2</v>
      </c>
      <c r="N537" s="28">
        <f>LN(Index!N538/Index!N537)</f>
        <v>2.5709441351914192E-2</v>
      </c>
    </row>
    <row r="538" spans="1:14">
      <c r="A538" s="15">
        <v>41383</v>
      </c>
      <c r="B538" s="28">
        <f>LN(Index!B539/Index!B538)</f>
        <v>-2.3823635488092739E-2</v>
      </c>
      <c r="C538" s="28">
        <f>LN(Index!C539/Index!C538)</f>
        <v>2.6798874607651181E-4</v>
      </c>
      <c r="D538" s="28">
        <f>LN(Index!D539/Index!D538)</f>
        <v>-5.4501651698214285E-3</v>
      </c>
      <c r="E538" s="28">
        <f>LN(Index!E539/Index!E538)</f>
        <v>-8.8759285040999596E-3</v>
      </c>
      <c r="F538" s="28">
        <f>LN(Index!F539/Index!F538)</f>
        <v>7.1424625404896771E-4</v>
      </c>
      <c r="G538" s="28">
        <f>LN(Index!G539/Index!G538)</f>
        <v>-1.0253238086753765E-2</v>
      </c>
      <c r="H538" s="28">
        <f>LN(Index!H539/Index!H538)</f>
        <v>1.0884817346944947E-4</v>
      </c>
      <c r="I538" s="28">
        <f>LN(Index!I539/Index!I538)</f>
        <v>-2.1690939584397599E-2</v>
      </c>
      <c r="J538" s="28">
        <f>LN(Index!J539/Index!J538)</f>
        <v>8.231630301158149E-3</v>
      </c>
      <c r="K538" s="28">
        <f>LN(Index!K539/Index!K538)</f>
        <v>-1.6548316463236405E-2</v>
      </c>
      <c r="L538" s="28">
        <f>LN(Index!L539/Index!L538)</f>
        <v>-2.1292024335108897E-3</v>
      </c>
      <c r="M538" s="28">
        <f>LN(Index!M539/Index!M538)</f>
        <v>-1.0996293687639396E-2</v>
      </c>
      <c r="N538" s="28">
        <f>LN(Index!N539/Index!N538)</f>
        <v>-3.3375810502902169E-3</v>
      </c>
    </row>
    <row r="539" spans="1:14">
      <c r="A539" s="15">
        <v>41390</v>
      </c>
      <c r="B539" s="28">
        <f>LN(Index!B540/Index!B539)</f>
        <v>2.4688325317355819E-2</v>
      </c>
      <c r="C539" s="28">
        <f>LN(Index!C540/Index!C539)</f>
        <v>3.877787837130922E-3</v>
      </c>
      <c r="D539" s="28">
        <f>LN(Index!D540/Index!D539)</f>
        <v>5.5014406473355877E-3</v>
      </c>
      <c r="E539" s="28">
        <f>LN(Index!E540/Index!E539)</f>
        <v>2.0982705245913669E-2</v>
      </c>
      <c r="F539" s="28">
        <f>LN(Index!F540/Index!F539)</f>
        <v>1.0369131414145307E-2</v>
      </c>
      <c r="G539" s="28">
        <f>LN(Index!G540/Index!G539)</f>
        <v>1.9413767780399296E-2</v>
      </c>
      <c r="H539" s="28">
        <f>LN(Index!H540/Index!H539)</f>
        <v>1.7432292562960042E-2</v>
      </c>
      <c r="I539" s="28">
        <f>LN(Index!I540/Index!I539)</f>
        <v>-1.4373706910961483E-3</v>
      </c>
      <c r="J539" s="28">
        <f>LN(Index!J540/Index!J539)</f>
        <v>-9.9072174665936208E-3</v>
      </c>
      <c r="K539" s="28">
        <f>LN(Index!K540/Index!K539)</f>
        <v>1.759035690669675E-2</v>
      </c>
      <c r="L539" s="28">
        <f>LN(Index!L540/Index!L539)</f>
        <v>2.3403614303965588E-2</v>
      </c>
      <c r="M539" s="28">
        <f>LN(Index!M540/Index!M539)</f>
        <v>2.949165379256825E-2</v>
      </c>
      <c r="N539" s="28">
        <f>LN(Index!N540/Index!N539)</f>
        <v>9.102232524871948E-3</v>
      </c>
    </row>
    <row r="540" spans="1:14">
      <c r="A540" s="15">
        <v>41397</v>
      </c>
      <c r="B540" s="28">
        <f>LN(Index!B541/Index!B540)</f>
        <v>1.6774420109509171E-2</v>
      </c>
      <c r="C540" s="28">
        <f>LN(Index!C541/Index!C540)</f>
        <v>-2.057366495937045E-3</v>
      </c>
      <c r="D540" s="28">
        <f>LN(Index!D541/Index!D540)</f>
        <v>9.8980399931161561E-3</v>
      </c>
      <c r="E540" s="28">
        <f>LN(Index!E541/Index!E540)</f>
        <v>2.098055524620927E-2</v>
      </c>
      <c r="F540" s="28">
        <f>LN(Index!F541/Index!F540)</f>
        <v>5.6106297777380907E-3</v>
      </c>
      <c r="G540" s="28">
        <f>LN(Index!G541/Index!G540)</f>
        <v>1.0289864330637529E-2</v>
      </c>
      <c r="H540" s="28">
        <f>LN(Index!H541/Index!H540)</f>
        <v>1.3777077130181911E-2</v>
      </c>
      <c r="I540" s="28">
        <f>LN(Index!I541/Index!I540)</f>
        <v>2.3601544257879463E-2</v>
      </c>
      <c r="J540" s="28">
        <f>LN(Index!J541/Index!J540)</f>
        <v>8.8765533177836402E-3</v>
      </c>
      <c r="K540" s="28">
        <f>LN(Index!K541/Index!K540)</f>
        <v>-1.7169060131637791E-2</v>
      </c>
      <c r="L540" s="28">
        <f>LN(Index!L541/Index!L540)</f>
        <v>7.5375844717067344E-3</v>
      </c>
      <c r="M540" s="28">
        <f>LN(Index!M541/Index!M540)</f>
        <v>2.0940152590177778E-2</v>
      </c>
      <c r="N540" s="28">
        <f>LN(Index!N541/Index!N540)</f>
        <v>7.8004668217255607E-3</v>
      </c>
    </row>
    <row r="541" spans="1:14">
      <c r="A541" s="15">
        <v>41404</v>
      </c>
      <c r="B541" s="28">
        <f>LN(Index!B542/Index!B541)</f>
        <v>8.9850518853838348E-3</v>
      </c>
      <c r="C541" s="28">
        <f>LN(Index!C542/Index!C541)</f>
        <v>-9.7294287533522313E-3</v>
      </c>
      <c r="D541" s="28">
        <f>LN(Index!D542/Index!D541)</f>
        <v>-2.8980369572377371E-3</v>
      </c>
      <c r="E541" s="28">
        <f>LN(Index!E542/Index!E541)</f>
        <v>-1.0724296719692519E-2</v>
      </c>
      <c r="F541" s="28">
        <f>LN(Index!F542/Index!F541)</f>
        <v>-5.3061469306291279E-3</v>
      </c>
      <c r="G541" s="28">
        <f>LN(Index!G542/Index!G541)</f>
        <v>2.6711546113631743E-3</v>
      </c>
      <c r="H541" s="28">
        <f>LN(Index!H542/Index!H541)</f>
        <v>-2.2005001204053777E-2</v>
      </c>
      <c r="I541" s="28">
        <f>LN(Index!I542/Index!I541)</f>
        <v>-6.3477486534546466E-3</v>
      </c>
      <c r="J541" s="28">
        <f>LN(Index!J542/Index!J541)</f>
        <v>-1.3763025715951279E-2</v>
      </c>
      <c r="K541" s="28">
        <f>LN(Index!K542/Index!K541)</f>
        <v>2.0756637850737052E-2</v>
      </c>
      <c r="L541" s="28">
        <f>LN(Index!L542/Index!L541)</f>
        <v>-7.3918970742130382E-3</v>
      </c>
      <c r="M541" s="28">
        <f>LN(Index!M542/Index!M541)</f>
        <v>1.7057905019001771E-2</v>
      </c>
      <c r="N541" s="28">
        <f>LN(Index!N542/Index!N541)</f>
        <v>-6.472085142126638E-4</v>
      </c>
    </row>
    <row r="542" spans="1:14">
      <c r="A542" s="15">
        <v>41411</v>
      </c>
      <c r="B542" s="28">
        <f>LN(Index!B543/Index!B542)</f>
        <v>1.1393293987327352E-2</v>
      </c>
      <c r="C542" s="28">
        <f>LN(Index!C543/Index!C542)</f>
        <v>-4.9004443480221826E-3</v>
      </c>
      <c r="D542" s="28">
        <f>LN(Index!D543/Index!D542)</f>
        <v>2.3902165116302804E-3</v>
      </c>
      <c r="E542" s="28">
        <f>LN(Index!E543/Index!E542)</f>
        <v>-1.4229869484822129E-3</v>
      </c>
      <c r="F542" s="28">
        <f>LN(Index!F543/Index!F542)</f>
        <v>1.0750974101740026E-2</v>
      </c>
      <c r="G542" s="28">
        <f>LN(Index!G543/Index!G542)</f>
        <v>-2.4051951981567963E-3</v>
      </c>
      <c r="H542" s="28">
        <f>LN(Index!H543/Index!H542)</f>
        <v>8.5301842442777492E-4</v>
      </c>
      <c r="I542" s="28">
        <f>LN(Index!I543/Index!I542)</f>
        <v>-1.4926528735142216E-2</v>
      </c>
      <c r="J542" s="28">
        <f>LN(Index!J543/Index!J542)</f>
        <v>2.7090181138118945E-2</v>
      </c>
      <c r="K542" s="28">
        <f>LN(Index!K543/Index!K542)</f>
        <v>-7.3606531754338747E-4</v>
      </c>
      <c r="L542" s="28">
        <f>LN(Index!L543/Index!L542)</f>
        <v>5.4553010073132185E-4</v>
      </c>
      <c r="M542" s="28">
        <f>LN(Index!M543/Index!M542)</f>
        <v>-1.5819930812327673E-2</v>
      </c>
      <c r="N542" s="28">
        <f>LN(Index!N543/Index!N542)</f>
        <v>1.0906524709973636E-2</v>
      </c>
    </row>
    <row r="543" spans="1:14">
      <c r="A543" s="15">
        <v>41418</v>
      </c>
      <c r="B543" s="28">
        <f>LN(Index!B544/Index!B543)</f>
        <v>-1.3467858571055827E-2</v>
      </c>
      <c r="C543" s="28">
        <f>LN(Index!C544/Index!C543)</f>
        <v>-2.4429635984201542E-4</v>
      </c>
      <c r="D543" s="28">
        <f>LN(Index!D544/Index!D543)</f>
        <v>-4.4932121001354117E-2</v>
      </c>
      <c r="E543" s="28">
        <f>LN(Index!E544/Index!E543)</f>
        <v>-2.5029537329806307E-3</v>
      </c>
      <c r="F543" s="28">
        <f>LN(Index!F544/Index!F543)</f>
        <v>-2.1842913395688321E-2</v>
      </c>
      <c r="G543" s="28">
        <f>LN(Index!G544/Index!G543)</f>
        <v>-2.5727574062472523E-2</v>
      </c>
      <c r="H543" s="28">
        <f>LN(Index!H544/Index!H543)</f>
        <v>-1.6371198536023236E-2</v>
      </c>
      <c r="I543" s="28">
        <f>LN(Index!I544/Index!I543)</f>
        <v>-1.1956099108240191E-3</v>
      </c>
      <c r="J543" s="28">
        <f>LN(Index!J544/Index!J543)</f>
        <v>5.4888949821097288E-3</v>
      </c>
      <c r="K543" s="28">
        <f>LN(Index!K544/Index!K543)</f>
        <v>-1.1829796018880382E-2</v>
      </c>
      <c r="L543" s="28">
        <f>LN(Index!L544/Index!L543)</f>
        <v>-2.9444527035976404E-2</v>
      </c>
      <c r="M543" s="28">
        <f>LN(Index!M544/Index!M543)</f>
        <v>-3.5422851954442093E-2</v>
      </c>
      <c r="N543" s="28">
        <f>LN(Index!N544/Index!N543)</f>
        <v>-1.5760111829183875E-2</v>
      </c>
    </row>
    <row r="544" spans="1:14">
      <c r="A544" s="15">
        <v>41425</v>
      </c>
      <c r="B544" s="28">
        <f>LN(Index!B545/Index!B544)</f>
        <v>-1.4038892549025465E-2</v>
      </c>
      <c r="C544" s="28">
        <f>LN(Index!C545/Index!C544)</f>
        <v>-5.3623810020594796E-3</v>
      </c>
      <c r="D544" s="28">
        <f>LN(Index!D545/Index!D544)</f>
        <v>-4.4487987761110646E-2</v>
      </c>
      <c r="E544" s="28">
        <f>LN(Index!E545/Index!E544)</f>
        <v>-2.3362897278877696E-2</v>
      </c>
      <c r="F544" s="28">
        <f>LN(Index!F545/Index!F544)</f>
        <v>-3.7664234970482165E-2</v>
      </c>
      <c r="G544" s="28">
        <f>LN(Index!G545/Index!G544)</f>
        <v>-2.34153710308963E-2</v>
      </c>
      <c r="H544" s="28">
        <f>LN(Index!H545/Index!H544)</f>
        <v>-3.4549591132668644E-2</v>
      </c>
      <c r="I544" s="28">
        <f>LN(Index!I545/Index!I544)</f>
        <v>-1.0201323416656334E-2</v>
      </c>
      <c r="J544" s="28">
        <f>LN(Index!J545/Index!J544)</f>
        <v>-3.2579076120228569E-2</v>
      </c>
      <c r="K544" s="28">
        <f>LN(Index!K545/Index!K544)</f>
        <v>-3.1445525194770358E-4</v>
      </c>
      <c r="L544" s="28">
        <f>LN(Index!L545/Index!L544)</f>
        <v>-3.530460488940209E-2</v>
      </c>
      <c r="M544" s="28">
        <f>LN(Index!M545/Index!M544)</f>
        <v>9.0743906471241094E-3</v>
      </c>
      <c r="N544" s="28">
        <f>LN(Index!N545/Index!N544)</f>
        <v>-3.8229381491405652E-2</v>
      </c>
    </row>
    <row r="545" spans="1:14">
      <c r="A545" s="15">
        <v>41432</v>
      </c>
      <c r="B545" s="28">
        <f>LN(Index!B546/Index!B545)</f>
        <v>-1.1624153714442434E-3</v>
      </c>
      <c r="C545" s="28">
        <f>LN(Index!C546/Index!C545)</f>
        <v>4.1128222596218626E-3</v>
      </c>
      <c r="D545" s="28">
        <f>LN(Index!D546/Index!D545)</f>
        <v>-1.089061614229642E-2</v>
      </c>
      <c r="E545" s="28">
        <f>LN(Index!E546/Index!E545)</f>
        <v>-1.5307324589333847E-3</v>
      </c>
      <c r="F545" s="28">
        <f>LN(Index!F546/Index!F545)</f>
        <v>3.6923325566583367E-4</v>
      </c>
      <c r="G545" s="28">
        <f>LN(Index!G546/Index!G545)</f>
        <v>-3.2352319131362474E-2</v>
      </c>
      <c r="H545" s="28">
        <f>LN(Index!H546/Index!H545)</f>
        <v>-2.4233940841423681E-3</v>
      </c>
      <c r="I545" s="28">
        <f>LN(Index!I546/Index!I545)</f>
        <v>-1.3082814839232982E-2</v>
      </c>
      <c r="J545" s="28">
        <f>LN(Index!J546/Index!J545)</f>
        <v>5.7700493786593029E-3</v>
      </c>
      <c r="K545" s="28">
        <f>LN(Index!K546/Index!K545)</f>
        <v>-7.0516147460171685E-3</v>
      </c>
      <c r="L545" s="28">
        <f>LN(Index!L546/Index!L545)</f>
        <v>2.3071233164151626E-3</v>
      </c>
      <c r="M545" s="28">
        <f>LN(Index!M546/Index!M545)</f>
        <v>-1.0729258218121433E-2</v>
      </c>
      <c r="N545" s="28">
        <f>LN(Index!N546/Index!N545)</f>
        <v>-8.6771441276576652E-3</v>
      </c>
    </row>
    <row r="546" spans="1:14">
      <c r="A546" s="15">
        <v>41439</v>
      </c>
      <c r="B546" s="28">
        <f>LN(Index!B547/Index!B546)</f>
        <v>-4.355760878604331E-3</v>
      </c>
      <c r="C546" s="28">
        <f>LN(Index!C547/Index!C546)</f>
        <v>6.1511974678234941E-3</v>
      </c>
      <c r="D546" s="28">
        <f>LN(Index!D547/Index!D546)</f>
        <v>-6.1961556880307548E-3</v>
      </c>
      <c r="E546" s="28">
        <f>LN(Index!E547/Index!E546)</f>
        <v>-3.4597999313990802E-3</v>
      </c>
      <c r="F546" s="28">
        <f>LN(Index!F547/Index!F546)</f>
        <v>4.0402344112319905E-3</v>
      </c>
      <c r="G546" s="28">
        <f>LN(Index!G547/Index!G546)</f>
        <v>3.6857498113666262E-4</v>
      </c>
      <c r="H546" s="28">
        <f>LN(Index!H547/Index!H546)</f>
        <v>1.4073694148619563E-3</v>
      </c>
      <c r="I546" s="28">
        <f>LN(Index!I547/Index!I546)</f>
        <v>3.3518957442338843E-3</v>
      </c>
      <c r="J546" s="28">
        <f>LN(Index!J547/Index!J546)</f>
        <v>-3.2915706057915273E-2</v>
      </c>
      <c r="K546" s="28">
        <f>LN(Index!K547/Index!K546)</f>
        <v>-1.5923576033744249E-2</v>
      </c>
      <c r="L546" s="28">
        <f>LN(Index!L547/Index!L546)</f>
        <v>-8.6664866537509797E-3</v>
      </c>
      <c r="M546" s="28">
        <f>LN(Index!M547/Index!M546)</f>
        <v>4.2627536168262101E-3</v>
      </c>
      <c r="N546" s="28">
        <f>LN(Index!N547/Index!N546)</f>
        <v>7.5649413549402703E-3</v>
      </c>
    </row>
    <row r="547" spans="1:14">
      <c r="A547" s="15">
        <v>41446</v>
      </c>
      <c r="B547" s="28">
        <f>LN(Index!B548/Index!B547)</f>
        <v>-2.9561739745431821E-2</v>
      </c>
      <c r="C547" s="28">
        <f>LN(Index!C548/Index!C547)</f>
        <v>-2.2760234408964526E-2</v>
      </c>
      <c r="D547" s="28">
        <f>LN(Index!D548/Index!D547)</f>
        <v>-5.2966008413160189E-2</v>
      </c>
      <c r="E547" s="28">
        <f>LN(Index!E548/Index!E547)</f>
        <v>-5.3612526324312591E-2</v>
      </c>
      <c r="F547" s="28">
        <f>LN(Index!F548/Index!F547)</f>
        <v>-4.0889069425504833E-2</v>
      </c>
      <c r="G547" s="28">
        <f>LN(Index!G548/Index!G547)</f>
        <v>-3.344226642095191E-2</v>
      </c>
      <c r="H547" s="28">
        <f>LN(Index!H548/Index!H547)</f>
        <v>-3.3973362138292378E-2</v>
      </c>
      <c r="I547" s="28">
        <f>LN(Index!I548/Index!I547)</f>
        <v>-3.7830715524150835E-2</v>
      </c>
      <c r="J547" s="28">
        <f>LN(Index!J548/Index!J547)</f>
        <v>-8.979376090655497E-2</v>
      </c>
      <c r="K547" s="28">
        <f>LN(Index!K548/Index!K547)</f>
        <v>-4.2984637408930194E-2</v>
      </c>
      <c r="L547" s="28">
        <f>LN(Index!L548/Index!L547)</f>
        <v>-5.1503798719580302E-2</v>
      </c>
      <c r="M547" s="28">
        <f>LN(Index!M548/Index!M547)</f>
        <v>-8.2124582659416981E-2</v>
      </c>
      <c r="N547" s="28">
        <f>LN(Index!N548/Index!N547)</f>
        <v>-3.7787323654998199E-2</v>
      </c>
    </row>
    <row r="548" spans="1:14">
      <c r="A548" s="15">
        <v>41453</v>
      </c>
      <c r="B548" s="28">
        <f>LN(Index!B549/Index!B548)</f>
        <v>8.6593365655270836E-3</v>
      </c>
      <c r="C548" s="28">
        <f>LN(Index!C549/Index!C548)</f>
        <v>-2.7640344021838289E-4</v>
      </c>
      <c r="D548" s="28">
        <f>LN(Index!D549/Index!D548)</f>
        <v>3.8510119548521855E-2</v>
      </c>
      <c r="E548" s="28">
        <f>LN(Index!E549/Index!E548)</f>
        <v>1.2576334489178652E-2</v>
      </c>
      <c r="F548" s="28">
        <f>LN(Index!F549/Index!F548)</f>
        <v>2.303267677833213E-2</v>
      </c>
      <c r="G548" s="28">
        <f>LN(Index!G549/Index!G548)</f>
        <v>1.3758996246628968E-2</v>
      </c>
      <c r="H548" s="28">
        <f>LN(Index!H549/Index!H548)</f>
        <v>1.9859783798255416E-2</v>
      </c>
      <c r="I548" s="28">
        <f>LN(Index!I549/Index!I548)</f>
        <v>3.9062479447575016E-2</v>
      </c>
      <c r="J548" s="28">
        <f>LN(Index!J549/Index!J548)</f>
        <v>3.5017213005475369E-2</v>
      </c>
      <c r="K548" s="28">
        <f>LN(Index!K549/Index!K548)</f>
        <v>8.4412276713249895E-3</v>
      </c>
      <c r="L548" s="28">
        <f>LN(Index!L549/Index!L548)</f>
        <v>2.561219622354537E-2</v>
      </c>
      <c r="M548" s="28">
        <f>LN(Index!M549/Index!M548)</f>
        <v>2.667680096363776E-2</v>
      </c>
      <c r="N548" s="28">
        <f>LN(Index!N549/Index!N548)</f>
        <v>1.5617262755682655E-2</v>
      </c>
    </row>
    <row r="549" spans="1:14">
      <c r="A549" s="15">
        <v>41460</v>
      </c>
      <c r="B549" s="28">
        <f>LN(Index!B550/Index!B549)</f>
        <v>1.0754283901292136E-2</v>
      </c>
      <c r="C549" s="28">
        <f>LN(Index!C550/Index!C549)</f>
        <v>-1.1650509234964256E-2</v>
      </c>
      <c r="D549" s="28">
        <f>LN(Index!D550/Index!D549)</f>
        <v>5.6592599665278107E-3</v>
      </c>
      <c r="E549" s="28">
        <f>LN(Index!E550/Index!E549)</f>
        <v>-8.0190860896255239E-3</v>
      </c>
      <c r="F549" s="28">
        <f>LN(Index!F550/Index!F549)</f>
        <v>-4.5965206702819218E-3</v>
      </c>
      <c r="G549" s="28">
        <f>LN(Index!G550/Index!G549)</f>
        <v>5.7516370636080481E-3</v>
      </c>
      <c r="H549" s="28">
        <f>LN(Index!H550/Index!H549)</f>
        <v>-1.8431350597342099E-2</v>
      </c>
      <c r="I549" s="28">
        <f>LN(Index!I550/Index!I549)</f>
        <v>-9.0541249388946324E-3</v>
      </c>
      <c r="J549" s="28">
        <f>LN(Index!J550/Index!J549)</f>
        <v>-6.3085414048245818E-3</v>
      </c>
      <c r="K549" s="28">
        <f>LN(Index!K550/Index!K549)</f>
        <v>-8.2019502878779033E-3</v>
      </c>
      <c r="L549" s="28">
        <f>LN(Index!L550/Index!L549)</f>
        <v>-9.0976577528050703E-3</v>
      </c>
      <c r="M549" s="28">
        <f>LN(Index!M550/Index!M549)</f>
        <v>-1.0382411004199647E-2</v>
      </c>
      <c r="N549" s="28">
        <f>LN(Index!N550/Index!N549)</f>
        <v>2.9401000775077426E-3</v>
      </c>
    </row>
    <row r="550" spans="1:14">
      <c r="A550" s="15">
        <v>41467</v>
      </c>
      <c r="B550" s="28">
        <f>LN(Index!B551/Index!B550)</f>
        <v>3.3429636976030193E-2</v>
      </c>
      <c r="C550" s="28">
        <f>LN(Index!C551/Index!C550)</f>
        <v>1.1291070508484376E-2</v>
      </c>
      <c r="D550" s="28">
        <f>LN(Index!D551/Index!D550)</f>
        <v>2.5438931583946316E-2</v>
      </c>
      <c r="E550" s="28">
        <f>LN(Index!E551/Index!E550)</f>
        <v>1.7424619633172128E-2</v>
      </c>
      <c r="F550" s="28">
        <f>LN(Index!F551/Index!F550)</f>
        <v>4.6254838059891945E-2</v>
      </c>
      <c r="G550" s="28">
        <f>LN(Index!G551/Index!G550)</f>
        <v>2.3951126049381932E-2</v>
      </c>
      <c r="H550" s="28">
        <f>LN(Index!H551/Index!H550)</f>
        <v>2.7950084974019913E-2</v>
      </c>
      <c r="I550" s="28">
        <f>LN(Index!I551/Index!I550)</f>
        <v>3.7129722976454088E-2</v>
      </c>
      <c r="J550" s="28">
        <f>LN(Index!J551/Index!J550)</f>
        <v>3.5092008213313437E-2</v>
      </c>
      <c r="K550" s="28">
        <f>LN(Index!K551/Index!K550)</f>
        <v>2.3697080277611908E-2</v>
      </c>
      <c r="L550" s="28">
        <f>LN(Index!L551/Index!L550)</f>
        <v>6.4869056752239931E-2</v>
      </c>
      <c r="M550" s="28">
        <f>LN(Index!M551/Index!M550)</f>
        <v>1.5678399292504499E-2</v>
      </c>
      <c r="N550" s="28">
        <f>LN(Index!N551/Index!N550)</f>
        <v>3.7098987053288554E-2</v>
      </c>
    </row>
    <row r="551" spans="1:14">
      <c r="A551" s="15">
        <v>41474</v>
      </c>
      <c r="B551" s="28">
        <f>LN(Index!B552/Index!B551)</f>
        <v>1.0100257520543176E-2</v>
      </c>
      <c r="C551" s="28">
        <f>LN(Index!C552/Index!C551)</f>
        <v>5.7080771013437301E-3</v>
      </c>
      <c r="D551" s="28">
        <f>LN(Index!D552/Index!D551)</f>
        <v>3.9377771966578618E-3</v>
      </c>
      <c r="E551" s="28">
        <f>LN(Index!E552/Index!E551)</f>
        <v>2.6181119666350432E-2</v>
      </c>
      <c r="F551" s="28">
        <f>LN(Index!F552/Index!F551)</f>
        <v>3.9745919656483299E-3</v>
      </c>
      <c r="G551" s="28">
        <f>LN(Index!G552/Index!G551)</f>
        <v>-3.9057815810609716E-3</v>
      </c>
      <c r="H551" s="28">
        <f>LN(Index!H552/Index!H551)</f>
        <v>2.3245579761977081E-2</v>
      </c>
      <c r="I551" s="28">
        <f>LN(Index!I552/Index!I551)</f>
        <v>2.1764841234635835E-2</v>
      </c>
      <c r="J551" s="28">
        <f>LN(Index!J552/Index!J551)</f>
        <v>2.8645149815222665E-2</v>
      </c>
      <c r="K551" s="28">
        <f>LN(Index!K552/Index!K551)</f>
        <v>8.8925622725355663E-4</v>
      </c>
      <c r="L551" s="28">
        <f>LN(Index!L552/Index!L551)</f>
        <v>-2.129572659905998E-2</v>
      </c>
      <c r="M551" s="28">
        <f>LN(Index!M552/Index!M551)</f>
        <v>2.8872452988253115E-2</v>
      </c>
      <c r="N551" s="28">
        <f>LN(Index!N552/Index!N551)</f>
        <v>4.334692286782584E-3</v>
      </c>
    </row>
    <row r="552" spans="1:14">
      <c r="A552" s="15">
        <v>41481</v>
      </c>
      <c r="B552" s="28">
        <f>LN(Index!B553/Index!B552)</f>
        <v>1.7757362582481711E-3</v>
      </c>
      <c r="C552" s="28">
        <f>LN(Index!C553/Index!C552)</f>
        <v>2.0875687414246649E-3</v>
      </c>
      <c r="D552" s="28">
        <f>LN(Index!D553/Index!D552)</f>
        <v>-6.7759215097445659E-3</v>
      </c>
      <c r="E552" s="28">
        <f>LN(Index!E553/Index!E552)</f>
        <v>2.5160609591681677E-3</v>
      </c>
      <c r="F552" s="28">
        <f>LN(Index!F553/Index!F552)</f>
        <v>-2.8106896864650058E-3</v>
      </c>
      <c r="G552" s="28">
        <f>LN(Index!G553/Index!G552)</f>
        <v>1.0313411996096431E-2</v>
      </c>
      <c r="H552" s="28">
        <f>LN(Index!H553/Index!H552)</f>
        <v>-3.7850709760101774E-3</v>
      </c>
      <c r="I552" s="28">
        <f>LN(Index!I553/Index!I552)</f>
        <v>1.8209123843976854E-2</v>
      </c>
      <c r="J552" s="28">
        <f>LN(Index!J553/Index!J552)</f>
        <v>6.7614368071510092E-3</v>
      </c>
      <c r="K552" s="28">
        <f>LN(Index!K553/Index!K552)</f>
        <v>5.6449145475237087E-3</v>
      </c>
      <c r="L552" s="28">
        <f>LN(Index!L553/Index!L552)</f>
        <v>-2.7878087646421506E-2</v>
      </c>
      <c r="M552" s="28">
        <f>LN(Index!M553/Index!M552)</f>
        <v>2.7419968279328119E-2</v>
      </c>
      <c r="N552" s="28">
        <f>LN(Index!N553/Index!N552)</f>
        <v>3.4567765569907061E-3</v>
      </c>
    </row>
    <row r="553" spans="1:14">
      <c r="A553" s="15">
        <v>41488</v>
      </c>
      <c r="B553" s="28">
        <f>LN(Index!B554/Index!B553)</f>
        <v>1.1567114537304355E-2</v>
      </c>
      <c r="C553" s="28">
        <f>LN(Index!C554/Index!C553)</f>
        <v>-1.2630077733968295E-3</v>
      </c>
      <c r="D553" s="28">
        <f>LN(Index!D554/Index!D553)</f>
        <v>-1.5161164122094424E-2</v>
      </c>
      <c r="E553" s="28">
        <f>LN(Index!E554/Index!E553)</f>
        <v>1.4051546423597631E-2</v>
      </c>
      <c r="F553" s="28">
        <f>LN(Index!F554/Index!F553)</f>
        <v>-8.3208224325836033E-4</v>
      </c>
      <c r="G553" s="28">
        <f>LN(Index!G554/Index!G553)</f>
        <v>-6.5107407789080684E-3</v>
      </c>
      <c r="H553" s="28">
        <f>LN(Index!H554/Index!H553)</f>
        <v>1.0701806044078901E-2</v>
      </c>
      <c r="I553" s="28">
        <f>LN(Index!I554/Index!I553)</f>
        <v>1.3878706070399476E-2</v>
      </c>
      <c r="J553" s="28">
        <f>LN(Index!J554/Index!J553)</f>
        <v>-3.2686040270714636E-3</v>
      </c>
      <c r="K553" s="28">
        <f>LN(Index!K554/Index!K553)</f>
        <v>-6.9251547786255644E-3</v>
      </c>
      <c r="L553" s="28">
        <f>LN(Index!L554/Index!L553)</f>
        <v>-3.3695496323471359E-2</v>
      </c>
      <c r="M553" s="28">
        <f>LN(Index!M554/Index!M553)</f>
        <v>4.3692375750079768E-3</v>
      </c>
      <c r="N553" s="28">
        <f>LN(Index!N554/Index!N553)</f>
        <v>6.5363782412783712E-3</v>
      </c>
    </row>
    <row r="554" spans="1:14">
      <c r="A554" s="15">
        <v>41495</v>
      </c>
      <c r="B554" s="28">
        <f>LN(Index!B555/Index!B554)</f>
        <v>-4.5413783842503282E-3</v>
      </c>
      <c r="C554" s="28">
        <f>LN(Index!C555/Index!C554)</f>
        <v>5.4524417564950399E-3</v>
      </c>
      <c r="D554" s="28">
        <f>LN(Index!D555/Index!D554)</f>
        <v>-2.8294146129972307E-4</v>
      </c>
      <c r="E554" s="28">
        <f>LN(Index!E555/Index!E554)</f>
        <v>4.2761821657703288E-3</v>
      </c>
      <c r="F554" s="28">
        <f>LN(Index!F555/Index!F554)</f>
        <v>-1.6291967347359843E-2</v>
      </c>
      <c r="G554" s="28">
        <f>LN(Index!G555/Index!G554)</f>
        <v>-9.696103700850613E-3</v>
      </c>
      <c r="H554" s="28">
        <f>LN(Index!H555/Index!H554)</f>
        <v>-8.4484481229235662E-3</v>
      </c>
      <c r="I554" s="28">
        <f>LN(Index!I555/Index!I554)</f>
        <v>1.629665696029349E-2</v>
      </c>
      <c r="J554" s="28">
        <f>LN(Index!J555/Index!J554)</f>
        <v>-5.9909117596265386E-3</v>
      </c>
      <c r="K554" s="28">
        <f>LN(Index!K555/Index!K554)</f>
        <v>-1.799692998657304E-2</v>
      </c>
      <c r="L554" s="28">
        <f>LN(Index!L555/Index!L554)</f>
        <v>-2.0179120082413536E-4</v>
      </c>
      <c r="M554" s="28">
        <f>LN(Index!M555/Index!M554)</f>
        <v>1.0810056410676613E-2</v>
      </c>
      <c r="N554" s="28">
        <f>LN(Index!N555/Index!N554)</f>
        <v>-1.8776333050751579E-2</v>
      </c>
    </row>
    <row r="555" spans="1:14">
      <c r="A555" s="15">
        <v>41502</v>
      </c>
      <c r="B555" s="28">
        <f>LN(Index!B556/Index!B555)</f>
        <v>-1.1924903310272959E-2</v>
      </c>
      <c r="C555" s="28">
        <f>LN(Index!C556/Index!C555)</f>
        <v>-1.1929773150336834E-2</v>
      </c>
      <c r="D555" s="28">
        <f>LN(Index!D556/Index!D555)</f>
        <v>-3.7892714243125895E-2</v>
      </c>
      <c r="E555" s="28">
        <f>LN(Index!E556/Index!E555)</f>
        <v>-1.7320648611269578E-2</v>
      </c>
      <c r="F555" s="28">
        <f>LN(Index!F556/Index!F555)</f>
        <v>-2.8930554679090587E-2</v>
      </c>
      <c r="G555" s="28">
        <f>LN(Index!G556/Index!G555)</f>
        <v>2.1361887968819066E-3</v>
      </c>
      <c r="H555" s="28">
        <f>LN(Index!H556/Index!H555)</f>
        <v>-4.214231255916278E-2</v>
      </c>
      <c r="I555" s="28">
        <f>LN(Index!I556/Index!I555)</f>
        <v>-2.8361102551893945E-3</v>
      </c>
      <c r="J555" s="28">
        <f>LN(Index!J556/Index!J555)</f>
        <v>-3.92354350498944E-2</v>
      </c>
      <c r="K555" s="28">
        <f>LN(Index!K556/Index!K555)</f>
        <v>-5.8597328173660057E-4</v>
      </c>
      <c r="L555" s="28">
        <f>LN(Index!L556/Index!L555)</f>
        <v>-1.4342764725840758E-2</v>
      </c>
      <c r="M555" s="28">
        <f>LN(Index!M556/Index!M555)</f>
        <v>-6.7033515568350856E-3</v>
      </c>
      <c r="N555" s="28">
        <f>LN(Index!N556/Index!N555)</f>
        <v>-1.7907533606499163E-2</v>
      </c>
    </row>
    <row r="556" spans="1:14">
      <c r="A556" s="15">
        <v>41509</v>
      </c>
      <c r="B556" s="28">
        <f>LN(Index!B557/Index!B556)</f>
        <v>-2.0548240380652212E-4</v>
      </c>
      <c r="C556" s="28">
        <f>LN(Index!C557/Index!C556)</f>
        <v>-3.0422457539495669E-4</v>
      </c>
      <c r="D556" s="28">
        <f>LN(Index!D557/Index!D556)</f>
        <v>1.4684721720180859E-3</v>
      </c>
      <c r="E556" s="28">
        <f>LN(Index!E557/Index!E556)</f>
        <v>4.5495323251551313E-3</v>
      </c>
      <c r="F556" s="28">
        <f>LN(Index!F557/Index!F556)</f>
        <v>1.9041499817085185E-3</v>
      </c>
      <c r="G556" s="28">
        <f>LN(Index!G557/Index!G556)</f>
        <v>-2.7902718611930891E-2</v>
      </c>
      <c r="H556" s="28">
        <f>LN(Index!H557/Index!H556)</f>
        <v>-3.9086610525364803E-3</v>
      </c>
      <c r="I556" s="28">
        <f>LN(Index!I557/Index!I556)</f>
        <v>-1.9284883339835291E-2</v>
      </c>
      <c r="J556" s="28">
        <f>LN(Index!J557/Index!J556)</f>
        <v>4.1705379242049185E-3</v>
      </c>
      <c r="K556" s="28">
        <f>LN(Index!K557/Index!K556)</f>
        <v>7.5986802094363736E-4</v>
      </c>
      <c r="L556" s="28">
        <f>LN(Index!L557/Index!L556)</f>
        <v>2.3152673721254718E-2</v>
      </c>
      <c r="M556" s="28">
        <f>LN(Index!M557/Index!M556)</f>
        <v>-1.2015467626299519E-2</v>
      </c>
      <c r="N556" s="28">
        <f>LN(Index!N557/Index!N556)</f>
        <v>-4.7758373801777554E-3</v>
      </c>
    </row>
    <row r="557" spans="1:14">
      <c r="A557" s="15">
        <v>41516</v>
      </c>
      <c r="B557" s="28">
        <f>LN(Index!B558/Index!B557)</f>
        <v>-2.3984539115314566E-2</v>
      </c>
      <c r="C557" s="28">
        <f>LN(Index!C558/Index!C557)</f>
        <v>2.7622800835566323E-3</v>
      </c>
      <c r="D557" s="28">
        <f>LN(Index!D558/Index!D557)</f>
        <v>-1.2046204126460477E-2</v>
      </c>
      <c r="E557" s="28">
        <f>LN(Index!E558/Index!E557)</f>
        <v>-2.7153868710221865E-2</v>
      </c>
      <c r="F557" s="28">
        <f>LN(Index!F558/Index!F557)</f>
        <v>-5.260992773678216E-3</v>
      </c>
      <c r="G557" s="28">
        <f>LN(Index!G558/Index!G557)</f>
        <v>-1.484507693775293E-2</v>
      </c>
      <c r="H557" s="28">
        <f>LN(Index!H558/Index!H557)</f>
        <v>-1.2883020996333943E-2</v>
      </c>
      <c r="I557" s="28">
        <f>LN(Index!I558/Index!I557)</f>
        <v>-3.9095821858434583E-2</v>
      </c>
      <c r="J557" s="28">
        <f>LN(Index!J558/Index!J557)</f>
        <v>-2.5272231094298263E-2</v>
      </c>
      <c r="K557" s="28">
        <f>LN(Index!K558/Index!K557)</f>
        <v>2.627814600924186E-2</v>
      </c>
      <c r="L557" s="28">
        <f>LN(Index!L558/Index!L557)</f>
        <v>-3.5831087055934615E-3</v>
      </c>
      <c r="M557" s="28">
        <f>LN(Index!M558/Index!M557)</f>
        <v>-3.6898355267694201E-2</v>
      </c>
      <c r="N557" s="28">
        <f>LN(Index!N558/Index!N557)</f>
        <v>-8.3142587596080862E-3</v>
      </c>
    </row>
    <row r="558" spans="1:14">
      <c r="A558" s="15">
        <v>41523</v>
      </c>
      <c r="B558" s="28">
        <f>LN(Index!B559/Index!B558)</f>
        <v>1.9939218093926535E-2</v>
      </c>
      <c r="C558" s="28">
        <f>LN(Index!C559/Index!C558)</f>
        <v>-8.7549736365025322E-3</v>
      </c>
      <c r="D558" s="28">
        <f>LN(Index!D559/Index!D558)</f>
        <v>1.4274160019909114E-2</v>
      </c>
      <c r="E558" s="28">
        <f>LN(Index!E559/Index!E558)</f>
        <v>1.5806114402050722E-2</v>
      </c>
      <c r="F558" s="28">
        <f>LN(Index!F559/Index!F558)</f>
        <v>-4.3852621624659921E-3</v>
      </c>
      <c r="G558" s="28">
        <f>LN(Index!G559/Index!G558)</f>
        <v>1.208402532638436E-2</v>
      </c>
      <c r="H558" s="28">
        <f>LN(Index!H559/Index!H558)</f>
        <v>-1.2150482108145772E-3</v>
      </c>
      <c r="I558" s="28">
        <f>LN(Index!I559/Index!I558)</f>
        <v>1.9720383777532678E-2</v>
      </c>
      <c r="J558" s="28">
        <f>LN(Index!J559/Index!J558)</f>
        <v>1.6745018875209662E-2</v>
      </c>
      <c r="K558" s="28">
        <f>LN(Index!K559/Index!K558)</f>
        <v>4.7444557403626495E-3</v>
      </c>
      <c r="L558" s="28">
        <f>LN(Index!L559/Index!L558)</f>
        <v>1.7078061202797014E-2</v>
      </c>
      <c r="M558" s="28">
        <f>LN(Index!M559/Index!M558)</f>
        <v>3.5323312719568303E-2</v>
      </c>
      <c r="N558" s="28">
        <f>LN(Index!N559/Index!N558)</f>
        <v>-4.6224816957674405E-3</v>
      </c>
    </row>
    <row r="559" spans="1:14">
      <c r="A559" s="15">
        <v>41530</v>
      </c>
      <c r="B559" s="28">
        <f>LN(Index!B560/Index!B559)</f>
        <v>2.0632327477624817E-2</v>
      </c>
      <c r="C559" s="28">
        <f>LN(Index!C560/Index!C559)</f>
        <v>3.8328056919747066E-3</v>
      </c>
      <c r="D559" s="28">
        <f>LN(Index!D560/Index!D559)</f>
        <v>2.5613518284043423E-2</v>
      </c>
      <c r="E559" s="28">
        <f>LN(Index!E560/Index!E559)</f>
        <v>1.5752490591126937E-2</v>
      </c>
      <c r="F559" s="28">
        <f>LN(Index!F560/Index!F559)</f>
        <v>5.2144574791326359E-3</v>
      </c>
      <c r="G559" s="28">
        <f>LN(Index!G560/Index!G559)</f>
        <v>1.6538218439783807E-2</v>
      </c>
      <c r="H559" s="28">
        <f>LN(Index!H560/Index!H559)</f>
        <v>6.4956799922606676E-3</v>
      </c>
      <c r="I559" s="28">
        <f>LN(Index!I560/Index!I559)</f>
        <v>2.977058845877098E-2</v>
      </c>
      <c r="J559" s="28">
        <f>LN(Index!J560/Index!J559)</f>
        <v>-8.8696674980216403E-4</v>
      </c>
      <c r="K559" s="28">
        <f>LN(Index!K560/Index!K559)</f>
        <v>2.4217738999764319E-2</v>
      </c>
      <c r="L559" s="28">
        <f>LN(Index!L560/Index!L559)</f>
        <v>7.9891225614359303E-3</v>
      </c>
      <c r="M559" s="28">
        <f>LN(Index!M560/Index!M559)</f>
        <v>2.5768751294118142E-2</v>
      </c>
      <c r="N559" s="28">
        <f>LN(Index!N560/Index!N559)</f>
        <v>6.5104651962515697E-3</v>
      </c>
    </row>
    <row r="560" spans="1:14">
      <c r="A560" s="15">
        <v>41537</v>
      </c>
      <c r="B560" s="28">
        <f>LN(Index!B561/Index!B560)</f>
        <v>1.9077227424797578E-2</v>
      </c>
      <c r="C560" s="28">
        <f>LN(Index!C561/Index!C560)</f>
        <v>1.0259328815855921E-2</v>
      </c>
      <c r="D560" s="28">
        <f>LN(Index!D561/Index!D560)</f>
        <v>3.0968838988796366E-2</v>
      </c>
      <c r="E560" s="28">
        <f>LN(Index!E561/Index!E560)</f>
        <v>3.5596968732505826E-2</v>
      </c>
      <c r="F560" s="28">
        <f>LN(Index!F561/Index!F560)</f>
        <v>1.9430374979263611E-2</v>
      </c>
      <c r="G560" s="28">
        <f>LN(Index!G561/Index!G560)</f>
        <v>3.466091770436424E-2</v>
      </c>
      <c r="H560" s="28">
        <f>LN(Index!H561/Index!H560)</f>
        <v>2.722881136678619E-2</v>
      </c>
      <c r="I560" s="28">
        <f>LN(Index!I561/Index!I560)</f>
        <v>3.4657723475005751E-2</v>
      </c>
      <c r="J560" s="28">
        <f>LN(Index!J561/Index!J560)</f>
        <v>3.4621127706384973E-2</v>
      </c>
      <c r="K560" s="28">
        <f>LN(Index!K561/Index!K560)</f>
        <v>3.3847426879042221E-2</v>
      </c>
      <c r="L560" s="28">
        <f>LN(Index!L561/Index!L560)</f>
        <v>8.4691127623680151E-3</v>
      </c>
      <c r="M560" s="28">
        <f>LN(Index!M561/Index!M560)</f>
        <v>4.5426590846626098E-2</v>
      </c>
      <c r="N560" s="28">
        <f>LN(Index!N561/Index!N560)</f>
        <v>2.4339289477958027E-2</v>
      </c>
    </row>
    <row r="561" spans="1:14">
      <c r="A561" s="15">
        <v>41544</v>
      </c>
      <c r="B561" s="28">
        <f>LN(Index!B562/Index!B561)</f>
        <v>-5.3042696319316835E-3</v>
      </c>
      <c r="C561" s="28">
        <f>LN(Index!C562/Index!C561)</f>
        <v>7.353677839710469E-3</v>
      </c>
      <c r="D561" s="28">
        <f>LN(Index!D562/Index!D561)</f>
        <v>-6.3848313951970041E-3</v>
      </c>
      <c r="E561" s="28">
        <f>LN(Index!E562/Index!E561)</f>
        <v>-5.9835950080715898E-3</v>
      </c>
      <c r="F561" s="28">
        <f>LN(Index!F562/Index!F561)</f>
        <v>3.5091721944813755E-3</v>
      </c>
      <c r="G561" s="28">
        <f>LN(Index!G562/Index!G561)</f>
        <v>3.2050432560889177E-3</v>
      </c>
      <c r="H561" s="28">
        <f>LN(Index!H562/Index!H561)</f>
        <v>-8.1367739473041725E-3</v>
      </c>
      <c r="I561" s="28">
        <f>LN(Index!I562/Index!I561)</f>
        <v>-1.8758005703853458E-4</v>
      </c>
      <c r="J561" s="28">
        <f>LN(Index!J562/Index!J561)</f>
        <v>-7.7402321380837128E-4</v>
      </c>
      <c r="K561" s="28">
        <f>LN(Index!K562/Index!K561)</f>
        <v>1.564887471725061E-2</v>
      </c>
      <c r="L561" s="28">
        <f>LN(Index!L562/Index!L561)</f>
        <v>1.2615991374487349E-2</v>
      </c>
      <c r="M561" s="28">
        <f>LN(Index!M562/Index!M561)</f>
        <v>4.2753491684143731E-3</v>
      </c>
      <c r="N561" s="28">
        <f>LN(Index!N562/Index!N561)</f>
        <v>7.4686993474862577E-4</v>
      </c>
    </row>
    <row r="562" spans="1:14">
      <c r="A562" s="15">
        <v>41551</v>
      </c>
      <c r="B562" s="28">
        <f>LN(Index!B563/Index!B562)</f>
        <v>-4.8283891657379752E-3</v>
      </c>
      <c r="C562" s="28">
        <f>LN(Index!C563/Index!C562)</f>
        <v>1.7144494150876082E-3</v>
      </c>
      <c r="D562" s="28">
        <f>LN(Index!D563/Index!D562)</f>
        <v>-1.4191796175477318E-2</v>
      </c>
      <c r="E562" s="28">
        <f>LN(Index!E563/Index!E562)</f>
        <v>1.0215976876958268E-2</v>
      </c>
      <c r="F562" s="28">
        <f>LN(Index!F563/Index!F562)</f>
        <v>-1.2447486686773939E-2</v>
      </c>
      <c r="G562" s="28">
        <f>LN(Index!G563/Index!G562)</f>
        <v>3.7703411091895454E-3</v>
      </c>
      <c r="H562" s="28">
        <f>LN(Index!H563/Index!H562)</f>
        <v>-6.6305671563962176E-4</v>
      </c>
      <c r="I562" s="28">
        <f>LN(Index!I563/Index!I562)</f>
        <v>1.3210351315354711E-2</v>
      </c>
      <c r="J562" s="28">
        <f>LN(Index!J563/Index!J562)</f>
        <v>-1.5156323827899103E-3</v>
      </c>
      <c r="K562" s="28">
        <f>LN(Index!K563/Index!K562)</f>
        <v>2.8721699263347645E-3</v>
      </c>
      <c r="L562" s="28">
        <f>LN(Index!L563/Index!L562)</f>
        <v>-2.2884133788830145E-2</v>
      </c>
      <c r="M562" s="28">
        <f>LN(Index!M563/Index!M562)</f>
        <v>2.5185057563801214E-2</v>
      </c>
      <c r="N562" s="28">
        <f>LN(Index!N563/Index!N562)</f>
        <v>-7.5099249115885714E-3</v>
      </c>
    </row>
    <row r="563" spans="1:14">
      <c r="A563" s="15">
        <v>41558</v>
      </c>
      <c r="B563" s="28">
        <f>LN(Index!B564/Index!B563)</f>
        <v>6.3449332787300439E-3</v>
      </c>
      <c r="C563" s="28">
        <f>LN(Index!C564/Index!C563)</f>
        <v>-1.6599772503501952E-3</v>
      </c>
      <c r="D563" s="28">
        <f>LN(Index!D564/Index!D563)</f>
        <v>1.8526822138401053E-2</v>
      </c>
      <c r="E563" s="28">
        <f>LN(Index!E564/Index!E563)</f>
        <v>4.4752085168453639E-3</v>
      </c>
      <c r="F563" s="28">
        <f>LN(Index!F564/Index!F563)</f>
        <v>1.5759509444502554E-2</v>
      </c>
      <c r="G563" s="28">
        <f>LN(Index!G564/Index!G563)</f>
        <v>1.3089197165471763E-2</v>
      </c>
      <c r="H563" s="28">
        <f>LN(Index!H564/Index!H563)</f>
        <v>1.5372759461953558E-2</v>
      </c>
      <c r="I563" s="28">
        <f>LN(Index!I564/Index!I563)</f>
        <v>1.8468916708235632E-2</v>
      </c>
      <c r="J563" s="28">
        <f>LN(Index!J564/Index!J563)</f>
        <v>7.2420992780948485E-3</v>
      </c>
      <c r="K563" s="28">
        <f>LN(Index!K564/Index!K563)</f>
        <v>1.0423318129623606E-2</v>
      </c>
      <c r="L563" s="28">
        <f>LN(Index!L564/Index!L563)</f>
        <v>1.5127809780918169E-2</v>
      </c>
      <c r="M563" s="28">
        <f>LN(Index!M564/Index!M563)</f>
        <v>2.3417869213126576E-2</v>
      </c>
      <c r="N563" s="28">
        <f>LN(Index!N564/Index!N563)</f>
        <v>1.0669204585088214E-2</v>
      </c>
    </row>
    <row r="564" spans="1:14">
      <c r="A564" s="15">
        <v>41565</v>
      </c>
      <c r="B564" s="28">
        <f>LN(Index!B565/Index!B564)</f>
        <v>2.5854794163139627E-2</v>
      </c>
      <c r="C564" s="28">
        <f>LN(Index!C565/Index!C564)</f>
        <v>7.1373628906676598E-3</v>
      </c>
      <c r="D564" s="28">
        <f>LN(Index!D565/Index!D564)</f>
        <v>2.4432877951132897E-2</v>
      </c>
      <c r="E564" s="28">
        <f>LN(Index!E565/Index!E564)</f>
        <v>2.9736732431688059E-2</v>
      </c>
      <c r="F564" s="28">
        <f>LN(Index!F565/Index!F564)</f>
        <v>2.3071737218747355E-2</v>
      </c>
      <c r="G564" s="28">
        <f>LN(Index!G565/Index!G564)</f>
        <v>1.8286201317529987E-3</v>
      </c>
      <c r="H564" s="28">
        <f>LN(Index!H565/Index!H564)</f>
        <v>1.937612070615569E-2</v>
      </c>
      <c r="I564" s="28">
        <f>LN(Index!I565/Index!I564)</f>
        <v>1.799884686928279E-2</v>
      </c>
      <c r="J564" s="28">
        <f>LN(Index!J565/Index!J564)</f>
        <v>2.7739496585800483E-2</v>
      </c>
      <c r="K564" s="28">
        <f>LN(Index!K565/Index!K564)</f>
        <v>-1.4416966545871743E-2</v>
      </c>
      <c r="L564" s="28">
        <f>LN(Index!L565/Index!L564)</f>
        <v>4.8612761897551669E-2</v>
      </c>
      <c r="M564" s="28">
        <f>LN(Index!M565/Index!M564)</f>
        <v>3.0119113172792235E-2</v>
      </c>
      <c r="N564" s="28">
        <f>LN(Index!N565/Index!N564)</f>
        <v>1.7262107268505533E-2</v>
      </c>
    </row>
    <row r="565" spans="1:14">
      <c r="A565" s="15">
        <v>41572</v>
      </c>
      <c r="B565" s="28">
        <f>LN(Index!B566/Index!B565)</f>
        <v>6.1258418069969379E-3</v>
      </c>
      <c r="C565" s="28">
        <f>LN(Index!C566/Index!C565)</f>
        <v>4.7211256504537504E-3</v>
      </c>
      <c r="D565" s="28">
        <f>LN(Index!D566/Index!D565)</f>
        <v>1.568203647057876E-3</v>
      </c>
      <c r="E565" s="28">
        <f>LN(Index!E566/Index!E565)</f>
        <v>1.4882326110102517E-2</v>
      </c>
      <c r="F565" s="28">
        <f>LN(Index!F566/Index!F565)</f>
        <v>1.8589576107829013E-2</v>
      </c>
      <c r="G565" s="28">
        <f>LN(Index!G566/Index!G565)</f>
        <v>-9.2037818558387205E-3</v>
      </c>
      <c r="H565" s="28">
        <f>LN(Index!H566/Index!H565)</f>
        <v>2.0682575079251145E-2</v>
      </c>
      <c r="I565" s="28">
        <f>LN(Index!I566/Index!I565)</f>
        <v>1.0166332430546736E-2</v>
      </c>
      <c r="J565" s="28">
        <f>LN(Index!J566/Index!J565)</f>
        <v>1.2559281021933284E-2</v>
      </c>
      <c r="K565" s="28">
        <f>LN(Index!K566/Index!K565)</f>
        <v>-3.0698761246510955E-3</v>
      </c>
      <c r="L565" s="28">
        <f>LN(Index!L566/Index!L565)</f>
        <v>1.4621520537457477E-2</v>
      </c>
      <c r="M565" s="28">
        <f>LN(Index!M566/Index!M565)</f>
        <v>1.0524878968203439E-2</v>
      </c>
      <c r="N565" s="28">
        <f>LN(Index!N566/Index!N565)</f>
        <v>1.206667941829921E-2</v>
      </c>
    </row>
    <row r="566" spans="1:14">
      <c r="A566" s="15">
        <v>41579</v>
      </c>
      <c r="B566" s="28">
        <f>LN(Index!B567/Index!B566)</f>
        <v>-6.3010608312251502E-3</v>
      </c>
      <c r="C566" s="28">
        <f>LN(Index!C567/Index!C566)</f>
        <v>-6.8055030546750059E-3</v>
      </c>
      <c r="D566" s="28">
        <f>LN(Index!D567/Index!D566)</f>
        <v>-2.0801667263021371E-2</v>
      </c>
      <c r="E566" s="28">
        <f>LN(Index!E567/Index!E566)</f>
        <v>-1.9487733568011159E-2</v>
      </c>
      <c r="F566" s="28">
        <f>LN(Index!F567/Index!F566)</f>
        <v>-7.7506196479056122E-3</v>
      </c>
      <c r="G566" s="28">
        <f>LN(Index!G567/Index!G566)</f>
        <v>-7.0989963897889257E-3</v>
      </c>
      <c r="H566" s="28">
        <f>LN(Index!H567/Index!H566)</f>
        <v>-9.5100294258927461E-3</v>
      </c>
      <c r="I566" s="28">
        <f>LN(Index!I567/Index!I566)</f>
        <v>-1.8424355989140211E-2</v>
      </c>
      <c r="J566" s="28">
        <f>LN(Index!J567/Index!J566)</f>
        <v>-2.0012969681935684E-2</v>
      </c>
      <c r="K566" s="28">
        <f>LN(Index!K567/Index!K566)</f>
        <v>-1.9302066674173463E-3</v>
      </c>
      <c r="L566" s="28">
        <f>LN(Index!L567/Index!L566)</f>
        <v>-7.3611567495727665E-3</v>
      </c>
      <c r="M566" s="28">
        <f>LN(Index!M567/Index!M566)</f>
        <v>-3.4748093815728354E-2</v>
      </c>
      <c r="N566" s="28">
        <f>LN(Index!N567/Index!N566)</f>
        <v>-6.6805668802027065E-3</v>
      </c>
    </row>
    <row r="567" spans="1:14">
      <c r="A567" s="15">
        <v>41586</v>
      </c>
      <c r="B567" s="28">
        <f>LN(Index!B568/Index!B567)</f>
        <v>-9.8931175769815497E-4</v>
      </c>
      <c r="C567" s="28">
        <f>LN(Index!C568/Index!C567)</f>
        <v>-5.8431224392089974E-3</v>
      </c>
      <c r="D567" s="28">
        <f>LN(Index!D568/Index!D567)</f>
        <v>-2.4856754936637592E-2</v>
      </c>
      <c r="E567" s="28">
        <f>LN(Index!E568/Index!E567)</f>
        <v>-7.1946804364573704E-3</v>
      </c>
      <c r="F567" s="28">
        <f>LN(Index!F568/Index!F567)</f>
        <v>-6.9798973193753704E-3</v>
      </c>
      <c r="G567" s="28">
        <f>LN(Index!G568/Index!G567)</f>
        <v>-1.2559612889279049E-2</v>
      </c>
      <c r="H567" s="28">
        <f>LN(Index!H568/Index!H567)</f>
        <v>-7.9938941934457226E-3</v>
      </c>
      <c r="I567" s="28">
        <f>LN(Index!I568/Index!I567)</f>
        <v>-2.328932068206516E-2</v>
      </c>
      <c r="J567" s="28">
        <f>LN(Index!J568/Index!J567)</f>
        <v>-1.870950790637279E-2</v>
      </c>
      <c r="K567" s="28">
        <f>LN(Index!K568/Index!K567)</f>
        <v>-2.45067820686194E-2</v>
      </c>
      <c r="L567" s="28">
        <f>LN(Index!L568/Index!L567)</f>
        <v>5.5143835730308004E-4</v>
      </c>
      <c r="M567" s="28">
        <f>LN(Index!M568/Index!M567)</f>
        <v>-2.617502011055537E-3</v>
      </c>
      <c r="N567" s="28">
        <f>LN(Index!N568/Index!N567)</f>
        <v>-1.026949086216509E-2</v>
      </c>
    </row>
    <row r="568" spans="1:14">
      <c r="A568" s="15">
        <v>41593</v>
      </c>
      <c r="B568" s="28">
        <f>LN(Index!B569/Index!B568)</f>
        <v>1.567572452867827E-2</v>
      </c>
      <c r="C568" s="28">
        <f>LN(Index!C569/Index!C568)</f>
        <v>3.4284814949816474E-3</v>
      </c>
      <c r="D568" s="28">
        <f>LN(Index!D569/Index!D568)</f>
        <v>1.7269843284596777E-2</v>
      </c>
      <c r="E568" s="28">
        <f>LN(Index!E569/Index!E568)</f>
        <v>7.3703357339439763E-3</v>
      </c>
      <c r="F568" s="28">
        <f>LN(Index!F569/Index!F568)</f>
        <v>7.9892149843054198E-3</v>
      </c>
      <c r="G568" s="28">
        <f>LN(Index!G569/Index!G568)</f>
        <v>7.4662530891668388E-3</v>
      </c>
      <c r="H568" s="28">
        <f>LN(Index!H569/Index!H568)</f>
        <v>-8.372919661449609E-4</v>
      </c>
      <c r="I568" s="28">
        <f>LN(Index!I569/Index!I568)</f>
        <v>2.523898203556274E-2</v>
      </c>
      <c r="J568" s="28">
        <f>LN(Index!J569/Index!J568)</f>
        <v>2.2036081634140402E-2</v>
      </c>
      <c r="K568" s="28">
        <f>LN(Index!K569/Index!K568)</f>
        <v>8.7065289598141284E-4</v>
      </c>
      <c r="L568" s="28">
        <f>LN(Index!L569/Index!L568)</f>
        <v>8.5316390905427943E-3</v>
      </c>
      <c r="M568" s="28">
        <f>LN(Index!M569/Index!M568)</f>
        <v>8.1513479686739464E-3</v>
      </c>
      <c r="N568" s="28">
        <f>LN(Index!N569/Index!N568)</f>
        <v>1.00093894830904E-2</v>
      </c>
    </row>
    <row r="569" spans="1:14">
      <c r="A569" s="15">
        <v>41600</v>
      </c>
      <c r="B569" s="28">
        <f>LN(Index!B570/Index!B569)</f>
        <v>1.0170589383947126E-3</v>
      </c>
      <c r="C569" s="28">
        <f>LN(Index!C570/Index!C569)</f>
        <v>-1.0327491066034198E-3</v>
      </c>
      <c r="D569" s="28">
        <f>LN(Index!D570/Index!D569)</f>
        <v>-2.1861557936442892E-2</v>
      </c>
      <c r="E569" s="28">
        <f>LN(Index!E570/Index!E569)</f>
        <v>-6.1701286576398466E-3</v>
      </c>
      <c r="F569" s="28">
        <f>LN(Index!F570/Index!F569)</f>
        <v>-1.4785594350712474E-2</v>
      </c>
      <c r="G569" s="28">
        <f>LN(Index!G570/Index!G569)</f>
        <v>3.1332434360832597E-3</v>
      </c>
      <c r="H569" s="28">
        <f>LN(Index!H570/Index!H569)</f>
        <v>-7.7332312392568645E-3</v>
      </c>
      <c r="I569" s="28">
        <f>LN(Index!I570/Index!I569)</f>
        <v>-1.9777119381372759E-2</v>
      </c>
      <c r="J569" s="28">
        <f>LN(Index!J570/Index!J569)</f>
        <v>-1.8278834932138239E-2</v>
      </c>
      <c r="K569" s="28">
        <f>LN(Index!K570/Index!K569)</f>
        <v>4.3588373453216141E-3</v>
      </c>
      <c r="L569" s="28">
        <f>LN(Index!L570/Index!L569)</f>
        <v>-3.0662544982080514E-2</v>
      </c>
      <c r="M569" s="28">
        <f>LN(Index!M570/Index!M569)</f>
        <v>-1.2138754404443619E-2</v>
      </c>
      <c r="N569" s="28">
        <f>LN(Index!N570/Index!N569)</f>
        <v>-3.4030256767133994E-3</v>
      </c>
    </row>
    <row r="570" spans="1:14">
      <c r="A570" s="15">
        <v>41607</v>
      </c>
      <c r="B570" s="28">
        <f>LN(Index!B571/Index!B570)</f>
        <v>3.2415138622291797E-3</v>
      </c>
      <c r="C570" s="28">
        <f>LN(Index!C571/Index!C570)</f>
        <v>9.2408888700298483E-4</v>
      </c>
      <c r="D570" s="28">
        <f>LN(Index!D571/Index!D570)</f>
        <v>-4.3275320924540282E-3</v>
      </c>
      <c r="E570" s="28">
        <f>LN(Index!E571/Index!E570)</f>
        <v>1.623171287365905E-2</v>
      </c>
      <c r="F570" s="28">
        <f>LN(Index!F571/Index!F570)</f>
        <v>-9.9189216553442726E-3</v>
      </c>
      <c r="G570" s="28">
        <f>LN(Index!G571/Index!G570)</f>
        <v>5.4965177427641664E-3</v>
      </c>
      <c r="H570" s="28">
        <f>LN(Index!H571/Index!H570)</f>
        <v>-2.6041363296978683E-3</v>
      </c>
      <c r="I570" s="28">
        <f>LN(Index!I571/Index!I570)</f>
        <v>2.7507416829862252E-2</v>
      </c>
      <c r="J570" s="28">
        <f>LN(Index!J571/Index!J570)</f>
        <v>-3.3240111224413457E-3</v>
      </c>
      <c r="K570" s="28">
        <f>LN(Index!K571/Index!K570)</f>
        <v>8.2388162735706576E-4</v>
      </c>
      <c r="L570" s="28">
        <f>LN(Index!L571/Index!L570)</f>
        <v>5.6584438549469058E-3</v>
      </c>
      <c r="M570" s="28">
        <f>LN(Index!M571/Index!M570)</f>
        <v>1.6619013421570038E-2</v>
      </c>
      <c r="N570" s="28">
        <f>LN(Index!N571/Index!N570)</f>
        <v>-3.1714687999934285E-3</v>
      </c>
    </row>
    <row r="571" spans="1:14">
      <c r="A571" s="15">
        <v>41614</v>
      </c>
      <c r="B571" s="28">
        <f>LN(Index!B572/Index!B571)</f>
        <v>-9.7562351504829822E-3</v>
      </c>
      <c r="C571" s="28">
        <f>LN(Index!C572/Index!C571)</f>
        <v>-5.038480053698397E-3</v>
      </c>
      <c r="D571" s="28">
        <f>LN(Index!D572/Index!D571)</f>
        <v>-1.0843790814665331E-2</v>
      </c>
      <c r="E571" s="28">
        <f>LN(Index!E572/Index!E571)</f>
        <v>-2.1770681646861027E-2</v>
      </c>
      <c r="F571" s="28">
        <f>LN(Index!F572/Index!F571)</f>
        <v>5.3359094955390844E-3</v>
      </c>
      <c r="G571" s="28">
        <f>LN(Index!G572/Index!G571)</f>
        <v>-1.8203388487124619E-2</v>
      </c>
      <c r="H571" s="28">
        <f>LN(Index!H572/Index!H571)</f>
        <v>-1.032670788522499E-2</v>
      </c>
      <c r="I571" s="28">
        <f>LN(Index!I572/Index!I571)</f>
        <v>2.6219600873538147E-3</v>
      </c>
      <c r="J571" s="28">
        <f>LN(Index!J572/Index!J571)</f>
        <v>-3.3406580839249876E-2</v>
      </c>
      <c r="K571" s="28">
        <f>LN(Index!K572/Index!K571)</f>
        <v>-1.8654044406736799E-2</v>
      </c>
      <c r="L571" s="28">
        <f>LN(Index!L572/Index!L571)</f>
        <v>1.0357223639762809E-2</v>
      </c>
      <c r="M571" s="28">
        <f>LN(Index!M572/Index!M571)</f>
        <v>-1.5897421861408363E-2</v>
      </c>
      <c r="N571" s="28">
        <f>LN(Index!N572/Index!N571)</f>
        <v>-6.1117262851316718E-4</v>
      </c>
    </row>
    <row r="572" spans="1:14">
      <c r="A572" s="15">
        <v>41621</v>
      </c>
      <c r="B572" s="28">
        <f>LN(Index!B573/Index!B572)</f>
        <v>-1.5573854752979675E-2</v>
      </c>
      <c r="C572" s="28">
        <f>LN(Index!C573/Index!C572)</f>
        <v>1.2006441260041299E-3</v>
      </c>
      <c r="D572" s="28">
        <f>LN(Index!D573/Index!D572)</f>
        <v>-1.681200703688079E-2</v>
      </c>
      <c r="E572" s="28">
        <f>LN(Index!E573/Index!E572)</f>
        <v>1.5452479154604156E-3</v>
      </c>
      <c r="F572" s="28">
        <f>LN(Index!F573/Index!F572)</f>
        <v>-1.9853296977956163E-2</v>
      </c>
      <c r="G572" s="28">
        <f>LN(Index!G573/Index!G572)</f>
        <v>-6.7783701346273185E-3</v>
      </c>
      <c r="H572" s="28">
        <f>LN(Index!H573/Index!H572)</f>
        <v>-6.3371379684754332E-3</v>
      </c>
      <c r="I572" s="28">
        <f>LN(Index!I573/Index!I572)</f>
        <v>-1.076036999573963E-2</v>
      </c>
      <c r="J572" s="28">
        <f>LN(Index!J573/Index!J572)</f>
        <v>-1.6720945413470226E-3</v>
      </c>
      <c r="K572" s="28">
        <f>LN(Index!K573/Index!K572)</f>
        <v>-1.834681146696612E-3</v>
      </c>
      <c r="L572" s="28">
        <f>LN(Index!L573/Index!L572)</f>
        <v>-9.9804540415753627E-3</v>
      </c>
      <c r="M572" s="28">
        <f>LN(Index!M573/Index!M572)</f>
        <v>-1.5800547672986557E-2</v>
      </c>
      <c r="N572" s="28">
        <f>LN(Index!N573/Index!N572)</f>
        <v>-1.7355134049680958E-2</v>
      </c>
    </row>
    <row r="573" spans="1:14">
      <c r="A573" s="15">
        <v>41628</v>
      </c>
      <c r="B573" s="28">
        <f>LN(Index!B574/Index!B573)</f>
        <v>2.4248703165495274E-2</v>
      </c>
      <c r="C573" s="28">
        <f>LN(Index!C574/Index!C573)</f>
        <v>-1.0908991747264077E-4</v>
      </c>
      <c r="D573" s="28">
        <f>LN(Index!D574/Index!D573)</f>
        <v>1.5657605754279314E-2</v>
      </c>
      <c r="E573" s="28">
        <f>LN(Index!E574/Index!E573)</f>
        <v>2.4533581378342263E-2</v>
      </c>
      <c r="F573" s="28">
        <f>LN(Index!F574/Index!F573)</f>
        <v>2.7120647793785476E-2</v>
      </c>
      <c r="G573" s="28">
        <f>LN(Index!G574/Index!G573)</f>
        <v>3.3007172400250821E-4</v>
      </c>
      <c r="H573" s="28">
        <f>LN(Index!H574/Index!H573)</f>
        <v>2.3168806009542624E-2</v>
      </c>
      <c r="I573" s="28">
        <f>LN(Index!I574/Index!I573)</f>
        <v>3.8204904970114174E-3</v>
      </c>
      <c r="J573" s="28">
        <f>LN(Index!J574/Index!J573)</f>
        <v>1.9462195250204116E-2</v>
      </c>
      <c r="K573" s="28">
        <f>LN(Index!K574/Index!K573)</f>
        <v>2.9355955327916902E-3</v>
      </c>
      <c r="L573" s="28">
        <f>LN(Index!L574/Index!L573)</f>
        <v>4.6923829325927922E-3</v>
      </c>
      <c r="M573" s="28">
        <f>LN(Index!M574/Index!M573)</f>
        <v>1.774038810833339E-2</v>
      </c>
      <c r="N573" s="28">
        <f>LN(Index!N574/Index!N573)</f>
        <v>3.1764368765396678E-2</v>
      </c>
    </row>
    <row r="574" spans="1:14">
      <c r="A574" s="15">
        <v>41635</v>
      </c>
      <c r="B574" s="28">
        <f>LN(Index!B575/Index!B574)</f>
        <v>1.6764494282485321E-2</v>
      </c>
      <c r="C574" s="28">
        <f>LN(Index!C575/Index!C574)</f>
        <v>-3.9351839375842733E-3</v>
      </c>
      <c r="D574" s="28">
        <f>LN(Index!D575/Index!D574)</f>
        <v>4.4946485716309088E-3</v>
      </c>
      <c r="E574" s="28">
        <f>LN(Index!E575/Index!E574)</f>
        <v>2.420139151690592E-2</v>
      </c>
      <c r="F574" s="28">
        <f>LN(Index!F575/Index!F574)</f>
        <v>9.8758316255784483E-3</v>
      </c>
      <c r="G574" s="28">
        <f>LN(Index!G575/Index!G574)</f>
        <v>1.05996040681998E-2</v>
      </c>
      <c r="H574" s="28">
        <f>LN(Index!H575/Index!H574)</f>
        <v>8.6770434828388962E-3</v>
      </c>
      <c r="I574" s="28">
        <f>LN(Index!I575/Index!I574)</f>
        <v>3.2631288066937701E-3</v>
      </c>
      <c r="J574" s="28">
        <f>LN(Index!J575/Index!J574)</f>
        <v>2.3524803283721089E-2</v>
      </c>
      <c r="K574" s="28">
        <f>LN(Index!K575/Index!K574)</f>
        <v>1.5629682610939496E-2</v>
      </c>
      <c r="L574" s="28">
        <f>LN(Index!L575/Index!L574)</f>
        <v>1.393900250562476E-2</v>
      </c>
      <c r="M574" s="28">
        <f>LN(Index!M575/Index!M574)</f>
        <v>1.6505216967033928E-2</v>
      </c>
      <c r="N574" s="28">
        <f>LN(Index!N575/Index!N574)</f>
        <v>1.5358773019451759E-2</v>
      </c>
    </row>
    <row r="575" spans="1:14">
      <c r="A575" s="15">
        <v>41642</v>
      </c>
      <c r="B575" s="28">
        <f>LN(Index!B576/Index!B575)</f>
        <v>-4.9148486461442764E-3</v>
      </c>
      <c r="C575" s="28">
        <f>LN(Index!C576/Index!C575)</f>
        <v>1.204061114735926E-3</v>
      </c>
      <c r="D575" s="28">
        <f>LN(Index!D576/Index!D575)</f>
        <v>5.1039537322797998E-3</v>
      </c>
      <c r="E575" s="28">
        <f>LN(Index!E576/Index!E575)</f>
        <v>-4.2699151618755858E-3</v>
      </c>
      <c r="F575" s="28">
        <f>LN(Index!F576/Index!F575)</f>
        <v>-4.612566713077252E-3</v>
      </c>
      <c r="G575" s="28">
        <f>LN(Index!G576/Index!G575)</f>
        <v>5.5905628071895828E-3</v>
      </c>
      <c r="H575" s="28">
        <f>LN(Index!H576/Index!H575)</f>
        <v>-1.0204392564928826E-2</v>
      </c>
      <c r="I575" s="28">
        <f>LN(Index!I576/Index!I575)</f>
        <v>-1.4285003609993295E-2</v>
      </c>
      <c r="J575" s="28">
        <f>LN(Index!J576/Index!J575)</f>
        <v>-1.3975610625765265E-2</v>
      </c>
      <c r="K575" s="28">
        <f>LN(Index!K576/Index!K575)</f>
        <v>1.0464379700216082E-2</v>
      </c>
      <c r="L575" s="28">
        <f>LN(Index!L576/Index!L575)</f>
        <v>-2.9139319874894546E-3</v>
      </c>
      <c r="M575" s="28">
        <f>LN(Index!M576/Index!M575)</f>
        <v>6.0953398406253618E-3</v>
      </c>
      <c r="N575" s="28">
        <f>LN(Index!N576/Index!N575)</f>
        <v>-5.8754586213544601E-4</v>
      </c>
    </row>
    <row r="576" spans="1:14">
      <c r="A576" s="15">
        <v>41649</v>
      </c>
      <c r="B576" s="28">
        <f>LN(Index!B577/Index!B576)</f>
        <v>5.488993412873208E-3</v>
      </c>
      <c r="C576" s="28">
        <f>LN(Index!C577/Index!C576)</f>
        <v>7.0311512208128205E-3</v>
      </c>
      <c r="D576" s="28">
        <f>LN(Index!D577/Index!D576)</f>
        <v>4.3379063457208719E-3</v>
      </c>
      <c r="E576" s="28">
        <f>LN(Index!E577/Index!E576)</f>
        <v>7.4147298906522656E-3</v>
      </c>
      <c r="F576" s="28">
        <f>LN(Index!F577/Index!F576)</f>
        <v>1.2819352518438491E-2</v>
      </c>
      <c r="G576" s="28">
        <f>LN(Index!G577/Index!G576)</f>
        <v>-1.5629692246043894E-2</v>
      </c>
      <c r="H576" s="28">
        <f>LN(Index!H577/Index!H576)</f>
        <v>1.0715019394529767E-2</v>
      </c>
      <c r="I576" s="28">
        <f>LN(Index!I577/Index!I576)</f>
        <v>4.828983226989967E-3</v>
      </c>
      <c r="J576" s="28">
        <f>LN(Index!J577/Index!J576)</f>
        <v>-1.1701567802879641E-2</v>
      </c>
      <c r="K576" s="28">
        <f>LN(Index!K577/Index!K576)</f>
        <v>-6.9668830940467739E-3</v>
      </c>
      <c r="L576" s="28">
        <f>LN(Index!L577/Index!L576)</f>
        <v>1.5693876646794443E-2</v>
      </c>
      <c r="M576" s="28">
        <f>LN(Index!M577/Index!M576)</f>
        <v>1.0283641423357541E-2</v>
      </c>
      <c r="N576" s="28">
        <f>LN(Index!N577/Index!N576)</f>
        <v>5.4081132461536495E-3</v>
      </c>
    </row>
    <row r="577" spans="1:14">
      <c r="A577" s="15">
        <v>41656</v>
      </c>
      <c r="B577" s="28">
        <f>LN(Index!B578/Index!B577)</f>
        <v>1.3343680185941632E-3</v>
      </c>
      <c r="C577" s="28">
        <f>LN(Index!C578/Index!C577)</f>
        <v>7.8724130295822941E-4</v>
      </c>
      <c r="D577" s="28">
        <f>LN(Index!D578/Index!D577)</f>
        <v>2.9572360040977137E-3</v>
      </c>
      <c r="E577" s="28">
        <f>LN(Index!E578/Index!E577)</f>
        <v>1.3171320749222984E-2</v>
      </c>
      <c r="F577" s="28">
        <f>LN(Index!F578/Index!F577)</f>
        <v>3.5935307941640923E-3</v>
      </c>
      <c r="G577" s="28">
        <f>LN(Index!G578/Index!G577)</f>
        <v>4.9661212237709761E-4</v>
      </c>
      <c r="H577" s="28">
        <f>LN(Index!H578/Index!H577)</f>
        <v>8.6169344932905375E-4</v>
      </c>
      <c r="I577" s="28">
        <f>LN(Index!I578/Index!I577)</f>
        <v>-6.39981118465367E-3</v>
      </c>
      <c r="J577" s="28">
        <f>LN(Index!J578/Index!J577)</f>
        <v>9.0644805010520971E-3</v>
      </c>
      <c r="K577" s="28">
        <f>LN(Index!K578/Index!K577)</f>
        <v>7.4566861988085899E-3</v>
      </c>
      <c r="L577" s="28">
        <f>LN(Index!L578/Index!L577)</f>
        <v>1.8205162937346052E-2</v>
      </c>
      <c r="M577" s="28">
        <f>LN(Index!M578/Index!M577)</f>
        <v>1.0996513818003531E-2</v>
      </c>
      <c r="N577" s="28">
        <f>LN(Index!N578/Index!N577)</f>
        <v>3.8764109534870392E-3</v>
      </c>
    </row>
    <row r="578" spans="1:14">
      <c r="A578" s="15">
        <v>41663</v>
      </c>
      <c r="B578" s="28">
        <f>LN(Index!B579/Index!B578)</f>
        <v>-2.3788549098402004E-2</v>
      </c>
      <c r="C578" s="28">
        <f>LN(Index!C579/Index!C578)</f>
        <v>6.113910563714949E-3</v>
      </c>
      <c r="D578" s="28">
        <f>LN(Index!D579/Index!D578)</f>
        <v>-1.5450951155718878E-2</v>
      </c>
      <c r="E578" s="28">
        <f>LN(Index!E579/Index!E578)</f>
        <v>-2.6104912592298901E-3</v>
      </c>
      <c r="F578" s="28">
        <f>LN(Index!F579/Index!F578)</f>
        <v>-1.332850632078638E-2</v>
      </c>
      <c r="G578" s="28">
        <f>LN(Index!G579/Index!G578)</f>
        <v>-9.3297138414852512E-3</v>
      </c>
      <c r="H578" s="28">
        <f>LN(Index!H579/Index!H578)</f>
        <v>1.3464129750882523E-3</v>
      </c>
      <c r="I578" s="28">
        <f>LN(Index!I579/Index!I578)</f>
        <v>3.0462442034713448E-3</v>
      </c>
      <c r="J578" s="28">
        <f>LN(Index!J579/Index!J578)</f>
        <v>6.5816119734546609E-3</v>
      </c>
      <c r="K578" s="28">
        <f>LN(Index!K579/Index!K578)</f>
        <v>-4.9677451138446091E-3</v>
      </c>
      <c r="L578" s="28">
        <f>LN(Index!L579/Index!L578)</f>
        <v>-2.6414312262880293E-2</v>
      </c>
      <c r="M578" s="28">
        <f>LN(Index!M579/Index!M578)</f>
        <v>-8.6137543140836995E-3</v>
      </c>
      <c r="N578" s="28">
        <f>LN(Index!N579/Index!N578)</f>
        <v>-1.3769102151713526E-2</v>
      </c>
    </row>
    <row r="579" spans="1:14">
      <c r="A579" s="15">
        <v>41670</v>
      </c>
      <c r="B579" s="28">
        <f>LN(Index!B580/Index!B579)</f>
        <v>-1.2372625052124647E-2</v>
      </c>
      <c r="C579" s="28">
        <f>LN(Index!C580/Index!C579)</f>
        <v>1.9399693533676415E-3</v>
      </c>
      <c r="D579" s="28">
        <f>LN(Index!D580/Index!D579)</f>
        <v>-5.087892566799021E-3</v>
      </c>
      <c r="E579" s="28">
        <f>LN(Index!E580/Index!E579)</f>
        <v>-8.3088222297501672E-3</v>
      </c>
      <c r="F579" s="28">
        <f>LN(Index!F580/Index!F579)</f>
        <v>1.2429120938424023E-2</v>
      </c>
      <c r="G579" s="28">
        <f>LN(Index!G580/Index!G579)</f>
        <v>-1.3737028697530351E-2</v>
      </c>
      <c r="H579" s="28">
        <f>LN(Index!H580/Index!H579)</f>
        <v>8.4504984103732327E-3</v>
      </c>
      <c r="I579" s="28">
        <f>LN(Index!I580/Index!I579)</f>
        <v>-5.7485560378768416E-3</v>
      </c>
      <c r="J579" s="28">
        <f>LN(Index!J580/Index!J579)</f>
        <v>1.0513014574521418E-2</v>
      </c>
      <c r="K579" s="28">
        <f>LN(Index!K580/Index!K579)</f>
        <v>-1.7524135129386612E-2</v>
      </c>
      <c r="L579" s="28">
        <f>LN(Index!L580/Index!L579)</f>
        <v>3.8781431169177248E-3</v>
      </c>
      <c r="M579" s="28">
        <f>LN(Index!M580/Index!M579)</f>
        <v>-5.6526056190082524E-3</v>
      </c>
      <c r="N579" s="28">
        <f>LN(Index!N580/Index!N579)</f>
        <v>2.5923953741615277E-3</v>
      </c>
    </row>
    <row r="580" spans="1:14">
      <c r="A580" s="15">
        <v>41677</v>
      </c>
      <c r="B580" s="28">
        <f>LN(Index!B581/Index!B580)</f>
        <v>8.2984925987087208E-3</v>
      </c>
      <c r="C580" s="28">
        <f>LN(Index!C581/Index!C580)</f>
        <v>1.909346965075864E-3</v>
      </c>
      <c r="D580" s="28">
        <f>LN(Index!D581/Index!D580)</f>
        <v>5.2608879828519818E-3</v>
      </c>
      <c r="E580" s="28">
        <f>LN(Index!E581/Index!E580)</f>
        <v>1.7526583637237678E-2</v>
      </c>
      <c r="F580" s="28">
        <f>LN(Index!F581/Index!F580)</f>
        <v>7.3726090283217458E-4</v>
      </c>
      <c r="G580" s="28">
        <f>LN(Index!G581/Index!G580)</f>
        <v>-4.5504898896275075E-3</v>
      </c>
      <c r="H580" s="28">
        <f>LN(Index!H581/Index!H580)</f>
        <v>6.8115513202275982E-4</v>
      </c>
      <c r="I580" s="28">
        <f>LN(Index!I581/Index!I580)</f>
        <v>8.5718689222627105E-3</v>
      </c>
      <c r="J580" s="28">
        <f>LN(Index!J581/Index!J580)</f>
        <v>4.8585927440785758E-3</v>
      </c>
      <c r="K580" s="28">
        <f>LN(Index!K581/Index!K580)</f>
        <v>-6.1787299423568575E-3</v>
      </c>
      <c r="L580" s="28">
        <f>LN(Index!L581/Index!L580)</f>
        <v>1.1182506165879718E-2</v>
      </c>
      <c r="M580" s="28">
        <f>LN(Index!M581/Index!M580)</f>
        <v>1.7741494647589642E-2</v>
      </c>
      <c r="N580" s="28">
        <f>LN(Index!N581/Index!N580)</f>
        <v>1.877035079141881E-3</v>
      </c>
    </row>
    <row r="581" spans="1:14">
      <c r="A581" s="15">
        <v>41684</v>
      </c>
      <c r="B581" s="28">
        <f>LN(Index!B582/Index!B581)</f>
        <v>2.3508854196833948E-2</v>
      </c>
      <c r="C581" s="28">
        <f>LN(Index!C582/Index!C581)</f>
        <v>2.9548843109174883E-4</v>
      </c>
      <c r="D581" s="28">
        <f>LN(Index!D582/Index!D581)</f>
        <v>1.5732139919155109E-2</v>
      </c>
      <c r="E581" s="28">
        <f>LN(Index!E582/Index!E581)</f>
        <v>3.0172905017237468E-2</v>
      </c>
      <c r="F581" s="28">
        <f>LN(Index!F582/Index!F581)</f>
        <v>2.4012337959907131E-2</v>
      </c>
      <c r="G581" s="28">
        <f>LN(Index!G582/Index!G581)</f>
        <v>2.0218059778168072E-2</v>
      </c>
      <c r="H581" s="28">
        <f>LN(Index!H582/Index!H581)</f>
        <v>3.752814525409548E-2</v>
      </c>
      <c r="I581" s="28">
        <f>LN(Index!I582/Index!I581)</f>
        <v>1.4762150931840058E-2</v>
      </c>
      <c r="J581" s="28">
        <f>LN(Index!J582/Index!J581)</f>
        <v>3.3950613261361846E-2</v>
      </c>
      <c r="K581" s="28">
        <f>LN(Index!K582/Index!K581)</f>
        <v>1.3586502921652229E-2</v>
      </c>
      <c r="L581" s="28">
        <f>LN(Index!L582/Index!L581)</f>
        <v>3.1458668332183019E-2</v>
      </c>
      <c r="M581" s="28">
        <f>LN(Index!M582/Index!M581)</f>
        <v>2.5263314829006015E-2</v>
      </c>
      <c r="N581" s="28">
        <f>LN(Index!N582/Index!N581)</f>
        <v>1.7150657666058233E-2</v>
      </c>
    </row>
    <row r="582" spans="1:14">
      <c r="A582" s="15">
        <v>41691</v>
      </c>
      <c r="B582" s="28">
        <f>LN(Index!B583/Index!B582)</f>
        <v>5.8792242991106847E-3</v>
      </c>
      <c r="C582" s="28">
        <f>LN(Index!C583/Index!C582)</f>
        <v>8.05726026730025E-5</v>
      </c>
      <c r="D582" s="28">
        <f>LN(Index!D583/Index!D582)</f>
        <v>9.6029659608460622E-3</v>
      </c>
      <c r="E582" s="28">
        <f>LN(Index!E583/Index!E582)</f>
        <v>1.2664873112943217E-2</v>
      </c>
      <c r="F582" s="28">
        <f>LN(Index!F583/Index!F582)</f>
        <v>8.9466157700403325E-4</v>
      </c>
      <c r="G582" s="28">
        <f>LN(Index!G583/Index!G582)</f>
        <v>1.0088508561964251E-2</v>
      </c>
      <c r="H582" s="28">
        <f>LN(Index!H583/Index!H582)</f>
        <v>9.3716521050072159E-3</v>
      </c>
      <c r="I582" s="28">
        <f>LN(Index!I583/Index!I582)</f>
        <v>-6.2683595827260554E-4</v>
      </c>
      <c r="J582" s="28">
        <f>LN(Index!J583/Index!J582)</f>
        <v>1.7186745938038477E-2</v>
      </c>
      <c r="K582" s="28">
        <f>LN(Index!K583/Index!K582)</f>
        <v>-1.1542739880455179E-2</v>
      </c>
      <c r="L582" s="28">
        <f>LN(Index!L583/Index!L582)</f>
        <v>5.0472343996722851E-3</v>
      </c>
      <c r="M582" s="28">
        <f>LN(Index!M583/Index!M582)</f>
        <v>8.4922497256208901E-3</v>
      </c>
      <c r="N582" s="28">
        <f>LN(Index!N583/Index!N582)</f>
        <v>2.4597843807724717E-3</v>
      </c>
    </row>
    <row r="583" spans="1:14">
      <c r="A583" s="15">
        <v>41698</v>
      </c>
      <c r="B583" s="28">
        <f>LN(Index!B584/Index!B583)</f>
        <v>9.3247058977447578E-3</v>
      </c>
      <c r="C583" s="28">
        <f>LN(Index!C584/Index!C583)</f>
        <v>5.9711261450530037E-3</v>
      </c>
      <c r="D583" s="28">
        <f>LN(Index!D584/Index!D583)</f>
        <v>1.2921713081981789E-3</v>
      </c>
      <c r="E583" s="28">
        <f>LN(Index!E584/Index!E583)</f>
        <v>1.6799711380324336E-2</v>
      </c>
      <c r="F583" s="28">
        <f>LN(Index!F584/Index!F583)</f>
        <v>-6.2679311545422289E-3</v>
      </c>
      <c r="G583" s="28">
        <f>LN(Index!G584/Index!G583)</f>
        <v>2.7231731504565211E-2</v>
      </c>
      <c r="H583" s="28">
        <f>LN(Index!H584/Index!H583)</f>
        <v>3.9450823857567407E-3</v>
      </c>
      <c r="I583" s="28">
        <f>LN(Index!I584/Index!I583)</f>
        <v>3.1180288632629921E-2</v>
      </c>
      <c r="J583" s="28">
        <f>LN(Index!J584/Index!J583)</f>
        <v>1.5509891387330103E-2</v>
      </c>
      <c r="K583" s="28">
        <f>LN(Index!K584/Index!K583)</f>
        <v>1.7807254157007849E-2</v>
      </c>
      <c r="L583" s="28">
        <f>LN(Index!L584/Index!L583)</f>
        <v>-5.0060970901837165E-3</v>
      </c>
      <c r="M583" s="28">
        <f>LN(Index!M584/Index!M583)</f>
        <v>1.7067154413532334E-2</v>
      </c>
      <c r="N583" s="28">
        <f>LN(Index!N584/Index!N583)</f>
        <v>1.2884495561391787E-3</v>
      </c>
    </row>
    <row r="584" spans="1:14">
      <c r="A584" s="15">
        <v>41705</v>
      </c>
      <c r="B584" s="28">
        <f>LN(Index!B585/Index!B584)</f>
        <v>3.4380368551800069E-3</v>
      </c>
      <c r="C584" s="28">
        <f>LN(Index!C585/Index!C584)</f>
        <v>-5.7562976042553372E-3</v>
      </c>
      <c r="D584" s="28">
        <f>LN(Index!D585/Index!D584)</f>
        <v>5.0403332514063143E-3</v>
      </c>
      <c r="E584" s="28">
        <f>LN(Index!E585/Index!E584)</f>
        <v>3.6416907380938329E-5</v>
      </c>
      <c r="F584" s="28">
        <f>LN(Index!F585/Index!F584)</f>
        <v>1.2434395714571499E-3</v>
      </c>
      <c r="G584" s="28">
        <f>LN(Index!G585/Index!G584)</f>
        <v>9.4038265818246411E-3</v>
      </c>
      <c r="H584" s="28">
        <f>LN(Index!H585/Index!H584)</f>
        <v>-1.1790656832090627E-2</v>
      </c>
      <c r="I584" s="28">
        <f>LN(Index!I585/Index!I584)</f>
        <v>2.0540794083762196E-2</v>
      </c>
      <c r="J584" s="28">
        <f>LN(Index!J585/Index!J584)</f>
        <v>-5.1491067987373016E-3</v>
      </c>
      <c r="K584" s="28">
        <f>LN(Index!K585/Index!K584)</f>
        <v>2.1890291606718772E-3</v>
      </c>
      <c r="L584" s="28">
        <f>LN(Index!L585/Index!L584)</f>
        <v>-5.6749363273688449E-3</v>
      </c>
      <c r="M584" s="28">
        <f>LN(Index!M585/Index!M584)</f>
        <v>1.1907259875095444E-2</v>
      </c>
      <c r="N584" s="28">
        <f>LN(Index!N585/Index!N584)</f>
        <v>7.478139962734753E-3</v>
      </c>
    </row>
    <row r="585" spans="1:14">
      <c r="A585" s="15">
        <v>41712</v>
      </c>
      <c r="B585" s="28">
        <f>LN(Index!B586/Index!B585)</f>
        <v>-2.4104950634723385E-2</v>
      </c>
      <c r="C585" s="28">
        <f>LN(Index!C586/Index!C585)</f>
        <v>7.2768452942854412E-3</v>
      </c>
      <c r="D585" s="28">
        <f>LN(Index!D586/Index!D585)</f>
        <v>-1.9802627296179643E-2</v>
      </c>
      <c r="E585" s="28">
        <f>LN(Index!E586/Index!E585)</f>
        <v>-1.0958211228183886E-2</v>
      </c>
      <c r="F585" s="28">
        <f>LN(Index!F586/Index!F585)</f>
        <v>4.0521206476766538E-3</v>
      </c>
      <c r="G585" s="28">
        <f>LN(Index!G586/Index!G585)</f>
        <v>-2.040410805094341E-2</v>
      </c>
      <c r="H585" s="28">
        <f>LN(Index!H586/Index!H585)</f>
        <v>7.5229314979411935E-3</v>
      </c>
      <c r="I585" s="28">
        <f>LN(Index!I586/Index!I585)</f>
        <v>-6.093318882671386E-3</v>
      </c>
      <c r="J585" s="28">
        <f>LN(Index!J586/Index!J585)</f>
        <v>3.0605876693167952E-3</v>
      </c>
      <c r="K585" s="28">
        <f>LN(Index!K586/Index!K585)</f>
        <v>-3.4181839366893153E-2</v>
      </c>
      <c r="L585" s="28">
        <f>LN(Index!L586/Index!L585)</f>
        <v>-4.0506208378516756E-3</v>
      </c>
      <c r="M585" s="28">
        <f>LN(Index!M586/Index!M585)</f>
        <v>-2.7871189365746788E-2</v>
      </c>
      <c r="N585" s="28">
        <f>LN(Index!N586/Index!N585)</f>
        <v>-3.191319495359341E-3</v>
      </c>
    </row>
    <row r="586" spans="1:14">
      <c r="A586" s="15">
        <v>41719</v>
      </c>
      <c r="B586" s="28">
        <f>LN(Index!B587/Index!B586)</f>
        <v>7.4366485188087188E-3</v>
      </c>
      <c r="C586" s="28">
        <f>LN(Index!C587/Index!C586)</f>
        <v>-5.2918661017546933E-3</v>
      </c>
      <c r="D586" s="28">
        <f>LN(Index!D587/Index!D586)</f>
        <v>-8.6986928265259146E-3</v>
      </c>
      <c r="E586" s="28">
        <f>LN(Index!E587/Index!E586)</f>
        <v>1.0054017596291322E-2</v>
      </c>
      <c r="F586" s="28">
        <f>LN(Index!F587/Index!F586)</f>
        <v>-4.1995175748621195E-3</v>
      </c>
      <c r="G586" s="28">
        <f>LN(Index!G587/Index!G586)</f>
        <v>-4.7310042671020068E-3</v>
      </c>
      <c r="H586" s="28">
        <f>LN(Index!H587/Index!H586)</f>
        <v>-7.449665050735888E-3</v>
      </c>
      <c r="I586" s="28">
        <f>LN(Index!I587/Index!I586)</f>
        <v>9.1982088067976784E-3</v>
      </c>
      <c r="J586" s="28">
        <f>LN(Index!J587/Index!J586)</f>
        <v>2.818471541129432E-3</v>
      </c>
      <c r="K586" s="28">
        <f>LN(Index!K587/Index!K586)</f>
        <v>-2.5906537109587766E-2</v>
      </c>
      <c r="L586" s="28">
        <f>LN(Index!L587/Index!L586)</f>
        <v>7.5974375509206505E-3</v>
      </c>
      <c r="M586" s="28">
        <f>LN(Index!M587/Index!M586)</f>
        <v>1.403079114782475E-2</v>
      </c>
      <c r="N586" s="28">
        <f>LN(Index!N587/Index!N586)</f>
        <v>-2.1026272834175036E-3</v>
      </c>
    </row>
    <row r="587" spans="1:14">
      <c r="A587" s="15">
        <v>41726</v>
      </c>
      <c r="B587" s="28">
        <f>LN(Index!B588/Index!B587)</f>
        <v>5.1037447674545187E-3</v>
      </c>
      <c r="C587" s="28">
        <f>LN(Index!C588/Index!C587)</f>
        <v>2.0880187476935378E-3</v>
      </c>
      <c r="D587" s="28">
        <f>LN(Index!D588/Index!D587)</f>
        <v>1.2679363422684511E-2</v>
      </c>
      <c r="E587" s="28">
        <f>LN(Index!E588/Index!E587)</f>
        <v>1.1887707126322321E-2</v>
      </c>
      <c r="F587" s="28">
        <f>LN(Index!F588/Index!F587)</f>
        <v>6.4161790876194093E-3</v>
      </c>
      <c r="G587" s="28">
        <f>LN(Index!G588/Index!G587)</f>
        <v>2.4329031907039972E-2</v>
      </c>
      <c r="H587" s="28">
        <f>LN(Index!H588/Index!H587)</f>
        <v>4.5685335457285332E-3</v>
      </c>
      <c r="I587" s="28">
        <f>LN(Index!I588/Index!I587)</f>
        <v>1.3199565692046032E-2</v>
      </c>
      <c r="J587" s="28">
        <f>LN(Index!J588/Index!J587)</f>
        <v>-1.8537298133215385E-3</v>
      </c>
      <c r="K587" s="28">
        <f>LN(Index!K588/Index!K587)</f>
        <v>2.3750536134776058E-2</v>
      </c>
      <c r="L587" s="28">
        <f>LN(Index!L588/Index!L587)</f>
        <v>1.0949512408770219E-2</v>
      </c>
      <c r="M587" s="28">
        <f>LN(Index!M588/Index!M587)</f>
        <v>1.8945188161681219E-2</v>
      </c>
      <c r="N587" s="28">
        <f>LN(Index!N588/Index!N587)</f>
        <v>1.3274713386704377E-2</v>
      </c>
    </row>
    <row r="588" spans="1:14">
      <c r="A588" s="15">
        <v>41733</v>
      </c>
      <c r="B588" s="28">
        <f>LN(Index!B589/Index!B588)</f>
        <v>8.6337333694591119E-3</v>
      </c>
      <c r="C588" s="28">
        <f>LN(Index!C589/Index!C588)</f>
        <v>1.069604514751212E-4</v>
      </c>
      <c r="D588" s="28">
        <f>LN(Index!D589/Index!D588)</f>
        <v>2.278053962618453E-2</v>
      </c>
      <c r="E588" s="28">
        <f>LN(Index!E589/Index!E588)</f>
        <v>-2.829811622210859E-3</v>
      </c>
      <c r="F588" s="28">
        <f>LN(Index!F589/Index!F588)</f>
        <v>1.3183593154771725E-2</v>
      </c>
      <c r="G588" s="28">
        <f>LN(Index!G589/Index!G588)</f>
        <v>6.886098531604502E-3</v>
      </c>
      <c r="H588" s="28">
        <f>LN(Index!H589/Index!H588)</f>
        <v>7.1352798132945702E-3</v>
      </c>
      <c r="I588" s="28">
        <f>LN(Index!I589/Index!I588)</f>
        <v>1.0913835165299163E-2</v>
      </c>
      <c r="J588" s="28">
        <f>LN(Index!J589/Index!J588)</f>
        <v>6.2914787018115122E-3</v>
      </c>
      <c r="K588" s="28">
        <f>LN(Index!K589/Index!K588)</f>
        <v>-5.2127712371894796E-3</v>
      </c>
      <c r="L588" s="28">
        <f>LN(Index!L589/Index!L588)</f>
        <v>-1.4499182268931843E-2</v>
      </c>
      <c r="M588" s="28">
        <f>LN(Index!M589/Index!M588)</f>
        <v>1.8636868615521242E-2</v>
      </c>
      <c r="N588" s="28">
        <f>LN(Index!N589/Index!N588)</f>
        <v>1.4264989577488811E-2</v>
      </c>
    </row>
    <row r="589" spans="1:14">
      <c r="A589" s="15">
        <v>41740</v>
      </c>
      <c r="B589" s="28">
        <f>LN(Index!B590/Index!B589)</f>
        <v>-2.2820689371460569E-2</v>
      </c>
      <c r="C589" s="28">
        <f>LN(Index!C590/Index!C589)</f>
        <v>9.2090504964821192E-3</v>
      </c>
      <c r="D589" s="28">
        <f>LN(Index!D590/Index!D589)</f>
        <v>-8.9716686588448835E-3</v>
      </c>
      <c r="E589" s="28">
        <f>LN(Index!E590/Index!E589)</f>
        <v>-9.6279907121911996E-3</v>
      </c>
      <c r="F589" s="28">
        <f>LN(Index!F590/Index!F589)</f>
        <v>-1.9206306251439045E-3</v>
      </c>
      <c r="G589" s="28">
        <f>LN(Index!G590/Index!G589)</f>
        <v>8.8838754087488814E-3</v>
      </c>
      <c r="H589" s="28">
        <f>LN(Index!H590/Index!H589)</f>
        <v>1.8267157664606682E-3</v>
      </c>
      <c r="I589" s="28">
        <f>LN(Index!I590/Index!I589)</f>
        <v>-1.3326335741766362E-2</v>
      </c>
      <c r="J589" s="28">
        <f>LN(Index!J590/Index!J589)</f>
        <v>-2.7040519409696633E-2</v>
      </c>
      <c r="K589" s="28">
        <f>LN(Index!K590/Index!K589)</f>
        <v>3.5872019005846544E-2</v>
      </c>
      <c r="L589" s="28">
        <f>LN(Index!L590/Index!L589)</f>
        <v>-8.0280952275005278E-3</v>
      </c>
      <c r="M589" s="28">
        <f>LN(Index!M590/Index!M589)</f>
        <v>-1.8491399692462246E-2</v>
      </c>
      <c r="N589" s="28">
        <f>LN(Index!N590/Index!N589)</f>
        <v>1.2031063465866134E-3</v>
      </c>
    </row>
    <row r="590" spans="1:14">
      <c r="A590" s="15">
        <v>41747</v>
      </c>
      <c r="B590" s="28">
        <f>LN(Index!B591/Index!B590)</f>
        <v>1.9444377097378281E-2</v>
      </c>
      <c r="C590" s="28">
        <f>LN(Index!C591/Index!C590)</f>
        <v>-3.9021590998184513E-3</v>
      </c>
      <c r="D590" s="28">
        <f>LN(Index!D591/Index!D590)</f>
        <v>1.5937256002167607E-2</v>
      </c>
      <c r="E590" s="28">
        <f>LN(Index!E591/Index!E590)</f>
        <v>6.4146742380885016E-3</v>
      </c>
      <c r="F590" s="28">
        <f>LN(Index!F591/Index!F590)</f>
        <v>1.9571527049154745E-2</v>
      </c>
      <c r="G590" s="28">
        <f>LN(Index!G591/Index!G590)</f>
        <v>2.1533226033288882E-3</v>
      </c>
      <c r="H590" s="28">
        <f>LN(Index!H591/Index!H590)</f>
        <v>1.547388443654165E-2</v>
      </c>
      <c r="I590" s="28">
        <f>LN(Index!I591/Index!I590)</f>
        <v>-3.3100233346888084E-3</v>
      </c>
      <c r="J590" s="28">
        <f>LN(Index!J591/Index!J590)</f>
        <v>1.9115050569833758E-2</v>
      </c>
      <c r="K590" s="28">
        <f>LN(Index!K591/Index!K590)</f>
        <v>-1.3449817880785083E-2</v>
      </c>
      <c r="L590" s="28">
        <f>LN(Index!L591/Index!L590)</f>
        <v>1.2917834640342208E-2</v>
      </c>
      <c r="M590" s="28">
        <f>LN(Index!M591/Index!M590)</f>
        <v>-3.6430865628403726E-3</v>
      </c>
      <c r="N590" s="28">
        <f>LN(Index!N591/Index!N590)</f>
        <v>1.7462413191002162E-2</v>
      </c>
    </row>
    <row r="591" spans="1:14">
      <c r="A591" s="15">
        <v>41754</v>
      </c>
      <c r="B591" s="28">
        <f>LN(Index!B592/Index!B591)</f>
        <v>9.5769387388683737E-5</v>
      </c>
      <c r="C591" s="28">
        <f>LN(Index!C592/Index!C591)</f>
        <v>3.2661110567494926E-3</v>
      </c>
      <c r="D591" s="28">
        <f>LN(Index!D592/Index!D591)</f>
        <v>-1.9300234836669007E-3</v>
      </c>
      <c r="E591" s="28">
        <f>LN(Index!E592/Index!E591)</f>
        <v>5.1422610737827234E-3</v>
      </c>
      <c r="F591" s="28">
        <f>LN(Index!F592/Index!F591)</f>
        <v>5.5121114730774653E-4</v>
      </c>
      <c r="G591" s="28">
        <f>LN(Index!G592/Index!G591)</f>
        <v>-3.0754447538698087E-3</v>
      </c>
      <c r="H591" s="28">
        <f>LN(Index!H592/Index!H591)</f>
        <v>7.6304114066474511E-3</v>
      </c>
      <c r="I591" s="28">
        <f>LN(Index!I592/Index!I591)</f>
        <v>4.4718844863789716E-3</v>
      </c>
      <c r="J591" s="28">
        <f>LN(Index!J592/Index!J591)</f>
        <v>6.6550955358476672E-3</v>
      </c>
      <c r="K591" s="28">
        <f>LN(Index!K592/Index!K591)</f>
        <v>-3.0107031653335511E-3</v>
      </c>
      <c r="L591" s="28">
        <f>LN(Index!L592/Index!L591)</f>
        <v>3.9538511303208925E-3</v>
      </c>
      <c r="M591" s="28">
        <f>LN(Index!M592/Index!M591)</f>
        <v>5.8151416846135137E-3</v>
      </c>
      <c r="N591" s="28">
        <f>LN(Index!N592/Index!N591)</f>
        <v>-4.3229039229757847E-3</v>
      </c>
    </row>
    <row r="592" spans="1:14">
      <c r="A592" s="15">
        <v>41761</v>
      </c>
      <c r="B592" s="28">
        <f>LN(Index!B593/Index!B592)</f>
        <v>1.0852104417964198E-2</v>
      </c>
      <c r="C592" s="28">
        <f>LN(Index!C593/Index!C592)</f>
        <v>3.6781772326574228E-3</v>
      </c>
      <c r="D592" s="28">
        <f>LN(Index!D593/Index!D592)</f>
        <v>1.4847553950107764E-2</v>
      </c>
      <c r="E592" s="28">
        <f>LN(Index!E593/Index!E592)</f>
        <v>1.6853546449872227E-2</v>
      </c>
      <c r="F592" s="28">
        <f>LN(Index!F593/Index!F592)</f>
        <v>1.3009621896833336E-2</v>
      </c>
      <c r="G592" s="28">
        <f>LN(Index!G593/Index!G592)</f>
        <v>3.2481109455079048E-3</v>
      </c>
      <c r="H592" s="28">
        <f>LN(Index!H593/Index!H592)</f>
        <v>1.0870435786096217E-2</v>
      </c>
      <c r="I592" s="28">
        <f>LN(Index!I593/Index!I592)</f>
        <v>1.3847416337488649E-2</v>
      </c>
      <c r="J592" s="28">
        <f>LN(Index!J593/Index!J592)</f>
        <v>1.4739747314034378E-2</v>
      </c>
      <c r="K592" s="28">
        <f>LN(Index!K593/Index!K592)</f>
        <v>-6.6035937278098259E-3</v>
      </c>
      <c r="L592" s="28">
        <f>LN(Index!L593/Index!L592)</f>
        <v>3.3294362090943184E-2</v>
      </c>
      <c r="M592" s="28">
        <f>LN(Index!M593/Index!M592)</f>
        <v>9.4674737361537479E-3</v>
      </c>
      <c r="N592" s="28">
        <f>LN(Index!N593/Index!N592)</f>
        <v>1.0862290899706596E-2</v>
      </c>
    </row>
    <row r="593" spans="1:14">
      <c r="A593" s="15">
        <v>41768</v>
      </c>
      <c r="B593" s="28">
        <f>LN(Index!B594/Index!B593)</f>
        <v>-3.3389210671810098E-3</v>
      </c>
      <c r="C593" s="28">
        <f>LN(Index!C594/Index!C593)</f>
        <v>-5.2827597149080286E-5</v>
      </c>
      <c r="D593" s="28">
        <f>LN(Index!D594/Index!D593)</f>
        <v>9.7413910281543108E-3</v>
      </c>
      <c r="E593" s="28">
        <f>LN(Index!E594/Index!E593)</f>
        <v>6.6197861388060473E-3</v>
      </c>
      <c r="F593" s="28">
        <f>LN(Index!F594/Index!F593)</f>
        <v>9.7202017593086534E-4</v>
      </c>
      <c r="G593" s="28">
        <f>LN(Index!G594/Index!G593)</f>
        <v>-8.9767514210711049E-3</v>
      </c>
      <c r="H593" s="28">
        <f>LN(Index!H594/Index!H593)</f>
        <v>4.0700593484369789E-3</v>
      </c>
      <c r="I593" s="28">
        <f>LN(Index!I594/Index!I593)</f>
        <v>4.5890611524831218E-3</v>
      </c>
      <c r="J593" s="28">
        <f>LN(Index!J594/Index!J593)</f>
        <v>4.3455674532271622E-3</v>
      </c>
      <c r="K593" s="28">
        <f>LN(Index!K594/Index!K593)</f>
        <v>-1.4896243926094437E-2</v>
      </c>
      <c r="L593" s="28">
        <f>LN(Index!L594/Index!L593)</f>
        <v>1.6066228135702441E-2</v>
      </c>
      <c r="M593" s="28">
        <f>LN(Index!M594/Index!M593)</f>
        <v>-1.785879485038672E-3</v>
      </c>
      <c r="N593" s="28">
        <f>LN(Index!N594/Index!N593)</f>
        <v>-4.5287854629740129E-3</v>
      </c>
    </row>
    <row r="594" spans="1:14">
      <c r="A594" s="15">
        <v>41775</v>
      </c>
      <c r="B594" s="28">
        <f>LN(Index!B595/Index!B594)</f>
        <v>1.9601728578821521E-4</v>
      </c>
      <c r="C594" s="28">
        <f>LN(Index!C595/Index!C594)</f>
        <v>4.0858883008531768E-3</v>
      </c>
      <c r="D594" s="28">
        <f>LN(Index!D595/Index!D594)</f>
        <v>1.3427328810579843E-2</v>
      </c>
      <c r="E594" s="28">
        <f>LN(Index!E595/Index!E594)</f>
        <v>-3.3939766845812118E-4</v>
      </c>
      <c r="F594" s="28">
        <f>LN(Index!F595/Index!F594)</f>
        <v>1.0027309353855365E-2</v>
      </c>
      <c r="G594" s="28">
        <f>LN(Index!G595/Index!G594)</f>
        <v>2.0247924661279545E-2</v>
      </c>
      <c r="H594" s="28">
        <f>LN(Index!H595/Index!H594)</f>
        <v>5.7759013029258077E-3</v>
      </c>
      <c r="I594" s="28">
        <f>LN(Index!I595/Index!I594)</f>
        <v>-5.0856797057703589E-3</v>
      </c>
      <c r="J594" s="28">
        <f>LN(Index!J595/Index!J594)</f>
        <v>1.5725046975151938E-2</v>
      </c>
      <c r="K594" s="28">
        <f>LN(Index!K595/Index!K594)</f>
        <v>3.131138107481489E-2</v>
      </c>
      <c r="L594" s="28">
        <f>LN(Index!L595/Index!L594)</f>
        <v>-6.3547286973051633E-4</v>
      </c>
      <c r="M594" s="28">
        <f>LN(Index!M595/Index!M594)</f>
        <v>8.0151240619902222E-3</v>
      </c>
      <c r="N594" s="28">
        <f>LN(Index!N595/Index!N594)</f>
        <v>1.3900941009903618E-2</v>
      </c>
    </row>
    <row r="595" spans="1:14">
      <c r="A595" s="15">
        <v>41782</v>
      </c>
      <c r="B595" s="28">
        <f>LN(Index!B596/Index!B595)</f>
        <v>8.4279382121605576E-3</v>
      </c>
      <c r="C595" s="28">
        <f>LN(Index!C596/Index!C595)</f>
        <v>-1.3688895706439575E-3</v>
      </c>
      <c r="D595" s="28">
        <f>LN(Index!D596/Index!D595)</f>
        <v>-2.7669894735804605E-3</v>
      </c>
      <c r="E595" s="28">
        <f>LN(Index!E596/Index!E595)</f>
        <v>-2.7578704926830735E-3</v>
      </c>
      <c r="F595" s="28">
        <f>LN(Index!F596/Index!F595)</f>
        <v>7.3606478534112519E-3</v>
      </c>
      <c r="G595" s="28">
        <f>LN(Index!G596/Index!G595)</f>
        <v>2.2338830507871596E-2</v>
      </c>
      <c r="H595" s="28">
        <f>LN(Index!H596/Index!H595)</f>
        <v>6.051437401006439E-4</v>
      </c>
      <c r="I595" s="28">
        <f>LN(Index!I596/Index!I595)</f>
        <v>1.6715913036439533E-3</v>
      </c>
      <c r="J595" s="28">
        <f>LN(Index!J596/Index!J595)</f>
        <v>9.6841691688918877E-3</v>
      </c>
      <c r="K595" s="28">
        <f>LN(Index!K596/Index!K595)</f>
        <v>8.2789560343067836E-3</v>
      </c>
      <c r="L595" s="28">
        <f>LN(Index!L596/Index!L595)</f>
        <v>-8.6308700961732904E-3</v>
      </c>
      <c r="M595" s="28">
        <f>LN(Index!M596/Index!M595)</f>
        <v>-3.1961394684759774E-3</v>
      </c>
      <c r="N595" s="28">
        <f>LN(Index!N596/Index!N595)</f>
        <v>1.487322175570063E-2</v>
      </c>
    </row>
    <row r="596" spans="1:14">
      <c r="A596" s="15">
        <v>41789</v>
      </c>
      <c r="B596" s="28">
        <f>LN(Index!B597/Index!B596)</f>
        <v>1.0102279802811526E-2</v>
      </c>
      <c r="C596" s="28">
        <f>LN(Index!C597/Index!C596)</f>
        <v>3.8911577951964557E-3</v>
      </c>
      <c r="D596" s="28">
        <f>LN(Index!D597/Index!D596)</f>
        <v>8.8064229610766952E-3</v>
      </c>
      <c r="E596" s="28">
        <f>LN(Index!E597/Index!E596)</f>
        <v>2.1563801128841469E-2</v>
      </c>
      <c r="F596" s="28">
        <f>LN(Index!F597/Index!F596)</f>
        <v>6.5622307732832981E-3</v>
      </c>
      <c r="G596" s="28">
        <f>LN(Index!G597/Index!G596)</f>
        <v>8.7097898092450529E-5</v>
      </c>
      <c r="H596" s="28">
        <f>LN(Index!H597/Index!H596)</f>
        <v>1.1941209715425671E-2</v>
      </c>
      <c r="I596" s="28">
        <f>LN(Index!I597/Index!I596)</f>
        <v>1.1602739065993293E-2</v>
      </c>
      <c r="J596" s="28">
        <f>LN(Index!J597/Index!J596)</f>
        <v>1.5992348117967559E-2</v>
      </c>
      <c r="K596" s="28">
        <f>LN(Index!K597/Index!K596)</f>
        <v>1.6231025103251864E-3</v>
      </c>
      <c r="L596" s="28">
        <f>LN(Index!L597/Index!L596)</f>
        <v>1.419368485860621E-2</v>
      </c>
      <c r="M596" s="28">
        <f>LN(Index!M597/Index!M596)</f>
        <v>3.5186494848818028E-2</v>
      </c>
      <c r="N596" s="28">
        <f>LN(Index!N597/Index!N596)</f>
        <v>2.7318083592577929E-3</v>
      </c>
    </row>
    <row r="597" spans="1:14">
      <c r="A597" s="15">
        <v>41796</v>
      </c>
      <c r="B597" s="28">
        <f>LN(Index!B598/Index!B597)</f>
        <v>1.1183859848752736E-2</v>
      </c>
      <c r="C597" s="28">
        <f>LN(Index!C598/Index!C597)</f>
        <v>-4.5763059193950758E-3</v>
      </c>
      <c r="D597" s="28">
        <f>LN(Index!D598/Index!D597)</f>
        <v>1.0978442503502519E-2</v>
      </c>
      <c r="E597" s="28">
        <f>LN(Index!E598/Index!E597)</f>
        <v>-3.8793790012813727E-3</v>
      </c>
      <c r="F597" s="28">
        <f>LN(Index!F598/Index!F597)</f>
        <v>7.7991106900845587E-3</v>
      </c>
      <c r="G597" s="28">
        <f>LN(Index!G598/Index!G597)</f>
        <v>7.0226480598216149E-3</v>
      </c>
      <c r="H597" s="28">
        <f>LN(Index!H598/Index!H597)</f>
        <v>-1.1487592107284278E-2</v>
      </c>
      <c r="I597" s="28">
        <f>LN(Index!I598/Index!I597)</f>
        <v>1.2774030484044387E-2</v>
      </c>
      <c r="J597" s="28">
        <f>LN(Index!J598/Index!J597)</f>
        <v>3.443576647168837E-3</v>
      </c>
      <c r="K597" s="28">
        <f>LN(Index!K598/Index!K597)</f>
        <v>7.7452095558469408E-3</v>
      </c>
      <c r="L597" s="28">
        <f>LN(Index!L598/Index!L597)</f>
        <v>-1.6884933374367299E-3</v>
      </c>
      <c r="M597" s="28">
        <f>LN(Index!M598/Index!M597)</f>
        <v>2.080226142643566E-2</v>
      </c>
      <c r="N597" s="28">
        <f>LN(Index!N598/Index!N597)</f>
        <v>1.127765592043847E-2</v>
      </c>
    </row>
    <row r="598" spans="1:14">
      <c r="A598" s="15">
        <v>41803</v>
      </c>
      <c r="B598" s="28">
        <f>LN(Index!B599/Index!B598)</f>
        <v>-4.1945013081918512E-3</v>
      </c>
      <c r="C598" s="28">
        <f>LN(Index!C599/Index!C598)</f>
        <v>-1.3181308923056751E-4</v>
      </c>
      <c r="D598" s="28">
        <f>LN(Index!D599/Index!D598)</f>
        <v>-1.4841596568403297E-2</v>
      </c>
      <c r="E598" s="28">
        <f>LN(Index!E599/Index!E598)</f>
        <v>-7.114448023810358E-3</v>
      </c>
      <c r="F598" s="28">
        <f>LN(Index!F599/Index!F598)</f>
        <v>-5.2567863333274891E-3</v>
      </c>
      <c r="G598" s="28">
        <f>LN(Index!G599/Index!G598)</f>
        <v>7.5961365239264047E-3</v>
      </c>
      <c r="H598" s="28">
        <f>LN(Index!H599/Index!H598)</f>
        <v>-5.491782645797764E-3</v>
      </c>
      <c r="I598" s="28">
        <f>LN(Index!I599/Index!I598)</f>
        <v>-5.546762688859677E-3</v>
      </c>
      <c r="J598" s="28">
        <f>LN(Index!J599/Index!J598)</f>
        <v>1.0655641169086676E-2</v>
      </c>
      <c r="K598" s="28">
        <f>LN(Index!K599/Index!K598)</f>
        <v>-3.0850036744308196E-3</v>
      </c>
      <c r="L598" s="28">
        <f>LN(Index!L599/Index!L598)</f>
        <v>-2.0441834927036592E-2</v>
      </c>
      <c r="M598" s="28">
        <f>LN(Index!M599/Index!M598)</f>
        <v>-3.9103423058506025E-3</v>
      </c>
      <c r="N598" s="28">
        <f>LN(Index!N599/Index!N598)</f>
        <v>-7.1381836354386847E-4</v>
      </c>
    </row>
    <row r="599" spans="1:14">
      <c r="A599" s="15">
        <v>41810</v>
      </c>
      <c r="B599" s="28">
        <f>LN(Index!B600/Index!B599)</f>
        <v>1.1638747179747775E-2</v>
      </c>
      <c r="C599" s="28">
        <f>LN(Index!C600/Index!C599)</f>
        <v>8.9598656743810235E-4</v>
      </c>
      <c r="D599" s="28">
        <f>LN(Index!D600/Index!D599)</f>
        <v>1.0338735407632853E-2</v>
      </c>
      <c r="E599" s="28">
        <f>LN(Index!E600/Index!E599)</f>
        <v>6.9219768031852334E-3</v>
      </c>
      <c r="F599" s="28">
        <f>LN(Index!F600/Index!F599)</f>
        <v>3.3023530234359812E-2</v>
      </c>
      <c r="G599" s="28">
        <f>LN(Index!G600/Index!G599)</f>
        <v>4.5030816174745254E-3</v>
      </c>
      <c r="H599" s="28">
        <f>LN(Index!H600/Index!H599)</f>
        <v>1.8105981567018425E-2</v>
      </c>
      <c r="I599" s="28">
        <f>LN(Index!I600/Index!I599)</f>
        <v>5.8959816858137112E-3</v>
      </c>
      <c r="J599" s="28">
        <f>LN(Index!J600/Index!J599)</f>
        <v>3.0173197655598721E-3</v>
      </c>
      <c r="K599" s="28">
        <f>LN(Index!K600/Index!K599)</f>
        <v>-1.6735728111813689E-2</v>
      </c>
      <c r="L599" s="28">
        <f>LN(Index!L600/Index!L599)</f>
        <v>4.7864388449140437E-3</v>
      </c>
      <c r="M599" s="28">
        <f>LN(Index!M600/Index!M599)</f>
        <v>-1.5956846584490659E-3</v>
      </c>
      <c r="N599" s="28">
        <f>LN(Index!N600/Index!N599)</f>
        <v>3.7809048153836969E-2</v>
      </c>
    </row>
    <row r="600" spans="1:14">
      <c r="A600" s="15">
        <v>41817</v>
      </c>
      <c r="B600" s="28">
        <f>LN(Index!B601/Index!B600)</f>
        <v>-3.7668931016289699E-3</v>
      </c>
      <c r="C600" s="28">
        <f>LN(Index!C601/Index!C600)</f>
        <v>5.8568012881613663E-3</v>
      </c>
      <c r="D600" s="28">
        <f>LN(Index!D601/Index!D600)</f>
        <v>2.3063224396399893E-3</v>
      </c>
      <c r="E600" s="28">
        <f>LN(Index!E601/Index!E600)</f>
        <v>1.5261305470084183E-3</v>
      </c>
      <c r="F600" s="28">
        <f>LN(Index!F601/Index!F600)</f>
        <v>8.976658566935105E-3</v>
      </c>
      <c r="G600" s="28">
        <f>LN(Index!G601/Index!G600)</f>
        <v>3.1493626005134594E-3</v>
      </c>
      <c r="H600" s="28">
        <f>LN(Index!H601/Index!H600)</f>
        <v>-8.2776163486002262E-4</v>
      </c>
      <c r="I600" s="28">
        <f>LN(Index!I601/Index!I600)</f>
        <v>-6.2817124092265052E-3</v>
      </c>
      <c r="J600" s="28">
        <f>LN(Index!J601/Index!J600)</f>
        <v>6.2845966355752252E-3</v>
      </c>
      <c r="K600" s="28">
        <f>LN(Index!K601/Index!K600)</f>
        <v>-1.959736191273547E-3</v>
      </c>
      <c r="L600" s="28">
        <f>LN(Index!L601/Index!L600)</f>
        <v>9.380048371090929E-3</v>
      </c>
      <c r="M600" s="28">
        <f>LN(Index!M601/Index!M600)</f>
        <v>3.9200555201907971E-3</v>
      </c>
      <c r="N600" s="28">
        <f>LN(Index!N601/Index!N600)</f>
        <v>9.3117494005469214E-3</v>
      </c>
    </row>
    <row r="601" spans="1:14">
      <c r="A601" s="15">
        <v>41824</v>
      </c>
      <c r="B601" s="28">
        <f>LN(Index!B602/Index!B601)</f>
        <v>1.2887202868664687E-2</v>
      </c>
      <c r="C601" s="28">
        <f>LN(Index!C602/Index!C601)</f>
        <v>-5.3827802643539079E-3</v>
      </c>
      <c r="D601" s="28">
        <f>LN(Index!D602/Index!D601)</f>
        <v>-1.1524963295679032E-3</v>
      </c>
      <c r="E601" s="28">
        <f>LN(Index!E602/Index!E601)</f>
        <v>1.2175719110999687E-2</v>
      </c>
      <c r="F601" s="28">
        <f>LN(Index!F602/Index!F601)</f>
        <v>-5.6592723074657325E-3</v>
      </c>
      <c r="G601" s="28">
        <f>LN(Index!G602/Index!G601)</f>
        <v>8.9353659233015088E-3</v>
      </c>
      <c r="H601" s="28">
        <f>LN(Index!H602/Index!H601)</f>
        <v>-5.8221834913773007E-3</v>
      </c>
      <c r="I601" s="28">
        <f>LN(Index!I602/Index!I601)</f>
        <v>1.378435646419136E-2</v>
      </c>
      <c r="J601" s="28">
        <f>LN(Index!J602/Index!J601)</f>
        <v>7.6054438917459617E-3</v>
      </c>
      <c r="K601" s="28">
        <f>LN(Index!K602/Index!K601)</f>
        <v>1.8737501068448355E-2</v>
      </c>
      <c r="L601" s="28">
        <f>LN(Index!L602/Index!L601)</f>
        <v>9.1047180500945964E-3</v>
      </c>
      <c r="M601" s="28">
        <f>LN(Index!M602/Index!M601)</f>
        <v>6.1697317668974495E-3</v>
      </c>
      <c r="N601" s="28">
        <f>LN(Index!N602/Index!N601)</f>
        <v>-1.66052723082746E-3</v>
      </c>
    </row>
    <row r="602" spans="1:14">
      <c r="A602" s="15">
        <v>41831</v>
      </c>
      <c r="B602" s="28">
        <f>LN(Index!B603/Index!B602)</f>
        <v>-1.5671309956823015E-2</v>
      </c>
      <c r="C602" s="28">
        <f>LN(Index!C603/Index!C602)</f>
        <v>5.8540338074768482E-3</v>
      </c>
      <c r="D602" s="28">
        <f>LN(Index!D603/Index!D602)</f>
        <v>3.19229933291971E-3</v>
      </c>
      <c r="E602" s="28">
        <f>LN(Index!E603/Index!E602)</f>
        <v>-1.6131431710942348E-2</v>
      </c>
      <c r="F602" s="28">
        <f>LN(Index!F603/Index!F602)</f>
        <v>4.6438876048420317E-3</v>
      </c>
      <c r="G602" s="28">
        <f>LN(Index!G603/Index!G602)</f>
        <v>5.083802285734117E-3</v>
      </c>
      <c r="H602" s="28">
        <f>LN(Index!H603/Index!H602)</f>
        <v>2.542812140840504E-3</v>
      </c>
      <c r="I602" s="28">
        <f>LN(Index!I603/Index!I602)</f>
        <v>-1.3713168766314015E-2</v>
      </c>
      <c r="J602" s="28">
        <f>LN(Index!J603/Index!J602)</f>
        <v>-1.2554415828228372E-2</v>
      </c>
      <c r="K602" s="28">
        <f>LN(Index!K603/Index!K602)</f>
        <v>1.2735301072103052E-2</v>
      </c>
      <c r="L602" s="28">
        <f>LN(Index!L603/Index!L602)</f>
        <v>6.6984743855529206E-3</v>
      </c>
      <c r="M602" s="28">
        <f>LN(Index!M603/Index!M602)</f>
        <v>-1.5844180277279157E-2</v>
      </c>
      <c r="N602" s="28">
        <f>LN(Index!N603/Index!N602)</f>
        <v>1.6914906578619222E-3</v>
      </c>
    </row>
    <row r="603" spans="1:14">
      <c r="A603" s="15">
        <v>41838</v>
      </c>
      <c r="B603" s="28">
        <f>LN(Index!B604/Index!B603)</f>
        <v>4.7639250751763873E-3</v>
      </c>
      <c r="C603" s="28">
        <f>LN(Index!C604/Index!C603)</f>
        <v>4.18705682195886E-4</v>
      </c>
      <c r="D603" s="28">
        <f>LN(Index!D604/Index!D603)</f>
        <v>1.0809230640414016E-2</v>
      </c>
      <c r="E603" s="28">
        <f>LN(Index!E604/Index!E603)</f>
        <v>5.2466894818335641E-3</v>
      </c>
      <c r="F603" s="28">
        <f>LN(Index!F604/Index!F603)</f>
        <v>1.1830654804124301E-2</v>
      </c>
      <c r="G603" s="28">
        <f>LN(Index!G604/Index!G603)</f>
        <v>5.3644508637197942E-3</v>
      </c>
      <c r="H603" s="28">
        <f>LN(Index!H604/Index!H603)</f>
        <v>5.4369430867450769E-3</v>
      </c>
      <c r="I603" s="28">
        <f>LN(Index!I604/Index!I603)</f>
        <v>1.4018899868002326E-2</v>
      </c>
      <c r="J603" s="28">
        <f>LN(Index!J604/Index!J603)</f>
        <v>2.8733860979282808E-3</v>
      </c>
      <c r="K603" s="28">
        <f>LN(Index!K604/Index!K603)</f>
        <v>1.2236172061594718E-3</v>
      </c>
      <c r="L603" s="28">
        <f>LN(Index!L604/Index!L603)</f>
        <v>5.4061396978736173E-3</v>
      </c>
      <c r="M603" s="28">
        <f>LN(Index!M604/Index!M603)</f>
        <v>3.9216286763494824E-3</v>
      </c>
      <c r="N603" s="28">
        <f>LN(Index!N604/Index!N603)</f>
        <v>1.2874757082953409E-2</v>
      </c>
    </row>
    <row r="604" spans="1:14">
      <c r="A604" s="15">
        <v>41845</v>
      </c>
      <c r="B604" s="28">
        <f>LN(Index!B605/Index!B604)</f>
        <v>2.2562256175404855E-3</v>
      </c>
      <c r="C604" s="28">
        <f>LN(Index!C605/Index!C604)</f>
        <v>-1.8316216444221818E-4</v>
      </c>
      <c r="D604" s="28">
        <f>LN(Index!D605/Index!D604)</f>
        <v>-1.6036006850546124E-3</v>
      </c>
      <c r="E604" s="28">
        <f>LN(Index!E605/Index!E604)</f>
        <v>3.8566917982994541E-3</v>
      </c>
      <c r="F604" s="28">
        <f>LN(Index!F605/Index!F604)</f>
        <v>3.214574141752898E-3</v>
      </c>
      <c r="G604" s="28">
        <f>LN(Index!G605/Index!G604)</f>
        <v>6.598783294625348E-3</v>
      </c>
      <c r="H604" s="28">
        <f>LN(Index!H605/Index!H604)</f>
        <v>1.6002454854273024E-3</v>
      </c>
      <c r="I604" s="28">
        <f>LN(Index!I605/Index!I604)</f>
        <v>3.9457232466298155E-3</v>
      </c>
      <c r="J604" s="28">
        <f>LN(Index!J605/Index!J604)</f>
        <v>-1.1443333337424783E-2</v>
      </c>
      <c r="K604" s="28">
        <f>LN(Index!K605/Index!K604)</f>
        <v>6.8741285609831317E-3</v>
      </c>
      <c r="L604" s="28">
        <f>LN(Index!L605/Index!L604)</f>
        <v>-1.0989535359746236E-2</v>
      </c>
      <c r="M604" s="28">
        <f>LN(Index!M605/Index!M604)</f>
        <v>6.7893416946772714E-4</v>
      </c>
      <c r="N604" s="28">
        <f>LN(Index!N605/Index!N604)</f>
        <v>1.0064269151239253E-2</v>
      </c>
    </row>
    <row r="605" spans="1:14">
      <c r="A605" s="15">
        <v>41852</v>
      </c>
      <c r="B605" s="28">
        <f>LN(Index!B606/Index!B605)</f>
        <v>-2.4604528381811219E-2</v>
      </c>
      <c r="C605" s="28">
        <f>LN(Index!C606/Index!C605)</f>
        <v>-1.8596859610090937E-3</v>
      </c>
      <c r="D605" s="28">
        <f>LN(Index!D606/Index!D605)</f>
        <v>-7.7958920897249562E-3</v>
      </c>
      <c r="E605" s="28">
        <f>LN(Index!E606/Index!E605)</f>
        <v>-3.2767045133966062E-2</v>
      </c>
      <c r="F605" s="28">
        <f>LN(Index!F606/Index!F605)</f>
        <v>-3.0080657517733814E-2</v>
      </c>
      <c r="G605" s="28">
        <f>LN(Index!G606/Index!G605)</f>
        <v>-1.1977232604517819E-2</v>
      </c>
      <c r="H605" s="28">
        <f>LN(Index!H606/Index!H605)</f>
        <v>-3.3029129311663734E-2</v>
      </c>
      <c r="I605" s="28">
        <f>LN(Index!I606/Index!I605)</f>
        <v>-1.0340209677935794E-2</v>
      </c>
      <c r="J605" s="28">
        <f>LN(Index!J606/Index!J605)</f>
        <v>-3.228912388890403E-2</v>
      </c>
      <c r="K605" s="28">
        <f>LN(Index!K606/Index!K605)</f>
        <v>-1.7798461597792477E-2</v>
      </c>
      <c r="L605" s="28">
        <f>LN(Index!L606/Index!L605)</f>
        <v>9.8588642797474962E-3</v>
      </c>
      <c r="M605" s="28">
        <f>LN(Index!M606/Index!M605)</f>
        <v>-3.5296001422741419E-2</v>
      </c>
      <c r="N605" s="28">
        <f>LN(Index!N606/Index!N605)</f>
        <v>-3.7396946578400383E-2</v>
      </c>
    </row>
    <row r="606" spans="1:14">
      <c r="A606" s="15">
        <v>41859</v>
      </c>
      <c r="B606" s="28">
        <f>LN(Index!B607/Index!B606)</f>
        <v>-8.9331787845738798E-3</v>
      </c>
      <c r="C606" s="28">
        <f>LN(Index!C607/Index!C606)</f>
        <v>3.4808132607418909E-3</v>
      </c>
      <c r="D606" s="28">
        <f>LN(Index!D607/Index!D606)</f>
        <v>-1.080637909469476E-2</v>
      </c>
      <c r="E606" s="28">
        <f>LN(Index!E607/Index!E606)</f>
        <v>-2.7617810054170449E-2</v>
      </c>
      <c r="F606" s="28">
        <f>LN(Index!F607/Index!F606)</f>
        <v>8.6683899610138868E-3</v>
      </c>
      <c r="G606" s="28">
        <f>LN(Index!G607/Index!G606)</f>
        <v>-1.1024911311653743E-2</v>
      </c>
      <c r="H606" s="28">
        <f>LN(Index!H607/Index!H606)</f>
        <v>-4.1711047817917278E-3</v>
      </c>
      <c r="I606" s="28">
        <f>LN(Index!I607/Index!I606)</f>
        <v>-2.4800408207706591E-2</v>
      </c>
      <c r="J606" s="28">
        <f>LN(Index!J607/Index!J606)</f>
        <v>-8.8684060253433703E-3</v>
      </c>
      <c r="K606" s="28">
        <f>LN(Index!K607/Index!K606)</f>
        <v>-1.4015578364647752E-2</v>
      </c>
      <c r="L606" s="28">
        <f>LN(Index!L607/Index!L606)</f>
        <v>2.8075469393084498E-2</v>
      </c>
      <c r="M606" s="28">
        <f>LN(Index!M607/Index!M606)</f>
        <v>-5.0041644595303081E-2</v>
      </c>
      <c r="N606" s="28">
        <f>LN(Index!N607/Index!N606)</f>
        <v>-6.0751911494816594E-4</v>
      </c>
    </row>
    <row r="607" spans="1:14">
      <c r="A607" s="15">
        <v>41866</v>
      </c>
      <c r="B607" s="28">
        <f>LN(Index!B608/Index!B607)</f>
        <v>1.3903920184731878E-2</v>
      </c>
      <c r="C607" s="28">
        <f>LN(Index!C608/Index!C607)</f>
        <v>3.6509715618810675E-3</v>
      </c>
      <c r="D607" s="28">
        <f>LN(Index!D608/Index!D607)</f>
        <v>2.2683804065054759E-2</v>
      </c>
      <c r="E607" s="28">
        <f>LN(Index!E608/Index!E607)</f>
        <v>2.1822688491004379E-2</v>
      </c>
      <c r="F607" s="28">
        <f>LN(Index!F608/Index!F607)</f>
        <v>3.252761172222933E-2</v>
      </c>
      <c r="G607" s="28">
        <f>LN(Index!G608/Index!G607)</f>
        <v>2.2088822858409466E-2</v>
      </c>
      <c r="H607" s="28">
        <f>LN(Index!H608/Index!H607)</f>
        <v>1.9255952487194698E-2</v>
      </c>
      <c r="I607" s="28">
        <f>LN(Index!I608/Index!I607)</f>
        <v>2.7517665133195215E-2</v>
      </c>
      <c r="J607" s="28">
        <f>LN(Index!J608/Index!J607)</f>
        <v>2.3902501203979489E-2</v>
      </c>
      <c r="K607" s="28">
        <f>LN(Index!K608/Index!K607)</f>
        <v>2.4272292350761566E-2</v>
      </c>
      <c r="L607" s="28">
        <f>LN(Index!L608/Index!L607)</f>
        <v>4.3190030873935057E-3</v>
      </c>
      <c r="M607" s="28">
        <f>LN(Index!M608/Index!M607)</f>
        <v>2.6996666754925267E-2</v>
      </c>
      <c r="N607" s="28">
        <f>LN(Index!N608/Index!N607)</f>
        <v>4.0528053245090137E-2</v>
      </c>
    </row>
    <row r="608" spans="1:14">
      <c r="A608" s="15">
        <v>41873</v>
      </c>
      <c r="B608" s="28">
        <f>LN(Index!B609/Index!B608)</f>
        <v>1.2579073877859361E-2</v>
      </c>
      <c r="C608" s="28">
        <f>LN(Index!C609/Index!C608)</f>
        <v>-4.9842876637714644E-3</v>
      </c>
      <c r="D608" s="28">
        <f>LN(Index!D609/Index!D608)</f>
        <v>9.2890252484400023E-3</v>
      </c>
      <c r="E608" s="28">
        <f>LN(Index!E609/Index!E608)</f>
        <v>8.9933650952017784E-3</v>
      </c>
      <c r="F608" s="28">
        <f>LN(Index!F609/Index!F608)</f>
        <v>5.7440415702911295E-3</v>
      </c>
      <c r="G608" s="28">
        <f>LN(Index!G609/Index!G608)</f>
        <v>1.4008979416060035E-2</v>
      </c>
      <c r="H608" s="28">
        <f>LN(Index!H609/Index!H608)</f>
        <v>8.1538770674163333E-3</v>
      </c>
      <c r="I608" s="28">
        <f>LN(Index!I609/Index!I608)</f>
        <v>1.1052058905769557E-2</v>
      </c>
      <c r="J608" s="28">
        <f>LN(Index!J609/Index!J608)</f>
        <v>5.3558482884895403E-3</v>
      </c>
      <c r="K608" s="28">
        <f>LN(Index!K609/Index!K608)</f>
        <v>1.0267547561548008E-2</v>
      </c>
      <c r="L608" s="28">
        <f>LN(Index!L609/Index!L608)</f>
        <v>3.6603505325653032E-3</v>
      </c>
      <c r="M608" s="28">
        <f>LN(Index!M609/Index!M608)</f>
        <v>1.2592828614662051E-2</v>
      </c>
      <c r="N608" s="28">
        <f>LN(Index!N609/Index!N608)</f>
        <v>8.1492203485579763E-3</v>
      </c>
    </row>
    <row r="609" spans="1:14">
      <c r="A609" s="15">
        <v>41880</v>
      </c>
      <c r="B609" s="28">
        <f>LN(Index!B610/Index!B609)</f>
        <v>7.3063616893126789E-3</v>
      </c>
      <c r="C609" s="28">
        <f>LN(Index!C610/Index!C609)</f>
        <v>4.0206831878816466E-3</v>
      </c>
      <c r="D609" s="28">
        <f>LN(Index!D610/Index!D609)</f>
        <v>-5.1096010513344565E-4</v>
      </c>
      <c r="E609" s="28">
        <f>LN(Index!E610/Index!E609)</f>
        <v>1.592218446904594E-2</v>
      </c>
      <c r="F609" s="28">
        <f>LN(Index!F610/Index!F609)</f>
        <v>1.7195548951585409E-2</v>
      </c>
      <c r="G609" s="28">
        <f>LN(Index!G610/Index!G609)</f>
        <v>-1.2660049016923842E-2</v>
      </c>
      <c r="H609" s="28">
        <f>LN(Index!H610/Index!H609)</f>
        <v>1.481704352777106E-2</v>
      </c>
      <c r="I609" s="28">
        <f>LN(Index!I610/Index!I609)</f>
        <v>8.9929126424733875E-3</v>
      </c>
      <c r="J609" s="28">
        <f>LN(Index!J610/Index!J609)</f>
        <v>9.8632504137541079E-3</v>
      </c>
      <c r="K609" s="28">
        <f>LN(Index!K610/Index!K609)</f>
        <v>-9.7533170505420871E-3</v>
      </c>
      <c r="L609" s="28">
        <f>LN(Index!L610/Index!L609)</f>
        <v>9.7497231400344372E-3</v>
      </c>
      <c r="M609" s="28">
        <f>LN(Index!M610/Index!M609)</f>
        <v>1.6280899252233128E-2</v>
      </c>
      <c r="N609" s="28">
        <f>LN(Index!N610/Index!N609)</f>
        <v>1.3333596961123554E-2</v>
      </c>
    </row>
    <row r="610" spans="1:14">
      <c r="A610" s="15">
        <v>41887</v>
      </c>
      <c r="B610" s="28">
        <f>LN(Index!B611/Index!B610)</f>
        <v>1.1087869636126227E-3</v>
      </c>
      <c r="C610" s="28">
        <f>LN(Index!C611/Index!C610)</f>
        <v>-7.4536455866397724E-3</v>
      </c>
      <c r="D610" s="28">
        <f>LN(Index!D611/Index!D610)</f>
        <v>6.2159470535176386E-3</v>
      </c>
      <c r="E610" s="28">
        <f>LN(Index!E611/Index!E610)</f>
        <v>4.3249480821686125E-3</v>
      </c>
      <c r="F610" s="28">
        <f>LN(Index!F611/Index!F610)</f>
        <v>1.1155877382601999E-2</v>
      </c>
      <c r="G610" s="28">
        <f>LN(Index!G611/Index!G610)</f>
        <v>1.9835632595024244E-2</v>
      </c>
      <c r="H610" s="28">
        <f>LN(Index!H611/Index!H610)</f>
        <v>1.1137851530603617E-2</v>
      </c>
      <c r="I610" s="28">
        <f>LN(Index!I611/Index!I610)</f>
        <v>3.0687952593829407E-2</v>
      </c>
      <c r="J610" s="28">
        <f>LN(Index!J611/Index!J610)</f>
        <v>-3.159038197878967E-3</v>
      </c>
      <c r="K610" s="28">
        <f>LN(Index!K611/Index!K610)</f>
        <v>1.1193449770726001E-4</v>
      </c>
      <c r="L610" s="28">
        <f>LN(Index!L611/Index!L610)</f>
        <v>9.2252938558362047E-3</v>
      </c>
      <c r="M610" s="28">
        <f>LN(Index!M611/Index!M610)</f>
        <v>1.3790804896861538E-2</v>
      </c>
      <c r="N610" s="28">
        <f>LN(Index!N611/Index!N610)</f>
        <v>1.2511631242820094E-2</v>
      </c>
    </row>
    <row r="611" spans="1:14">
      <c r="A611" s="15">
        <v>41894</v>
      </c>
      <c r="B611" s="28">
        <f>LN(Index!B612/Index!B611)</f>
        <v>-1.2143373755884148E-2</v>
      </c>
      <c r="C611" s="28">
        <f>LN(Index!C612/Index!C611)</f>
        <v>-9.5747516832396708E-3</v>
      </c>
      <c r="D611" s="28">
        <f>LN(Index!D612/Index!D611)</f>
        <v>-3.9684046806502185E-2</v>
      </c>
      <c r="E611" s="28">
        <f>LN(Index!E612/Index!E611)</f>
        <v>-2.2089158395056867E-2</v>
      </c>
      <c r="F611" s="28">
        <f>LN(Index!F612/Index!F611)</f>
        <v>-3.1878670267937864E-2</v>
      </c>
      <c r="G611" s="28">
        <f>LN(Index!G612/Index!G611)</f>
        <v>-3.296615740142167E-2</v>
      </c>
      <c r="H611" s="28">
        <f>LN(Index!H612/Index!H611)</f>
        <v>-2.850903208267333E-2</v>
      </c>
      <c r="I611" s="28">
        <f>LN(Index!I612/Index!I611)</f>
        <v>-2.7882926624970297E-2</v>
      </c>
      <c r="J611" s="28">
        <f>LN(Index!J612/Index!J611)</f>
        <v>-3.2493583390577646E-2</v>
      </c>
      <c r="K611" s="28">
        <f>LN(Index!K612/Index!K611)</f>
        <v>-2.1995269511446225E-3</v>
      </c>
      <c r="L611" s="28">
        <f>LN(Index!L612/Index!L611)</f>
        <v>-2.313208940921084E-2</v>
      </c>
      <c r="M611" s="28">
        <f>LN(Index!M612/Index!M611)</f>
        <v>-3.8689355697309157E-2</v>
      </c>
      <c r="N611" s="28">
        <f>LN(Index!N612/Index!N611)</f>
        <v>-3.0975529051335392E-2</v>
      </c>
    </row>
    <row r="612" spans="1:14">
      <c r="A612" s="15">
        <v>41901</v>
      </c>
      <c r="B612" s="28">
        <f>LN(Index!B613/Index!B612)</f>
        <v>6.2366549683166659E-3</v>
      </c>
      <c r="C612" s="28">
        <f>LN(Index!C613/Index!C612)</f>
        <v>-1.0601924259182807E-4</v>
      </c>
      <c r="D612" s="28">
        <f>LN(Index!D613/Index!D612)</f>
        <v>-1.1160237000374565E-2</v>
      </c>
      <c r="E612" s="28">
        <f>LN(Index!E613/Index!E612)</f>
        <v>-9.2058731547711211E-3</v>
      </c>
      <c r="F612" s="28">
        <f>LN(Index!F613/Index!F612)</f>
        <v>9.9991652817758084E-3</v>
      </c>
      <c r="G612" s="28">
        <f>LN(Index!G613/Index!G612)</f>
        <v>-2.5743634183130817E-2</v>
      </c>
      <c r="H612" s="28">
        <f>LN(Index!H613/Index!H612)</f>
        <v>-2.4657204245292137E-3</v>
      </c>
      <c r="I612" s="28">
        <f>LN(Index!I613/Index!I612)</f>
        <v>-2.435108608797416E-2</v>
      </c>
      <c r="J612" s="28">
        <f>LN(Index!J613/Index!J612)</f>
        <v>-7.9497453521789295E-3</v>
      </c>
      <c r="K612" s="28">
        <f>LN(Index!K613/Index!K612)</f>
        <v>5.5889328292574262E-3</v>
      </c>
      <c r="L612" s="28">
        <f>LN(Index!L613/Index!L612)</f>
        <v>-2.2616422364162623E-3</v>
      </c>
      <c r="M612" s="28">
        <f>LN(Index!M613/Index!M612)</f>
        <v>-2.0853956583787879E-2</v>
      </c>
      <c r="N612" s="28">
        <f>LN(Index!N613/Index!N612)</f>
        <v>8.4207238615492397E-3</v>
      </c>
    </row>
    <row r="613" spans="1:14">
      <c r="A613" s="15">
        <v>41908</v>
      </c>
      <c r="B613" s="28">
        <f>LN(Index!B614/Index!B613)</f>
        <v>-1.8822024305899562E-2</v>
      </c>
      <c r="C613" s="28">
        <f>LN(Index!C614/Index!C613)</f>
        <v>9.8024937973376579E-4</v>
      </c>
      <c r="D613" s="28">
        <f>LN(Index!D614/Index!D613)</f>
        <v>-1.2151340439291947E-2</v>
      </c>
      <c r="E613" s="28">
        <f>LN(Index!E614/Index!E613)</f>
        <v>-2.0964229339919142E-2</v>
      </c>
      <c r="F613" s="28">
        <f>LN(Index!F614/Index!F613)</f>
        <v>-3.0017564616981161E-2</v>
      </c>
      <c r="G613" s="28">
        <f>LN(Index!G614/Index!G613)</f>
        <v>-1.579159370691639E-2</v>
      </c>
      <c r="H613" s="28">
        <f>LN(Index!H614/Index!H613)</f>
        <v>-1.7797000557320034E-2</v>
      </c>
      <c r="I613" s="28">
        <f>LN(Index!I614/Index!I613)</f>
        <v>-1.8272176254098032E-2</v>
      </c>
      <c r="J613" s="28">
        <f>LN(Index!J614/Index!J613)</f>
        <v>-2.8461231870391814E-2</v>
      </c>
      <c r="K613" s="28">
        <f>LN(Index!K614/Index!K613)</f>
        <v>-3.0202195358901052E-2</v>
      </c>
      <c r="L613" s="28">
        <f>LN(Index!L614/Index!L613)</f>
        <v>-1.1993808377254167E-2</v>
      </c>
      <c r="M613" s="28">
        <f>LN(Index!M614/Index!M613)</f>
        <v>-2.9542696882168835E-2</v>
      </c>
      <c r="N613" s="28">
        <f>LN(Index!N614/Index!N613)</f>
        <v>-3.2867164180300626E-2</v>
      </c>
    </row>
    <row r="614" spans="1:14">
      <c r="A614" s="15">
        <v>41915</v>
      </c>
      <c r="B614" s="28">
        <f>LN(Index!B615/Index!B614)</f>
        <v>-1.9260695438133569E-2</v>
      </c>
      <c r="C614" s="28">
        <f>LN(Index!C615/Index!C614)</f>
        <v>1.2173500325715653E-3</v>
      </c>
      <c r="D614" s="28">
        <f>LN(Index!D615/Index!D614)</f>
        <v>-1.7957527554056042E-2</v>
      </c>
      <c r="E614" s="28">
        <f>LN(Index!E615/Index!E614)</f>
        <v>-1.7663562121571361E-2</v>
      </c>
      <c r="F614" s="28">
        <f>LN(Index!F615/Index!F614)</f>
        <v>-6.2603227383120597E-4</v>
      </c>
      <c r="G614" s="28">
        <f>LN(Index!G615/Index!G614)</f>
        <v>-2.3144556550296406E-2</v>
      </c>
      <c r="H614" s="28">
        <f>LN(Index!H615/Index!H614)</f>
        <v>8.6075910209420397E-4</v>
      </c>
      <c r="I614" s="28">
        <f>LN(Index!I615/Index!I614)</f>
        <v>-8.4127417480707092E-3</v>
      </c>
      <c r="J614" s="28">
        <f>LN(Index!J615/Index!J614)</f>
        <v>-1.405709964318649E-2</v>
      </c>
      <c r="K614" s="28">
        <f>LN(Index!K615/Index!K614)</f>
        <v>-2.9273249174684494E-2</v>
      </c>
      <c r="L614" s="28">
        <f>LN(Index!L615/Index!L614)</f>
        <v>2.440644435060077E-3</v>
      </c>
      <c r="M614" s="28">
        <f>LN(Index!M615/Index!M614)</f>
        <v>-1.8241663094507036E-2</v>
      </c>
      <c r="N614" s="28">
        <f>LN(Index!N615/Index!N614)</f>
        <v>-1.258375928036133E-2</v>
      </c>
    </row>
    <row r="615" spans="1:14">
      <c r="A615" s="15">
        <v>41922</v>
      </c>
      <c r="B615" s="28">
        <f>LN(Index!B616/Index!B615)</f>
        <v>-2.9445156734705141E-2</v>
      </c>
      <c r="C615" s="28">
        <f>LN(Index!C616/Index!C615)</f>
        <v>8.1654608831597895E-3</v>
      </c>
      <c r="D615" s="28">
        <f>LN(Index!D616/Index!D615)</f>
        <v>8.2819615028658367E-3</v>
      </c>
      <c r="E615" s="28">
        <f>LN(Index!E616/Index!E615)</f>
        <v>-1.6631325928290964E-2</v>
      </c>
      <c r="F615" s="28">
        <f>LN(Index!F616/Index!F615)</f>
        <v>-3.4140519581287006E-2</v>
      </c>
      <c r="G615" s="28">
        <f>LN(Index!G616/Index!G615)</f>
        <v>3.3531732676834441E-3</v>
      </c>
      <c r="H615" s="28">
        <f>LN(Index!H616/Index!H615)</f>
        <v>6.1876166266375699E-4</v>
      </c>
      <c r="I615" s="28">
        <f>LN(Index!I616/Index!I615)</f>
        <v>-3.1133108401941501E-2</v>
      </c>
      <c r="J615" s="28">
        <f>LN(Index!J616/Index!J615)</f>
        <v>9.5376841081526095E-3</v>
      </c>
      <c r="K615" s="28">
        <f>LN(Index!K616/Index!K615)</f>
        <v>-1.5825961111807892E-2</v>
      </c>
      <c r="L615" s="28">
        <f>LN(Index!L616/Index!L615)</f>
        <v>-1.1771901445592484E-2</v>
      </c>
      <c r="M615" s="28">
        <f>LN(Index!M616/Index!M615)</f>
        <v>-2.1644516237243564E-2</v>
      </c>
      <c r="N615" s="28">
        <f>LN(Index!N616/Index!N615)</f>
        <v>-4.3149401143281571E-2</v>
      </c>
    </row>
    <row r="616" spans="1:14">
      <c r="A616" s="15">
        <v>41929</v>
      </c>
      <c r="B616" s="28">
        <f>LN(Index!B617/Index!B616)</f>
        <v>-8.0982098250855592E-3</v>
      </c>
      <c r="C616" s="28">
        <f>LN(Index!C617/Index!C616)</f>
        <v>5.7546588314970511E-3</v>
      </c>
      <c r="D616" s="28">
        <f>LN(Index!D617/Index!D616)</f>
        <v>4.9581925205606841E-3</v>
      </c>
      <c r="E616" s="28">
        <f>LN(Index!E617/Index!E616)</f>
        <v>5.9987522007544283E-3</v>
      </c>
      <c r="F616" s="28">
        <f>LN(Index!F617/Index!F616)</f>
        <v>5.6262854805188374E-3</v>
      </c>
      <c r="G616" s="28">
        <f>LN(Index!G617/Index!G616)</f>
        <v>1.5515560528518535E-3</v>
      </c>
      <c r="H616" s="28">
        <f>LN(Index!H617/Index!H616)</f>
        <v>6.9206546318776544E-3</v>
      </c>
      <c r="I616" s="28">
        <f>LN(Index!I617/Index!I616)</f>
        <v>9.4247646868467194E-4</v>
      </c>
      <c r="J616" s="28">
        <f>LN(Index!J617/Index!J616)</f>
        <v>1.0923718034434777E-2</v>
      </c>
      <c r="K616" s="28">
        <f>LN(Index!K617/Index!K616)</f>
        <v>2.3670335050449075E-3</v>
      </c>
      <c r="L616" s="28">
        <f>LN(Index!L617/Index!L616)</f>
        <v>4.7097564326026628E-4</v>
      </c>
      <c r="M616" s="28">
        <f>LN(Index!M617/Index!M616)</f>
        <v>5.9175109591982182E-3</v>
      </c>
      <c r="N616" s="28">
        <f>LN(Index!N617/Index!N616)</f>
        <v>5.2493132084311268E-3</v>
      </c>
    </row>
    <row r="617" spans="1:14">
      <c r="A617" s="15">
        <v>41936</v>
      </c>
      <c r="B617" s="28">
        <f>LN(Index!B618/Index!B617)</f>
        <v>3.3110440842950846E-2</v>
      </c>
      <c r="C617" s="28">
        <f>LN(Index!C618/Index!C617)</f>
        <v>-4.4438708603600583E-3</v>
      </c>
      <c r="D617" s="28">
        <f>LN(Index!D618/Index!D617)</f>
        <v>2.8610115958255911E-2</v>
      </c>
      <c r="E617" s="28">
        <f>LN(Index!E618/Index!E617)</f>
        <v>2.5565462500563633E-2</v>
      </c>
      <c r="F617" s="28">
        <f>LN(Index!F618/Index!F617)</f>
        <v>3.7293690330661072E-2</v>
      </c>
      <c r="G617" s="28">
        <f>LN(Index!G618/Index!G617)</f>
        <v>2.5558139587295872E-2</v>
      </c>
      <c r="H617" s="28">
        <f>LN(Index!H618/Index!H617)</f>
        <v>2.8636942402878406E-2</v>
      </c>
      <c r="I617" s="28">
        <f>LN(Index!I618/Index!I617)</f>
        <v>2.2215617652888174E-2</v>
      </c>
      <c r="J617" s="28">
        <f>LN(Index!J618/Index!J617)</f>
        <v>3.0251365684735708E-2</v>
      </c>
      <c r="K617" s="28">
        <f>LN(Index!K618/Index!K617)</f>
        <v>1.6129986320421966E-2</v>
      </c>
      <c r="L617" s="28">
        <f>LN(Index!L618/Index!L617)</f>
        <v>3.5536305798570152E-2</v>
      </c>
      <c r="M617" s="28">
        <f>LN(Index!M618/Index!M617)</f>
        <v>2.7799934674117711E-2</v>
      </c>
      <c r="N617" s="28">
        <f>LN(Index!N618/Index!N617)</f>
        <v>3.5461272052512531E-2</v>
      </c>
    </row>
    <row r="618" spans="1:14">
      <c r="A618" s="15">
        <v>41943</v>
      </c>
      <c r="B618" s="28">
        <f>LN(Index!B619/Index!B618)</f>
        <v>2.3822428284040631E-2</v>
      </c>
      <c r="C618" s="28">
        <f>LN(Index!C619/Index!C618)</f>
        <v>-6.0439022502701964E-3</v>
      </c>
      <c r="D618" s="28">
        <f>LN(Index!D619/Index!D618)</f>
        <v>2.7865660700995762E-2</v>
      </c>
      <c r="E618" s="28">
        <f>LN(Index!E619/Index!E618)</f>
        <v>2.1554354511938899E-2</v>
      </c>
      <c r="F618" s="28">
        <f>LN(Index!F619/Index!F618)</f>
        <v>1.0559956360987497E-2</v>
      </c>
      <c r="G618" s="28">
        <f>LN(Index!G619/Index!G618)</f>
        <v>1.0888771803976025E-2</v>
      </c>
      <c r="H618" s="28">
        <f>LN(Index!H619/Index!H618)</f>
        <v>3.1013339349254095E-2</v>
      </c>
      <c r="I618" s="28">
        <f>LN(Index!I619/Index!I618)</f>
        <v>1.7194114252727748E-2</v>
      </c>
      <c r="J618" s="28">
        <f>LN(Index!J619/Index!J618)</f>
        <v>2.3805128526378658E-2</v>
      </c>
      <c r="K618" s="28">
        <f>LN(Index!K619/Index!K618)</f>
        <v>9.6957585917560561E-3</v>
      </c>
      <c r="L618" s="28">
        <f>LN(Index!L619/Index!L618)</f>
        <v>-1.7970022320502741E-2</v>
      </c>
      <c r="M618" s="28">
        <f>LN(Index!M619/Index!M618)</f>
        <v>2.94078235497858E-2</v>
      </c>
      <c r="N618" s="28">
        <f>LN(Index!N619/Index!N618)</f>
        <v>1.0902330462944839E-2</v>
      </c>
    </row>
    <row r="619" spans="1:14">
      <c r="A619" s="15">
        <v>41950</v>
      </c>
      <c r="B619" s="28">
        <f>LN(Index!B620/Index!B619)</f>
        <v>-6.3248516061214404E-4</v>
      </c>
      <c r="C619" s="28">
        <f>LN(Index!C620/Index!C619)</f>
        <v>-3.2472275322666987E-3</v>
      </c>
      <c r="D619" s="28">
        <f>LN(Index!D620/Index!D619)</f>
        <v>-1.1884602240784145E-2</v>
      </c>
      <c r="E619" s="28">
        <f>LN(Index!E620/Index!E619)</f>
        <v>-2.4148381006405244E-2</v>
      </c>
      <c r="F619" s="28">
        <f>LN(Index!F620/Index!F619)</f>
        <v>3.0116975267673331E-3</v>
      </c>
      <c r="G619" s="28">
        <f>LN(Index!G620/Index!G619)</f>
        <v>-1.6790988477925117E-3</v>
      </c>
      <c r="H619" s="28">
        <f>LN(Index!H620/Index!H619)</f>
        <v>-6.3368358745979373E-3</v>
      </c>
      <c r="I619" s="28">
        <f>LN(Index!I620/Index!I619)</f>
        <v>9.02905332686435E-4</v>
      </c>
      <c r="J619" s="28">
        <f>LN(Index!J620/Index!J619)</f>
        <v>-1.2047009610767132E-2</v>
      </c>
      <c r="K619" s="28">
        <f>LN(Index!K620/Index!K619)</f>
        <v>1.8752761644475899E-2</v>
      </c>
      <c r="L619" s="28">
        <f>LN(Index!L620/Index!L619)</f>
        <v>1.301265726375074E-2</v>
      </c>
      <c r="M619" s="28">
        <f>LN(Index!M620/Index!M619)</f>
        <v>-1.6046930706817182E-2</v>
      </c>
      <c r="N619" s="28">
        <f>LN(Index!N620/Index!N619)</f>
        <v>-7.3165151844108139E-3</v>
      </c>
    </row>
    <row r="620" spans="1:14">
      <c r="A620" s="15">
        <v>41957</v>
      </c>
      <c r="B620" s="28">
        <f>LN(Index!B621/Index!B620)</f>
        <v>5.951755342310028E-3</v>
      </c>
      <c r="C620" s="28">
        <f>LN(Index!C621/Index!C620)</f>
        <v>-6.0837710675441792E-4</v>
      </c>
      <c r="D620" s="28">
        <f>LN(Index!D621/Index!D620)</f>
        <v>1.0753903657041573E-2</v>
      </c>
      <c r="E620" s="28">
        <f>LN(Index!E621/Index!E620)</f>
        <v>9.8316616524514767E-3</v>
      </c>
      <c r="F620" s="28">
        <f>LN(Index!F621/Index!F620)</f>
        <v>-1.6697971438771199E-2</v>
      </c>
      <c r="G620" s="28">
        <f>LN(Index!G621/Index!G620)</f>
        <v>1.1453545703723244E-2</v>
      </c>
      <c r="H620" s="28">
        <f>LN(Index!H621/Index!H620)</f>
        <v>-6.0738324973965653E-3</v>
      </c>
      <c r="I620" s="28">
        <f>LN(Index!I621/Index!I620)</f>
        <v>1.0819824093913548E-2</v>
      </c>
      <c r="J620" s="28">
        <f>LN(Index!J621/Index!J620)</f>
        <v>-5.630243387211545E-3</v>
      </c>
      <c r="K620" s="28">
        <f>LN(Index!K621/Index!K620)</f>
        <v>6.5874577089401589E-3</v>
      </c>
      <c r="L620" s="28">
        <f>LN(Index!L621/Index!L620)</f>
        <v>5.4310876965814317E-3</v>
      </c>
      <c r="M620" s="28">
        <f>LN(Index!M621/Index!M620)</f>
        <v>1.0367757419711462E-2</v>
      </c>
      <c r="N620" s="28">
        <f>LN(Index!N621/Index!N620)</f>
        <v>-1.3651303091365308E-2</v>
      </c>
    </row>
    <row r="621" spans="1:14">
      <c r="A621" s="15">
        <v>41964</v>
      </c>
      <c r="B621" s="28">
        <f>LN(Index!B622/Index!B621)</f>
        <v>1.1602589603546877E-2</v>
      </c>
      <c r="C621" s="28">
        <f>LN(Index!C622/Index!C621)</f>
        <v>-5.2919852895133966E-5</v>
      </c>
      <c r="D621" s="28">
        <f>LN(Index!D622/Index!D621)</f>
        <v>6.6829458855352053E-4</v>
      </c>
      <c r="E621" s="28">
        <f>LN(Index!E622/Index!E621)</f>
        <v>1.6036056100605E-2</v>
      </c>
      <c r="F621" s="28">
        <f>LN(Index!F622/Index!F621)</f>
        <v>2.2372555363975626E-2</v>
      </c>
      <c r="G621" s="28">
        <f>LN(Index!G622/Index!G621)</f>
        <v>-1.1798324994523043E-2</v>
      </c>
      <c r="H621" s="28">
        <f>LN(Index!H622/Index!H621)</f>
        <v>8.0545459539841137E-3</v>
      </c>
      <c r="I621" s="28">
        <f>LN(Index!I622/Index!I621)</f>
        <v>4.0459663550495868E-3</v>
      </c>
      <c r="J621" s="28">
        <f>LN(Index!J622/Index!J621)</f>
        <v>2.3137511704020459E-2</v>
      </c>
      <c r="K621" s="28">
        <f>LN(Index!K622/Index!K621)</f>
        <v>1.5373154111034461E-2</v>
      </c>
      <c r="L621" s="28">
        <f>LN(Index!L622/Index!L621)</f>
        <v>2.1310670709336208E-2</v>
      </c>
      <c r="M621" s="28">
        <f>LN(Index!M622/Index!M621)</f>
        <v>1.3317098882747085E-2</v>
      </c>
      <c r="N621" s="28">
        <f>LN(Index!N622/Index!N621)</f>
        <v>2.0833625073492609E-2</v>
      </c>
    </row>
    <row r="622" spans="1:14">
      <c r="A622" s="15">
        <v>41971</v>
      </c>
      <c r="B622" s="28">
        <f>LN(Index!B623/Index!B622)</f>
        <v>1.3000686380442226E-3</v>
      </c>
      <c r="C622" s="28">
        <f>LN(Index!C623/Index!C622)</f>
        <v>5.1992041216291284E-3</v>
      </c>
      <c r="D622" s="28">
        <f>LN(Index!D623/Index!D622)</f>
        <v>9.7676503392515341E-3</v>
      </c>
      <c r="E622" s="28">
        <f>LN(Index!E623/Index!E622)</f>
        <v>1.2456589532867325E-2</v>
      </c>
      <c r="F622" s="28">
        <f>LN(Index!F623/Index!F622)</f>
        <v>-1.5898260789303242E-2</v>
      </c>
      <c r="G622" s="28">
        <f>LN(Index!G623/Index!G622)</f>
        <v>2.5500446396001849E-4</v>
      </c>
      <c r="H622" s="28">
        <f>LN(Index!H623/Index!H622)</f>
        <v>4.9223808193047816E-3</v>
      </c>
      <c r="I622" s="28">
        <f>LN(Index!I623/Index!I622)</f>
        <v>-4.3229971816519655E-3</v>
      </c>
      <c r="J622" s="28">
        <f>LN(Index!J623/Index!J622)</f>
        <v>1.3075979146051049E-3</v>
      </c>
      <c r="K622" s="28">
        <f>LN(Index!K623/Index!K622)</f>
        <v>2.5455925809183878E-3</v>
      </c>
      <c r="L622" s="28">
        <f>LN(Index!L623/Index!L622)</f>
        <v>3.0032218698614468E-2</v>
      </c>
      <c r="M622" s="28">
        <f>LN(Index!M623/Index!M622)</f>
        <v>1.7789380266975564E-2</v>
      </c>
      <c r="N622" s="28">
        <f>LN(Index!N623/Index!N622)</f>
        <v>-2.7400838109387562E-2</v>
      </c>
    </row>
    <row r="623" spans="1:14">
      <c r="A623" s="15">
        <v>41978</v>
      </c>
      <c r="B623" s="28">
        <f>LN(Index!B624/Index!B623)</f>
        <v>-5.6353903999134774E-4</v>
      </c>
      <c r="C623" s="28">
        <f>LN(Index!C624/Index!C623)</f>
        <v>-8.11411728077217E-3</v>
      </c>
      <c r="D623" s="28">
        <f>LN(Index!D624/Index!D623)</f>
        <v>-9.7162615574112703E-3</v>
      </c>
      <c r="E623" s="28">
        <f>LN(Index!E624/Index!E623)</f>
        <v>-7.3227434844895505E-3</v>
      </c>
      <c r="F623" s="28">
        <f>LN(Index!F624/Index!F623)</f>
        <v>-1.3833224156765703E-4</v>
      </c>
      <c r="G623" s="28">
        <f>LN(Index!G624/Index!G623)</f>
        <v>1.0014304421066195E-3</v>
      </c>
      <c r="H623" s="28">
        <f>LN(Index!H624/Index!H623)</f>
        <v>6.7252807468899396E-4</v>
      </c>
      <c r="I623" s="28">
        <f>LN(Index!I624/Index!I623)</f>
        <v>3.9376112836019368E-3</v>
      </c>
      <c r="J623" s="28">
        <f>LN(Index!J624/Index!J623)</f>
        <v>-2.1743951668466734E-2</v>
      </c>
      <c r="K623" s="28">
        <f>LN(Index!K624/Index!K623)</f>
        <v>5.9668589369552757E-3</v>
      </c>
      <c r="L623" s="28">
        <f>LN(Index!L624/Index!L623)</f>
        <v>-3.9475899015542402E-2</v>
      </c>
      <c r="M623" s="28">
        <f>LN(Index!M624/Index!M623)</f>
        <v>-5.1530155594543834E-3</v>
      </c>
      <c r="N623" s="28">
        <f>LN(Index!N624/Index!N623)</f>
        <v>7.4811899656323424E-3</v>
      </c>
    </row>
    <row r="624" spans="1:14">
      <c r="A624" s="15">
        <v>41985</v>
      </c>
      <c r="B624" s="28">
        <f>LN(Index!B625/Index!B624)</f>
        <v>-3.7197130980960495E-2</v>
      </c>
      <c r="C624" s="28">
        <f>LN(Index!C625/Index!C624)</f>
        <v>1.0821759475990698E-2</v>
      </c>
      <c r="D624" s="28">
        <f>LN(Index!D625/Index!D624)</f>
        <v>-8.8779358789890794E-3</v>
      </c>
      <c r="E624" s="28">
        <f>LN(Index!E625/Index!E624)</f>
        <v>-3.544205948443932E-2</v>
      </c>
      <c r="F624" s="28">
        <f>LN(Index!F625/Index!F624)</f>
        <v>-5.6013865226073004E-2</v>
      </c>
      <c r="G624" s="28">
        <f>LN(Index!G625/Index!G624)</f>
        <v>-1.2984803823152851E-2</v>
      </c>
      <c r="H624" s="28">
        <f>LN(Index!H625/Index!H624)</f>
        <v>-2.0149332850697317E-2</v>
      </c>
      <c r="I624" s="28">
        <f>LN(Index!I625/Index!I624)</f>
        <v>-9.5542748433732096E-3</v>
      </c>
      <c r="J624" s="28">
        <f>LN(Index!J625/Index!J624)</f>
        <v>-5.1858715771889493E-3</v>
      </c>
      <c r="K624" s="28">
        <f>LN(Index!K625/Index!K624)</f>
        <v>-2.405451527531733E-2</v>
      </c>
      <c r="L624" s="28">
        <f>LN(Index!L625/Index!L624)</f>
        <v>-2.8860212036534792E-2</v>
      </c>
      <c r="M624" s="28">
        <f>LN(Index!M625/Index!M624)</f>
        <v>-2.5823685663021248E-2</v>
      </c>
      <c r="N624" s="28">
        <f>LN(Index!N625/Index!N624)</f>
        <v>-7.1882143930686676E-2</v>
      </c>
    </row>
    <row r="625" spans="1:14">
      <c r="A625" s="15">
        <v>41992</v>
      </c>
      <c r="B625" s="28">
        <f>LN(Index!B626/Index!B625)</f>
        <v>2.4741536326430679E-2</v>
      </c>
      <c r="C625" s="28">
        <f>LN(Index!C626/Index!C625)</f>
        <v>-4.1301175417614508E-3</v>
      </c>
      <c r="D625" s="28">
        <f>LN(Index!D626/Index!D625)</f>
        <v>7.3865879900197589E-3</v>
      </c>
      <c r="E625" s="28">
        <f>LN(Index!E626/Index!E625)</f>
        <v>1.8051627839913788E-2</v>
      </c>
      <c r="F625" s="28">
        <f>LN(Index!F626/Index!F625)</f>
        <v>4.3339751575688E-2</v>
      </c>
      <c r="G625" s="28">
        <f>LN(Index!G626/Index!G625)</f>
        <v>-6.9550211701002781E-3</v>
      </c>
      <c r="H625" s="28">
        <f>LN(Index!H626/Index!H625)</f>
        <v>2.094839696381065E-2</v>
      </c>
      <c r="I625" s="28">
        <f>LN(Index!I626/Index!I625)</f>
        <v>1.1022051266461429E-2</v>
      </c>
      <c r="J625" s="28">
        <f>LN(Index!J626/Index!J625)</f>
        <v>1.3232660233714007E-2</v>
      </c>
      <c r="K625" s="28">
        <f>LN(Index!K626/Index!K625)</f>
        <v>-7.7497748802569221E-3</v>
      </c>
      <c r="L625" s="28">
        <f>LN(Index!L626/Index!L625)</f>
        <v>1.5834461227622457E-2</v>
      </c>
      <c r="M625" s="28">
        <f>LN(Index!M626/Index!M625)</f>
        <v>3.8817247921753596E-3</v>
      </c>
      <c r="N625" s="28">
        <f>LN(Index!N626/Index!N625)</f>
        <v>4.7530083561366551E-2</v>
      </c>
    </row>
    <row r="626" spans="1:14">
      <c r="A626" s="15">
        <v>41999</v>
      </c>
      <c r="B626" s="28">
        <f>LN(Index!B627/Index!B626)</f>
        <v>7.2075102665055367E-3</v>
      </c>
      <c r="C626" s="28">
        <f>LN(Index!C627/Index!C626)</f>
        <v>-2.9832248849570257E-3</v>
      </c>
      <c r="D626" s="28">
        <f>LN(Index!D627/Index!D626)</f>
        <v>1.1563780106771894E-2</v>
      </c>
      <c r="E626" s="28">
        <f>LN(Index!E627/Index!E626)</f>
        <v>7.2505263023295149E-3</v>
      </c>
      <c r="F626" s="28">
        <f>LN(Index!F627/Index!F626)</f>
        <v>2.5244249456745409E-2</v>
      </c>
      <c r="G626" s="28">
        <f>LN(Index!G627/Index!G626)</f>
        <v>3.1862754143154432E-3</v>
      </c>
      <c r="H626" s="28">
        <f>LN(Index!H627/Index!H626)</f>
        <v>2.0638931704956932E-2</v>
      </c>
      <c r="I626" s="28">
        <f>LN(Index!I627/Index!I626)</f>
        <v>1.6043034224492797E-2</v>
      </c>
      <c r="J626" s="28">
        <f>LN(Index!J627/Index!J626)</f>
        <v>1.8117952103025154E-2</v>
      </c>
      <c r="K626" s="28">
        <f>LN(Index!K627/Index!K626)</f>
        <v>5.1195520362913409E-3</v>
      </c>
      <c r="L626" s="28">
        <f>LN(Index!L627/Index!L626)</f>
        <v>9.2059289627011813E-3</v>
      </c>
      <c r="M626" s="28">
        <f>LN(Index!M627/Index!M626)</f>
        <v>7.3411923274982784E-3</v>
      </c>
      <c r="N626" s="28">
        <f>LN(Index!N627/Index!N626)</f>
        <v>2.156537926213839E-2</v>
      </c>
    </row>
    <row r="627" spans="1:14">
      <c r="A627" s="15">
        <v>42006</v>
      </c>
      <c r="B627" s="28">
        <f>LN(Index!B628/Index!B627)</f>
        <v>-1.4391083889503766E-2</v>
      </c>
      <c r="C627" s="28">
        <f>LN(Index!C628/Index!C627)</f>
        <v>4.8004734394218708E-3</v>
      </c>
      <c r="D627" s="28">
        <f>LN(Index!D628/Index!D627)</f>
        <v>-3.4653247743982852E-3</v>
      </c>
      <c r="E627" s="28">
        <f>LN(Index!E628/Index!E627)</f>
        <v>-1.9896898904306543E-2</v>
      </c>
      <c r="F627" s="28">
        <f>LN(Index!F628/Index!F627)</f>
        <v>-3.0249757510773215E-3</v>
      </c>
      <c r="G627" s="28">
        <f>LN(Index!G628/Index!G627)</f>
        <v>1.6876779849029509E-3</v>
      </c>
      <c r="H627" s="28">
        <f>LN(Index!H628/Index!H627)</f>
        <v>-2.1610185538769391E-2</v>
      </c>
      <c r="I627" s="28">
        <f>LN(Index!I628/Index!I627)</f>
        <v>-2.436762987935322E-2</v>
      </c>
      <c r="J627" s="28">
        <f>LN(Index!J628/Index!J627)</f>
        <v>-1.3898821008502116E-2</v>
      </c>
      <c r="K627" s="28">
        <f>LN(Index!K628/Index!K627)</f>
        <v>1.1907433013365977E-2</v>
      </c>
      <c r="L627" s="28">
        <f>LN(Index!L628/Index!L627)</f>
        <v>-6.174303280471645E-3</v>
      </c>
      <c r="M627" s="28">
        <f>LN(Index!M628/Index!M627)</f>
        <v>-7.5921533956281595E-3</v>
      </c>
      <c r="N627" s="28">
        <f>LN(Index!N628/Index!N627)</f>
        <v>1.7962821009140076E-3</v>
      </c>
    </row>
    <row r="628" spans="1:14">
      <c r="A628" s="15">
        <v>42013</v>
      </c>
      <c r="B628" s="28">
        <f>LN(Index!B629/Index!B628)</f>
        <v>-1.2341864370913702E-2</v>
      </c>
      <c r="C628" s="28">
        <f>LN(Index!C629/Index!C628)</f>
        <v>4.5156285710024951E-3</v>
      </c>
      <c r="D628" s="28">
        <f>LN(Index!D629/Index!D628)</f>
        <v>1.7859876205337848E-2</v>
      </c>
      <c r="E628" s="28">
        <f>LN(Index!E629/Index!E628)</f>
        <v>-4.123481976653849E-3</v>
      </c>
      <c r="F628" s="28">
        <f>LN(Index!F629/Index!F628)</f>
        <v>-3.0021713850142146E-2</v>
      </c>
      <c r="G628" s="28">
        <f>LN(Index!G629/Index!G628)</f>
        <v>1.6643153333130815E-2</v>
      </c>
      <c r="H628" s="28">
        <f>LN(Index!H629/Index!H628)</f>
        <v>4.9203056349945594E-3</v>
      </c>
      <c r="I628" s="28">
        <f>LN(Index!I629/Index!I628)</f>
        <v>2.4800095263654801E-2</v>
      </c>
      <c r="J628" s="28">
        <f>LN(Index!J629/Index!J628)</f>
        <v>2.592351887742208E-3</v>
      </c>
      <c r="K628" s="28">
        <f>LN(Index!K629/Index!K628)</f>
        <v>-6.1106824580195816E-3</v>
      </c>
      <c r="L628" s="28">
        <f>LN(Index!L629/Index!L628)</f>
        <v>1.2233792893710151E-2</v>
      </c>
      <c r="M628" s="28">
        <f>LN(Index!M629/Index!M628)</f>
        <v>2.98463477543823E-3</v>
      </c>
      <c r="N628" s="28">
        <f>LN(Index!N629/Index!N628)</f>
        <v>-4.3572902053837709E-2</v>
      </c>
    </row>
    <row r="629" spans="1:14">
      <c r="A629" s="15">
        <v>42020</v>
      </c>
      <c r="B629" s="28">
        <f>LN(Index!B630/Index!B629)</f>
        <v>-5.1504304151531498E-3</v>
      </c>
      <c r="C629" s="28">
        <f>LN(Index!C630/Index!C629)</f>
        <v>2.9556027531577002E-3</v>
      </c>
      <c r="D629" s="28">
        <f>LN(Index!D630/Index!D629)</f>
        <v>1.882677369120514E-2</v>
      </c>
      <c r="E629" s="28">
        <f>LN(Index!E630/Index!E629)</f>
        <v>3.500514555118261E-3</v>
      </c>
      <c r="F629" s="28">
        <f>LN(Index!F630/Index!F629)</f>
        <v>3.3038393256246785E-3</v>
      </c>
      <c r="G629" s="28">
        <f>LN(Index!G630/Index!G629)</f>
        <v>8.4852517432582424E-3</v>
      </c>
      <c r="H629" s="28">
        <f>LN(Index!H630/Index!H629)</f>
        <v>1.3555257470021311E-2</v>
      </c>
      <c r="I629" s="28">
        <f>LN(Index!I630/Index!I629)</f>
        <v>3.103835086613508E-2</v>
      </c>
      <c r="J629" s="28">
        <f>LN(Index!J630/Index!J629)</f>
        <v>1.6471136279693571E-2</v>
      </c>
      <c r="K629" s="28">
        <f>LN(Index!K630/Index!K629)</f>
        <v>-9.7292455716863069E-4</v>
      </c>
      <c r="L629" s="28">
        <f>LN(Index!L630/Index!L629)</f>
        <v>-1.2990522166667873E-2</v>
      </c>
      <c r="M629" s="28">
        <f>LN(Index!M630/Index!M629)</f>
        <v>2.0891779860001927E-2</v>
      </c>
      <c r="N629" s="28">
        <f>LN(Index!N630/Index!N629)</f>
        <v>-1.6585076685046473E-3</v>
      </c>
    </row>
    <row r="630" spans="1:14">
      <c r="A630" s="15">
        <v>42027</v>
      </c>
      <c r="B630" s="28">
        <f>LN(Index!B631/Index!B630)</f>
        <v>1.9268145448374189E-2</v>
      </c>
      <c r="C630" s="28">
        <f>LN(Index!C631/Index!C630)</f>
        <v>-1.0713773448610732E-3</v>
      </c>
      <c r="D630" s="28">
        <f>LN(Index!D631/Index!D630)</f>
        <v>1.3975989802047986E-2</v>
      </c>
      <c r="E630" s="28">
        <f>LN(Index!E631/Index!E630)</f>
        <v>1.1840054654353867E-2</v>
      </c>
      <c r="F630" s="28">
        <f>LN(Index!F631/Index!F630)</f>
        <v>2.1457149872610024E-2</v>
      </c>
      <c r="G630" s="28">
        <f>LN(Index!G631/Index!G630)</f>
        <v>1.1076375568297051E-2</v>
      </c>
      <c r="H630" s="28">
        <f>LN(Index!H631/Index!H630)</f>
        <v>1.2853554873447607E-2</v>
      </c>
      <c r="I630" s="28">
        <f>LN(Index!I631/Index!I630)</f>
        <v>-2.1219290550028628E-3</v>
      </c>
      <c r="J630" s="28">
        <f>LN(Index!J631/Index!J630)</f>
        <v>4.7376632569021849E-3</v>
      </c>
      <c r="K630" s="28">
        <f>LN(Index!K631/Index!K630)</f>
        <v>3.6942969356799193E-2</v>
      </c>
      <c r="L630" s="28">
        <f>LN(Index!L631/Index!L630)</f>
        <v>3.427449944940187E-2</v>
      </c>
      <c r="M630" s="28">
        <f>LN(Index!M631/Index!M630)</f>
        <v>3.2844891308130217E-3</v>
      </c>
      <c r="N630" s="28">
        <f>LN(Index!N631/Index!N630)</f>
        <v>2.0898127700689419E-2</v>
      </c>
    </row>
    <row r="631" spans="1:14">
      <c r="A631" s="15">
        <v>42034</v>
      </c>
      <c r="B631" s="28">
        <f>LN(Index!B632/Index!B631)</f>
        <v>-1.7842424367783983E-2</v>
      </c>
      <c r="C631" s="28">
        <f>LN(Index!C632/Index!C631)</f>
        <v>5.5794695648533057E-3</v>
      </c>
      <c r="D631" s="28">
        <f>LN(Index!D632/Index!D631)</f>
        <v>-1.3975989802047999E-2</v>
      </c>
      <c r="E631" s="28">
        <f>LN(Index!E632/Index!E631)</f>
        <v>9.3985280352561456E-4</v>
      </c>
      <c r="F631" s="28">
        <f>LN(Index!F632/Index!F631)</f>
        <v>-1.7098665197535091E-2</v>
      </c>
      <c r="G631" s="28">
        <f>LN(Index!G632/Index!G631)</f>
        <v>-6.0280516032961522E-3</v>
      </c>
      <c r="H631" s="28">
        <f>LN(Index!H632/Index!H631)</f>
        <v>-6.3541378020145183E-3</v>
      </c>
      <c r="I631" s="28">
        <f>LN(Index!I632/Index!I631)</f>
        <v>-1.753589292741136E-2</v>
      </c>
      <c r="J631" s="28">
        <f>LN(Index!J632/Index!J631)</f>
        <v>-4.016733741592747E-3</v>
      </c>
      <c r="K631" s="28">
        <f>LN(Index!K632/Index!K631)</f>
        <v>-1.1247040355587724E-2</v>
      </c>
      <c r="L631" s="28">
        <f>LN(Index!L632/Index!L631)</f>
        <v>-1.148653919668976E-2</v>
      </c>
      <c r="M631" s="28">
        <f>LN(Index!M632/Index!M631)</f>
        <v>-7.7010800127290597E-4</v>
      </c>
      <c r="N631" s="28">
        <f>LN(Index!N632/Index!N631)</f>
        <v>-1.6336972078517031E-2</v>
      </c>
    </row>
    <row r="632" spans="1:14">
      <c r="A632" s="15">
        <v>42041</v>
      </c>
      <c r="B632" s="28">
        <f>LN(Index!B633/Index!B632)</f>
        <v>2.5315572565646351E-2</v>
      </c>
      <c r="C632" s="28">
        <f>LN(Index!C633/Index!C632)</f>
        <v>-9.0890721824713732E-3</v>
      </c>
      <c r="D632" s="28">
        <f>LN(Index!D633/Index!D632)</f>
        <v>2.751979720993327E-3</v>
      </c>
      <c r="E632" s="28">
        <f>LN(Index!E633/Index!E632)</f>
        <v>1.3189365136825663E-3</v>
      </c>
      <c r="F632" s="28">
        <f>LN(Index!F633/Index!F632)</f>
        <v>2.053919265220958E-3</v>
      </c>
      <c r="G632" s="28">
        <f>LN(Index!G633/Index!G632)</f>
        <v>-6.6456694245908626E-4</v>
      </c>
      <c r="H632" s="28">
        <f>LN(Index!H633/Index!H632)</f>
        <v>-2.4970880076611555E-2</v>
      </c>
      <c r="I632" s="28">
        <f>LN(Index!I633/Index!I632)</f>
        <v>7.0143509546710418E-3</v>
      </c>
      <c r="J632" s="28">
        <f>LN(Index!J633/Index!J632)</f>
        <v>-2.4013435133602379E-2</v>
      </c>
      <c r="K632" s="28">
        <f>LN(Index!K633/Index!K632)</f>
        <v>7.5079881750232946E-3</v>
      </c>
      <c r="L632" s="28">
        <f>LN(Index!L633/Index!L632)</f>
        <v>4.6279213751117274E-3</v>
      </c>
      <c r="M632" s="28">
        <f>LN(Index!M633/Index!M632)</f>
        <v>1.2891200990181427E-2</v>
      </c>
      <c r="N632" s="28">
        <f>LN(Index!N633/Index!N632)</f>
        <v>1.2546736921310747E-2</v>
      </c>
    </row>
    <row r="633" spans="1:14">
      <c r="A633" s="15">
        <v>42048</v>
      </c>
      <c r="B633" s="28">
        <f>LN(Index!B634/Index!B633)</f>
        <v>1.8216719810353003E-2</v>
      </c>
      <c r="C633" s="28">
        <f>LN(Index!C634/Index!C633)</f>
        <v>-1.6017438796779475E-3</v>
      </c>
      <c r="D633" s="28">
        <f>LN(Index!D634/Index!D633)</f>
        <v>4.2115635218925003E-3</v>
      </c>
      <c r="E633" s="28">
        <f>LN(Index!E634/Index!E633)</f>
        <v>-6.0004719313986868E-3</v>
      </c>
      <c r="F633" s="28">
        <f>LN(Index!F634/Index!F633)</f>
        <v>1.3364705958550218E-3</v>
      </c>
      <c r="G633" s="28">
        <f>LN(Index!G634/Index!G633)</f>
        <v>4.3787062648363573E-3</v>
      </c>
      <c r="H633" s="28">
        <f>LN(Index!H634/Index!H633)</f>
        <v>-2.322821017108509E-2</v>
      </c>
      <c r="I633" s="28">
        <f>LN(Index!I634/Index!I633)</f>
        <v>5.6606924888144604E-3</v>
      </c>
      <c r="J633" s="28">
        <f>LN(Index!J634/Index!J633)</f>
        <v>-2.2155193199483208E-2</v>
      </c>
      <c r="K633" s="28">
        <f>LN(Index!K634/Index!K633)</f>
        <v>2.2805329987506173E-2</v>
      </c>
      <c r="L633" s="28">
        <f>LN(Index!L634/Index!L633)</f>
        <v>6.9347374466585112E-3</v>
      </c>
      <c r="M633" s="28">
        <f>LN(Index!M634/Index!M633)</f>
        <v>2.8698300720488472E-3</v>
      </c>
      <c r="N633" s="28">
        <f>LN(Index!N634/Index!N633)</f>
        <v>8.9720823178217109E-3</v>
      </c>
    </row>
    <row r="634" spans="1:14">
      <c r="A634" s="15">
        <v>42055</v>
      </c>
      <c r="B634" s="28">
        <f>LN(Index!B635/Index!B634)</f>
        <v>9.0391409343499492E-3</v>
      </c>
      <c r="C634" s="28">
        <f>LN(Index!C635/Index!C634)</f>
        <v>-3.2375691256986746E-3</v>
      </c>
      <c r="D634" s="28">
        <f>LN(Index!D635/Index!D634)</f>
        <v>-1.8097781847847853E-3</v>
      </c>
      <c r="E634" s="28">
        <f>LN(Index!E635/Index!E634)</f>
        <v>-1.117255392423589E-3</v>
      </c>
      <c r="F634" s="28">
        <f>LN(Index!F635/Index!F634)</f>
        <v>1.0988356747711624E-3</v>
      </c>
      <c r="G634" s="28">
        <f>LN(Index!G635/Index!G634)</f>
        <v>2.1488102773647394E-3</v>
      </c>
      <c r="H634" s="28">
        <f>LN(Index!H635/Index!H634)</f>
        <v>9.2064526891883179E-3</v>
      </c>
      <c r="I634" s="28">
        <f>LN(Index!I635/Index!I634)</f>
        <v>2.2195482196683022E-3</v>
      </c>
      <c r="J634" s="28">
        <f>LN(Index!J635/Index!J634)</f>
        <v>9.3764520142106782E-3</v>
      </c>
      <c r="K634" s="28">
        <f>LN(Index!K635/Index!K634)</f>
        <v>-1.486385026567362E-2</v>
      </c>
      <c r="L634" s="28">
        <f>LN(Index!L635/Index!L634)</f>
        <v>-5.0825942485581439E-3</v>
      </c>
      <c r="M634" s="28">
        <f>LN(Index!M635/Index!M634)</f>
        <v>-3.3196718121469644E-3</v>
      </c>
      <c r="N634" s="28">
        <f>LN(Index!N635/Index!N634)</f>
        <v>-7.0674704488975411E-4</v>
      </c>
    </row>
    <row r="635" spans="1:14">
      <c r="A635" s="15">
        <v>42062</v>
      </c>
      <c r="B635" s="28">
        <f>LN(Index!B636/Index!B635)</f>
        <v>2.6941938662365878E-3</v>
      </c>
      <c r="C635" s="28">
        <f>LN(Index!C636/Index!C635)</f>
        <v>4.4719264318477028E-3</v>
      </c>
      <c r="D635" s="28">
        <f>LN(Index!D636/Index!D635)</f>
        <v>-7.0255023792565475E-3</v>
      </c>
      <c r="E635" s="28">
        <f>LN(Index!E636/Index!E635)</f>
        <v>-1.6182418640332034E-3</v>
      </c>
      <c r="F635" s="28">
        <f>LN(Index!F636/Index!F635)</f>
        <v>-8.9858989154949775E-3</v>
      </c>
      <c r="G635" s="28">
        <f>LN(Index!G636/Index!G635)</f>
        <v>4.1438847686857639E-3</v>
      </c>
      <c r="H635" s="28">
        <f>LN(Index!H636/Index!H635)</f>
        <v>-5.5831009611504098E-3</v>
      </c>
      <c r="I635" s="28">
        <f>LN(Index!I636/Index!I635)</f>
        <v>1.7113702862779613E-2</v>
      </c>
      <c r="J635" s="28">
        <f>LN(Index!J636/Index!J635)</f>
        <v>1.259088184193108E-2</v>
      </c>
      <c r="K635" s="28">
        <f>LN(Index!K636/Index!K635)</f>
        <v>1.4361700176013343E-2</v>
      </c>
      <c r="L635" s="28">
        <f>LN(Index!L636/Index!L635)</f>
        <v>2.7418113732919605E-3</v>
      </c>
      <c r="M635" s="28">
        <f>LN(Index!M636/Index!M635)</f>
        <v>-1.6181766464500535E-3</v>
      </c>
      <c r="N635" s="28">
        <f>LN(Index!N636/Index!N635)</f>
        <v>-1.1055630769862376E-2</v>
      </c>
    </row>
    <row r="636" spans="1:14">
      <c r="A636" s="15">
        <v>42069</v>
      </c>
      <c r="B636" s="28">
        <f>LN(Index!B637/Index!B636)</f>
        <v>-1.7565923877743798E-2</v>
      </c>
      <c r="C636" s="28">
        <f>LN(Index!C637/Index!C636)</f>
        <v>-1.4114896141426794E-2</v>
      </c>
      <c r="D636" s="28">
        <f>LN(Index!D637/Index!D636)</f>
        <v>-2.6528344733772129E-2</v>
      </c>
      <c r="E636" s="28">
        <f>LN(Index!E637/Index!E636)</f>
        <v>-4.1800257898908594E-2</v>
      </c>
      <c r="F636" s="28">
        <f>LN(Index!F637/Index!F636)</f>
        <v>-1.9970680255114694E-2</v>
      </c>
      <c r="G636" s="28">
        <f>LN(Index!G637/Index!G636)</f>
        <v>1.0382155224659953E-2</v>
      </c>
      <c r="H636" s="28">
        <f>LN(Index!H637/Index!H636)</f>
        <v>-4.548240545990645E-2</v>
      </c>
      <c r="I636" s="28">
        <f>LN(Index!I637/Index!I636)</f>
        <v>-2.5106121102220505E-2</v>
      </c>
      <c r="J636" s="28">
        <f>LN(Index!J637/Index!J636)</f>
        <v>-3.8501633607337798E-2</v>
      </c>
      <c r="K636" s="28">
        <f>LN(Index!K637/Index!K636)</f>
        <v>-3.2323665051166073E-2</v>
      </c>
      <c r="L636" s="28">
        <f>LN(Index!L637/Index!L636)</f>
        <v>-1.9662808943295078E-2</v>
      </c>
      <c r="M636" s="28">
        <f>LN(Index!M637/Index!M636)</f>
        <v>-2.6400118074462069E-2</v>
      </c>
      <c r="N636" s="28">
        <f>LN(Index!N637/Index!N636)</f>
        <v>-8.7989876841762481E-3</v>
      </c>
    </row>
    <row r="637" spans="1:14">
      <c r="A637" s="15">
        <v>42076</v>
      </c>
      <c r="B637" s="28">
        <f>LN(Index!B638/Index!B637)</f>
        <v>-1.2808503699449665E-2</v>
      </c>
      <c r="C637" s="28">
        <f>LN(Index!C638/Index!C637)</f>
        <v>1.9679287259503535E-3</v>
      </c>
      <c r="D637" s="28">
        <f>LN(Index!D638/Index!D637)</f>
        <v>5.5675061541892075E-4</v>
      </c>
      <c r="E637" s="28">
        <f>LN(Index!E638/Index!E637)</f>
        <v>-2.998669382829823E-2</v>
      </c>
      <c r="F637" s="28">
        <f>LN(Index!F638/Index!F637)</f>
        <v>-1.6725831251376371E-2</v>
      </c>
      <c r="G637" s="28">
        <f>LN(Index!G638/Index!G637)</f>
        <v>-2.1711488530529122E-2</v>
      </c>
      <c r="H637" s="28">
        <f>LN(Index!H638/Index!H637)</f>
        <v>-1.5522783992380895E-2</v>
      </c>
      <c r="I637" s="28">
        <f>LN(Index!I638/Index!I637)</f>
        <v>5.9762422824650094E-3</v>
      </c>
      <c r="J637" s="28">
        <f>LN(Index!J638/Index!J637)</f>
        <v>-2.9894588629878874E-2</v>
      </c>
      <c r="K637" s="28">
        <f>LN(Index!K638/Index!K637)</f>
        <v>-1.2382891997406312E-2</v>
      </c>
      <c r="L637" s="28">
        <f>LN(Index!L638/Index!L637)</f>
        <v>-1.2964794531543557E-2</v>
      </c>
      <c r="M637" s="28">
        <f>LN(Index!M638/Index!M637)</f>
        <v>-2.6416630443941873E-2</v>
      </c>
      <c r="N637" s="28">
        <f>LN(Index!N638/Index!N637)</f>
        <v>-2.4485467822514151E-2</v>
      </c>
    </row>
    <row r="638" spans="1:14">
      <c r="A638" s="15">
        <v>42083</v>
      </c>
      <c r="B638" s="28">
        <f>LN(Index!B639/Index!B638)</f>
        <v>3.1338505871872299E-2</v>
      </c>
      <c r="C638" s="28">
        <f>LN(Index!C639/Index!C638)</f>
        <v>1.1438054778958312E-2</v>
      </c>
      <c r="D638" s="28">
        <f>LN(Index!D639/Index!D638)</f>
        <v>3.7393566868724637E-2</v>
      </c>
      <c r="E638" s="28">
        <f>LN(Index!E639/Index!E638)</f>
        <v>5.3095133093435803E-2</v>
      </c>
      <c r="F638" s="28">
        <f>LN(Index!F639/Index!F638)</f>
        <v>4.2995363260062668E-2</v>
      </c>
      <c r="G638" s="28">
        <f>LN(Index!G639/Index!G638)</f>
        <v>3.2576238481392801E-2</v>
      </c>
      <c r="H638" s="28">
        <f>LN(Index!H639/Index!H638)</f>
        <v>3.7444327623773185E-2</v>
      </c>
      <c r="I638" s="28">
        <f>LN(Index!I639/Index!I638)</f>
        <v>5.0224362165583923E-2</v>
      </c>
      <c r="J638" s="28">
        <f>LN(Index!J639/Index!J638)</f>
        <v>5.93172608650284E-2</v>
      </c>
      <c r="K638" s="28">
        <f>LN(Index!K639/Index!K638)</f>
        <v>1.6245661800490148E-2</v>
      </c>
      <c r="L638" s="28">
        <f>LN(Index!L639/Index!L638)</f>
        <v>3.3237370409818605E-2</v>
      </c>
      <c r="M638" s="28">
        <f>LN(Index!M639/Index!M638)</f>
        <v>4.7578191722513971E-2</v>
      </c>
      <c r="N638" s="28">
        <f>LN(Index!N639/Index!N638)</f>
        <v>4.7512502360114041E-2</v>
      </c>
    </row>
    <row r="639" spans="1:14">
      <c r="A639" s="15">
        <v>42090</v>
      </c>
      <c r="B639" s="28">
        <f>LN(Index!B640/Index!B639)</f>
        <v>-1.6906741586721129E-2</v>
      </c>
      <c r="C639" s="28">
        <f>LN(Index!C640/Index!C639)</f>
        <v>8.4013762194378274E-4</v>
      </c>
      <c r="D639" s="28">
        <f>LN(Index!D640/Index!D639)</f>
        <v>-1.2359156827648014E-2</v>
      </c>
      <c r="E639" s="28">
        <f>LN(Index!E640/Index!E639)</f>
        <v>2.5500010426863068E-3</v>
      </c>
      <c r="F639" s="28">
        <f>LN(Index!F640/Index!F639)</f>
        <v>-1.3021453939517456E-2</v>
      </c>
      <c r="G639" s="28">
        <f>LN(Index!G640/Index!G639)</f>
        <v>1.0412466262929397E-2</v>
      </c>
      <c r="H639" s="28">
        <f>LN(Index!H640/Index!H639)</f>
        <v>-1.4240900491740297E-2</v>
      </c>
      <c r="I639" s="28">
        <f>LN(Index!I640/Index!I639)</f>
        <v>1.5176664528812694E-2</v>
      </c>
      <c r="J639" s="28">
        <f>LN(Index!J640/Index!J639)</f>
        <v>-1.2989456441004937E-2</v>
      </c>
      <c r="K639" s="28">
        <f>LN(Index!K640/Index!K639)</f>
        <v>-3.5169783695025185E-3</v>
      </c>
      <c r="L639" s="28">
        <f>LN(Index!L640/Index!L639)</f>
        <v>-1.1825797924824867E-2</v>
      </c>
      <c r="M639" s="28">
        <f>LN(Index!M640/Index!M639)</f>
        <v>1.7275332812095024E-2</v>
      </c>
      <c r="N639" s="28">
        <f>LN(Index!N640/Index!N639)</f>
        <v>-5.5031120678753626E-3</v>
      </c>
    </row>
    <row r="640" spans="1:14">
      <c r="A640" s="15">
        <v>42097</v>
      </c>
      <c r="B640" s="28">
        <f>LN(Index!B641/Index!B640)</f>
        <v>3.1129498569455495E-3</v>
      </c>
      <c r="C640" s="28">
        <f>LN(Index!C641/Index!C640)</f>
        <v>3.7980531544640453E-3</v>
      </c>
      <c r="D640" s="28">
        <f>LN(Index!D641/Index!D640)</f>
        <v>4.3332744583377374E-3</v>
      </c>
      <c r="E640" s="28">
        <f>LN(Index!E641/Index!E640)</f>
        <v>-8.5718695480592911E-4</v>
      </c>
      <c r="F640" s="28">
        <f>LN(Index!F641/Index!F640)</f>
        <v>9.8323410798744539E-3</v>
      </c>
      <c r="G640" s="28">
        <f>LN(Index!G641/Index!G640)</f>
        <v>1.4038778515186957E-2</v>
      </c>
      <c r="H640" s="28">
        <f>LN(Index!H641/Index!H640)</f>
        <v>5.7414436813524716E-3</v>
      </c>
      <c r="I640" s="28">
        <f>LN(Index!I641/Index!I640)</f>
        <v>1.4231193212976889E-2</v>
      </c>
      <c r="J640" s="28">
        <f>LN(Index!J641/Index!J640)</f>
        <v>1.1814636065025882E-2</v>
      </c>
      <c r="K640" s="28">
        <f>LN(Index!K641/Index!K640)</f>
        <v>2.952327740331483E-2</v>
      </c>
      <c r="L640" s="28">
        <f>LN(Index!L641/Index!L640)</f>
        <v>-3.5687235496227156E-3</v>
      </c>
      <c r="M640" s="28">
        <f>LN(Index!M641/Index!M640)</f>
        <v>2.1191658565036888E-3</v>
      </c>
      <c r="N640" s="28">
        <f>LN(Index!N641/Index!N640)</f>
        <v>1.2004290162692272E-2</v>
      </c>
    </row>
    <row r="641" spans="1:14">
      <c r="A641" s="15">
        <v>42104</v>
      </c>
      <c r="B641" s="28">
        <f>LN(Index!B642/Index!B641)</f>
        <v>1.6551218829483714E-2</v>
      </c>
      <c r="C641" s="28">
        <f>LN(Index!C642/Index!C641)</f>
        <v>-6.0049216118079141E-3</v>
      </c>
      <c r="D641" s="28">
        <f>LN(Index!D642/Index!D641)</f>
        <v>2.5027617038996522E-3</v>
      </c>
      <c r="E641" s="28">
        <f>LN(Index!E642/Index!E641)</f>
        <v>1.2587171291237733E-2</v>
      </c>
      <c r="F641" s="28">
        <f>LN(Index!F642/Index!F641)</f>
        <v>7.7285027758691796E-3</v>
      </c>
      <c r="G641" s="28">
        <f>LN(Index!G642/Index!G641)</f>
        <v>4.3003065904291427E-2</v>
      </c>
      <c r="H641" s="28">
        <f>LN(Index!H642/Index!H641)</f>
        <v>5.6743236956462622E-3</v>
      </c>
      <c r="I641" s="28">
        <f>LN(Index!I642/Index!I641)</f>
        <v>1.3959823671532307E-2</v>
      </c>
      <c r="J641" s="28">
        <f>LN(Index!J642/Index!J641)</f>
        <v>2.1675173714763567E-2</v>
      </c>
      <c r="K641" s="28">
        <f>LN(Index!K642/Index!K641)</f>
        <v>4.5343193922403248E-2</v>
      </c>
      <c r="L641" s="28">
        <f>LN(Index!L642/Index!L641)</f>
        <v>-4.4828403986224693E-3</v>
      </c>
      <c r="M641" s="28">
        <f>LN(Index!M642/Index!M641)</f>
        <v>1.7844510031734435E-2</v>
      </c>
      <c r="N641" s="28">
        <f>LN(Index!N642/Index!N641)</f>
        <v>1.8851465205519811E-2</v>
      </c>
    </row>
    <row r="642" spans="1:14">
      <c r="A642" s="15">
        <v>42111</v>
      </c>
      <c r="B642" s="28">
        <f>LN(Index!B643/Index!B642)</f>
        <v>-5.895499084916319E-3</v>
      </c>
      <c r="C642" s="28">
        <f>LN(Index!C643/Index!C642)</f>
        <v>6.9717743204930158E-3</v>
      </c>
      <c r="D642" s="28">
        <f>LN(Index!D643/Index!D642)</f>
        <v>-6.2933488601347636E-3</v>
      </c>
      <c r="E642" s="28">
        <f>LN(Index!E643/Index!E642)</f>
        <v>-8.806870597571233E-4</v>
      </c>
      <c r="F642" s="28">
        <f>LN(Index!F643/Index!F642)</f>
        <v>1.4217403136601948E-2</v>
      </c>
      <c r="G642" s="28">
        <f>LN(Index!G643/Index!G642)</f>
        <v>-1.8250833745535748E-4</v>
      </c>
      <c r="H642" s="28">
        <f>LN(Index!H643/Index!H642)</f>
        <v>-7.4727184845433075E-4</v>
      </c>
      <c r="I642" s="28">
        <f>LN(Index!I643/Index!I642)</f>
        <v>-1.6766417364995945E-2</v>
      </c>
      <c r="J642" s="28">
        <f>LN(Index!J643/Index!J642)</f>
        <v>1.0573636789553481E-2</v>
      </c>
      <c r="K642" s="28">
        <f>LN(Index!K643/Index!K642)</f>
        <v>-7.5094795944811409E-3</v>
      </c>
      <c r="L642" s="28">
        <f>LN(Index!L643/Index!L642)</f>
        <v>8.8108668366485374E-3</v>
      </c>
      <c r="M642" s="28">
        <f>LN(Index!M643/Index!M642)</f>
        <v>-1.2072536094916504E-3</v>
      </c>
      <c r="N642" s="28">
        <f>LN(Index!N643/Index!N642)</f>
        <v>1.6086346203985417E-2</v>
      </c>
    </row>
    <row r="643" spans="1:14">
      <c r="A643" s="15">
        <v>42118</v>
      </c>
      <c r="B643" s="28">
        <f>LN(Index!B644/Index!B643)</f>
        <v>1.7288816026573017E-2</v>
      </c>
      <c r="C643" s="28">
        <f>LN(Index!C644/Index!C643)</f>
        <v>-9.4070925957831888E-4</v>
      </c>
      <c r="D643" s="28">
        <f>LN(Index!D644/Index!D643)</f>
        <v>4.3309285669013249E-3</v>
      </c>
      <c r="E643" s="28">
        <f>LN(Index!E644/Index!E643)</f>
        <v>2.0682526791888211E-2</v>
      </c>
      <c r="F643" s="28">
        <f>LN(Index!F644/Index!F643)</f>
        <v>1.2160662674847469E-2</v>
      </c>
      <c r="G643" s="28">
        <f>LN(Index!G644/Index!G643)</f>
        <v>2.1882766698733149E-2</v>
      </c>
      <c r="H643" s="28">
        <f>LN(Index!H644/Index!H643)</f>
        <v>1.9435270792787406E-2</v>
      </c>
      <c r="I643" s="28">
        <f>LN(Index!I644/Index!I643)</f>
        <v>2.8572060547979086E-2</v>
      </c>
      <c r="J643" s="28">
        <f>LN(Index!J644/Index!J643)</f>
        <v>3.5765655239382077E-2</v>
      </c>
      <c r="K643" s="28">
        <f>LN(Index!K644/Index!K643)</f>
        <v>5.3905197528582458E-2</v>
      </c>
      <c r="L643" s="28">
        <f>LN(Index!L644/Index!L643)</f>
        <v>-9.4703373244895261E-3</v>
      </c>
      <c r="M643" s="28">
        <f>LN(Index!M644/Index!M643)</f>
        <v>2.7007023209910934E-2</v>
      </c>
      <c r="N643" s="28">
        <f>LN(Index!N644/Index!N643)</f>
        <v>1.5125399664125173E-2</v>
      </c>
    </row>
    <row r="644" spans="1:14">
      <c r="A644" s="15">
        <v>42125</v>
      </c>
      <c r="B644" s="28">
        <f>LN(Index!B645/Index!B644)</f>
        <v>-6.9468341343384074E-3</v>
      </c>
      <c r="C644" s="28">
        <f>LN(Index!C645/Index!C644)</f>
        <v>-7.0836690369480496E-3</v>
      </c>
      <c r="D644" s="28">
        <f>LN(Index!D645/Index!D644)</f>
        <v>-1.8087260014720229E-2</v>
      </c>
      <c r="E644" s="28">
        <f>LN(Index!E645/Index!E644)</f>
        <v>-3.3626404228161342E-3</v>
      </c>
      <c r="F644" s="28">
        <f>LN(Index!F645/Index!F644)</f>
        <v>-1.9870190648560902E-2</v>
      </c>
      <c r="G644" s="28">
        <f>LN(Index!G645/Index!G644)</f>
        <v>-2.3494768284847884E-2</v>
      </c>
      <c r="H644" s="28">
        <f>LN(Index!H645/Index!H644)</f>
        <v>-1.186816683781694E-2</v>
      </c>
      <c r="I644" s="28">
        <f>LN(Index!I645/Index!I644)</f>
        <v>-2.6765474008607612E-2</v>
      </c>
      <c r="J644" s="28">
        <f>LN(Index!J645/Index!J644)</f>
        <v>-3.6168784170309443E-2</v>
      </c>
      <c r="K644" s="28">
        <f>LN(Index!K645/Index!K644)</f>
        <v>-1.2185386905541249E-2</v>
      </c>
      <c r="L644" s="28">
        <f>LN(Index!L645/Index!L644)</f>
        <v>-1.9488606855304767E-2</v>
      </c>
      <c r="M644" s="28">
        <f>LN(Index!M645/Index!M644)</f>
        <v>1.866850155453155E-2</v>
      </c>
      <c r="N644" s="28">
        <f>LN(Index!N645/Index!N644)</f>
        <v>-2.11879544153987E-2</v>
      </c>
    </row>
    <row r="645" spans="1:14">
      <c r="A645" s="15">
        <v>42132</v>
      </c>
      <c r="B645" s="28">
        <f>LN(Index!B646/Index!B645)</f>
        <v>4.0758270879390698E-3</v>
      </c>
      <c r="C645" s="28">
        <f>LN(Index!C646/Index!C645)</f>
        <v>-1.7128480939082012E-3</v>
      </c>
      <c r="D645" s="28">
        <f>LN(Index!D646/Index!D645)</f>
        <v>1.299285575815488E-3</v>
      </c>
      <c r="E645" s="28">
        <f>LN(Index!E646/Index!E645)</f>
        <v>9.3172396097213912E-3</v>
      </c>
      <c r="F645" s="28">
        <f>LN(Index!F646/Index!F645)</f>
        <v>-1.0088954073277525E-2</v>
      </c>
      <c r="G645" s="28">
        <f>LN(Index!G646/Index!G645)</f>
        <v>-1.6440622407991629E-2</v>
      </c>
      <c r="H645" s="28">
        <f>LN(Index!H646/Index!H645)</f>
        <v>5.7736537280670642E-3</v>
      </c>
      <c r="I645" s="28">
        <f>LN(Index!I646/Index!I645)</f>
        <v>5.8946809367388204E-3</v>
      </c>
      <c r="J645" s="28">
        <f>LN(Index!J646/Index!J645)</f>
        <v>2.4386361975201307E-2</v>
      </c>
      <c r="K645" s="28">
        <f>LN(Index!K646/Index!K645)</f>
        <v>-2.5961112874483355E-2</v>
      </c>
      <c r="L645" s="28">
        <f>LN(Index!L646/Index!L645)</f>
        <v>5.2453563179195185E-3</v>
      </c>
      <c r="M645" s="28">
        <f>LN(Index!M646/Index!M645)</f>
        <v>-3.6878296424210921E-2</v>
      </c>
      <c r="N645" s="28">
        <f>LN(Index!N646/Index!N645)</f>
        <v>-1.266076924797669E-2</v>
      </c>
    </row>
    <row r="646" spans="1:14">
      <c r="A646" s="15">
        <v>42139</v>
      </c>
      <c r="B646" s="28">
        <f>LN(Index!B647/Index!B646)</f>
        <v>6.8633382116163105E-3</v>
      </c>
      <c r="C646" s="28">
        <f>LN(Index!C647/Index!C646)</f>
        <v>2.8969496965990387E-3</v>
      </c>
      <c r="D646" s="28">
        <f>LN(Index!D647/Index!D646)</f>
        <v>1.092689922235837E-2</v>
      </c>
      <c r="E646" s="28">
        <f>LN(Index!E647/Index!E646)</f>
        <v>2.3135409560227922E-2</v>
      </c>
      <c r="F646" s="28">
        <f>LN(Index!F647/Index!F646)</f>
        <v>8.180599789070377E-3</v>
      </c>
      <c r="G646" s="28">
        <f>LN(Index!G647/Index!G646)</f>
        <v>1.9652440036553094E-2</v>
      </c>
      <c r="H646" s="28">
        <f>LN(Index!H647/Index!H646)</f>
        <v>1.3407758606259453E-2</v>
      </c>
      <c r="I646" s="28">
        <f>LN(Index!I647/Index!I646)</f>
        <v>2.1108874022483806E-2</v>
      </c>
      <c r="J646" s="28">
        <f>LN(Index!J647/Index!J646)</f>
        <v>1.2662475366067405E-2</v>
      </c>
      <c r="K646" s="28">
        <f>LN(Index!K647/Index!K646)</f>
        <v>1.5663369264672565E-2</v>
      </c>
      <c r="L646" s="28">
        <f>LN(Index!L647/Index!L646)</f>
        <v>1.0685435265928352E-2</v>
      </c>
      <c r="M646" s="28">
        <f>LN(Index!M647/Index!M646)</f>
        <v>3.5570651611533916E-2</v>
      </c>
      <c r="N646" s="28">
        <f>LN(Index!N647/Index!N646)</f>
        <v>1.0356089730509811E-2</v>
      </c>
    </row>
    <row r="647" spans="1:14">
      <c r="A647" s="15">
        <v>42146</v>
      </c>
      <c r="B647" s="28">
        <f>LN(Index!B648/Index!B647)</f>
        <v>-1.971993903253459E-3</v>
      </c>
      <c r="C647" s="28">
        <f>LN(Index!C648/Index!C647)</f>
        <v>-1.0627991644647422E-2</v>
      </c>
      <c r="D647" s="28">
        <f>LN(Index!D648/Index!D647)</f>
        <v>-9.4298182500980356E-3</v>
      </c>
      <c r="E647" s="28">
        <f>LN(Index!E648/Index!E647)</f>
        <v>-1.5790249833517182E-2</v>
      </c>
      <c r="F647" s="28">
        <f>LN(Index!F648/Index!F647)</f>
        <v>-1.0011594454144413E-2</v>
      </c>
      <c r="G647" s="28">
        <f>LN(Index!G648/Index!G647)</f>
        <v>-8.0215749999453922E-3</v>
      </c>
      <c r="H647" s="28">
        <f>LN(Index!H648/Index!H647)</f>
        <v>2.0914157840089675E-5</v>
      </c>
      <c r="I647" s="28">
        <f>LN(Index!I648/Index!I647)</f>
        <v>7.2099581144566107E-3</v>
      </c>
      <c r="J647" s="28">
        <f>LN(Index!J648/Index!J647)</f>
        <v>-1.491265595170368E-2</v>
      </c>
      <c r="K647" s="28">
        <f>LN(Index!K648/Index!K647)</f>
        <v>-2.4004506302800813E-3</v>
      </c>
      <c r="L647" s="28">
        <f>LN(Index!L648/Index!L647)</f>
        <v>-1.7263864360673193E-2</v>
      </c>
      <c r="M647" s="28">
        <f>LN(Index!M648/Index!M647)</f>
        <v>-2.8684698435243329E-2</v>
      </c>
      <c r="N647" s="28">
        <f>LN(Index!N648/Index!N647)</f>
        <v>-1.6009206110534406E-2</v>
      </c>
    </row>
    <row r="648" spans="1:14">
      <c r="A648" s="15">
        <v>42153</v>
      </c>
      <c r="B648" s="28">
        <f>LN(Index!B649/Index!B648)</f>
        <v>-1.3503572658882032E-2</v>
      </c>
      <c r="C648" s="28">
        <f>LN(Index!C649/Index!C648)</f>
        <v>2.3362015510283549E-3</v>
      </c>
      <c r="D648" s="28">
        <f>LN(Index!D649/Index!D648)</f>
        <v>-1.8063838678864422E-2</v>
      </c>
      <c r="E648" s="28">
        <f>LN(Index!E649/Index!E648)</f>
        <v>-1.2725658062777017E-2</v>
      </c>
      <c r="F648" s="28">
        <f>LN(Index!F649/Index!F648)</f>
        <v>-1.7796897079503785E-2</v>
      </c>
      <c r="G648" s="28">
        <f>LN(Index!G649/Index!G648)</f>
        <v>-4.056080146074008E-3</v>
      </c>
      <c r="H648" s="28">
        <f>LN(Index!H649/Index!H648)</f>
        <v>4.182779080267163E-6</v>
      </c>
      <c r="I648" s="28">
        <f>LN(Index!I649/Index!I648)</f>
        <v>-1.0283785535524644E-2</v>
      </c>
      <c r="J648" s="28">
        <f>LN(Index!J649/Index!J648)</f>
        <v>-9.5166354625071357E-3</v>
      </c>
      <c r="K648" s="28">
        <f>LN(Index!K649/Index!K648)</f>
        <v>-1.1272627266293762E-2</v>
      </c>
      <c r="L648" s="28">
        <f>LN(Index!L649/Index!L648)</f>
        <v>-1.2275323334114539E-2</v>
      </c>
      <c r="M648" s="28">
        <f>LN(Index!M649/Index!M648)</f>
        <v>-1.8265912107152581E-2</v>
      </c>
      <c r="N648" s="28">
        <f>LN(Index!N649/Index!N648)</f>
        <v>-2.1445387901455053E-2</v>
      </c>
    </row>
    <row r="649" spans="1:14">
      <c r="A649" s="15">
        <v>42160</v>
      </c>
      <c r="B649" s="28">
        <f>LN(Index!B650/Index!B649)</f>
        <v>-1.0667551311522668E-2</v>
      </c>
      <c r="C649" s="28">
        <f>LN(Index!C650/Index!C649)</f>
        <v>-1.4180468081430832E-2</v>
      </c>
      <c r="D649" s="28">
        <f>LN(Index!D650/Index!D649)</f>
        <v>-2.9525291759614734E-2</v>
      </c>
      <c r="E649" s="28">
        <f>LN(Index!E650/Index!E649)</f>
        <v>-3.9843775453682895E-2</v>
      </c>
      <c r="F649" s="28">
        <f>LN(Index!F650/Index!F649)</f>
        <v>-2.9358816539635214E-2</v>
      </c>
      <c r="G649" s="28">
        <f>LN(Index!G650/Index!G649)</f>
        <v>-2.8030447842241742E-2</v>
      </c>
      <c r="H649" s="28">
        <f>LN(Index!H650/Index!H649)</f>
        <v>-5.7534934044705568E-2</v>
      </c>
      <c r="I649" s="28">
        <f>LN(Index!I650/Index!I649)</f>
        <v>-2.5618877832111316E-2</v>
      </c>
      <c r="J649" s="28">
        <f>LN(Index!J650/Index!J649)</f>
        <v>-3.0769667899533792E-2</v>
      </c>
      <c r="K649" s="28">
        <f>LN(Index!K650/Index!K649)</f>
        <v>-4.1949402969979968E-2</v>
      </c>
      <c r="L649" s="28">
        <f>LN(Index!L650/Index!L649)</f>
        <v>7.353196502965318E-3</v>
      </c>
      <c r="M649" s="28">
        <f>LN(Index!M650/Index!M649)</f>
        <v>-2.0490986411483988E-2</v>
      </c>
      <c r="N649" s="28">
        <f>LN(Index!N650/Index!N649)</f>
        <v>-3.2827773083661291E-2</v>
      </c>
    </row>
    <row r="650" spans="1:14">
      <c r="A650" s="15">
        <v>42167</v>
      </c>
      <c r="B650" s="28">
        <f>LN(Index!B651/Index!B650)</f>
        <v>5.5174897803812756E-3</v>
      </c>
      <c r="C650" s="28">
        <f>LN(Index!C651/Index!C650)</f>
        <v>4.5618068697846226E-3</v>
      </c>
      <c r="D650" s="28">
        <f>LN(Index!D651/Index!D650)</f>
        <v>6.7754467776086399E-3</v>
      </c>
      <c r="E650" s="28">
        <f>LN(Index!E651/Index!E650)</f>
        <v>1.4770816888224533E-2</v>
      </c>
      <c r="F650" s="28">
        <f>LN(Index!F651/Index!F650)</f>
        <v>-1.2495933798139673E-2</v>
      </c>
      <c r="G650" s="28">
        <f>LN(Index!G651/Index!G650)</f>
        <v>-3.5939361904349034E-3</v>
      </c>
      <c r="H650" s="28">
        <f>LN(Index!H651/Index!H650)</f>
        <v>1.2847576809631883E-4</v>
      </c>
      <c r="I650" s="28">
        <f>LN(Index!I651/Index!I650)</f>
        <v>7.5356057282366853E-3</v>
      </c>
      <c r="J650" s="28">
        <f>LN(Index!J651/Index!J650)</f>
        <v>9.9231417551360057E-3</v>
      </c>
      <c r="K650" s="28">
        <f>LN(Index!K651/Index!K650)</f>
        <v>2.3800167542561482E-2</v>
      </c>
      <c r="L650" s="28">
        <f>LN(Index!L651/Index!L650)</f>
        <v>3.4055561160650093E-3</v>
      </c>
      <c r="M650" s="28">
        <f>LN(Index!M651/Index!M650)</f>
        <v>-1.3170343168393995E-3</v>
      </c>
      <c r="N650" s="28">
        <f>LN(Index!N651/Index!N650)</f>
        <v>-1.4260685958537682E-2</v>
      </c>
    </row>
    <row r="651" spans="1:14">
      <c r="A651" s="15">
        <v>42174</v>
      </c>
      <c r="B651" s="28">
        <f>LN(Index!B652/Index!B651)</f>
        <v>2.6572278367791766E-3</v>
      </c>
      <c r="C651" s="28">
        <f>LN(Index!C652/Index!C651)</f>
        <v>6.0590877892017347E-3</v>
      </c>
      <c r="D651" s="28">
        <f>LN(Index!D652/Index!D651)</f>
        <v>3.7846430326226007E-3</v>
      </c>
      <c r="E651" s="28">
        <f>LN(Index!E652/Index!E651)</f>
        <v>6.8936784052906078E-3</v>
      </c>
      <c r="F651" s="28">
        <f>LN(Index!F652/Index!F651)</f>
        <v>1.4612308498577541E-2</v>
      </c>
      <c r="G651" s="28">
        <f>LN(Index!G652/Index!G651)</f>
        <v>-6.5340875022408106E-3</v>
      </c>
      <c r="H651" s="28">
        <f>LN(Index!H652/Index!H651)</f>
        <v>1.5551483271947364E-2</v>
      </c>
      <c r="I651" s="28">
        <f>LN(Index!I652/Index!I651)</f>
        <v>-1.6132649324471428E-2</v>
      </c>
      <c r="J651" s="28">
        <f>LN(Index!J652/Index!J651)</f>
        <v>-1.1682035716633642E-2</v>
      </c>
      <c r="K651" s="28">
        <f>LN(Index!K652/Index!K651)</f>
        <v>-2.6476425065773444E-2</v>
      </c>
      <c r="L651" s="28">
        <f>LN(Index!L652/Index!L651)</f>
        <v>1.5141167941927733E-2</v>
      </c>
      <c r="M651" s="28">
        <f>LN(Index!M652/Index!M651)</f>
        <v>1.1805717804912696E-2</v>
      </c>
      <c r="N651" s="28">
        <f>LN(Index!N652/Index!N651)</f>
        <v>1.0942685914923566E-2</v>
      </c>
    </row>
    <row r="652" spans="1:14">
      <c r="A652" s="15">
        <v>42181</v>
      </c>
      <c r="B652" s="28">
        <f>LN(Index!B653/Index!B652)</f>
        <v>7.5469576390493551E-4</v>
      </c>
      <c r="C652" s="28">
        <f>LN(Index!C653/Index!C652)</f>
        <v>-1.1724216846771017E-2</v>
      </c>
      <c r="D652" s="28">
        <f>LN(Index!D653/Index!D652)</f>
        <v>-1.3912633547489143E-2</v>
      </c>
      <c r="E652" s="28">
        <f>LN(Index!E653/Index!E652)</f>
        <v>5.9764582750719271E-4</v>
      </c>
      <c r="F652" s="28">
        <f>LN(Index!F653/Index!F652)</f>
        <v>2.5449061789186113E-3</v>
      </c>
      <c r="G652" s="28">
        <f>LN(Index!G653/Index!G652)</f>
        <v>-2.0009869211645825E-2</v>
      </c>
      <c r="H652" s="28">
        <f>LN(Index!H653/Index!H652)</f>
        <v>-1.7045479856958645E-2</v>
      </c>
      <c r="I652" s="28">
        <f>LN(Index!I653/Index!I652)</f>
        <v>-6.1637106820305711E-3</v>
      </c>
      <c r="J652" s="28">
        <f>LN(Index!J653/Index!J652)</f>
        <v>5.4867121304270567E-3</v>
      </c>
      <c r="K652" s="28">
        <f>LN(Index!K653/Index!K652)</f>
        <v>-2.9886512958026711E-3</v>
      </c>
      <c r="L652" s="28">
        <f>LN(Index!L653/Index!L652)</f>
        <v>-1.2450686282921871E-2</v>
      </c>
      <c r="M652" s="28">
        <f>LN(Index!M653/Index!M652)</f>
        <v>-1.452165949039109E-2</v>
      </c>
      <c r="N652" s="28">
        <f>LN(Index!N653/Index!N652)</f>
        <v>1.0042717701722898E-2</v>
      </c>
    </row>
    <row r="653" spans="1:14">
      <c r="A653" s="15">
        <v>42188</v>
      </c>
      <c r="B653" s="28">
        <f>LN(Index!B654/Index!B653)</f>
        <v>-1.8025261445374492E-2</v>
      </c>
      <c r="C653" s="28">
        <f>LN(Index!C654/Index!C653)</f>
        <v>4.2451499846949126E-3</v>
      </c>
      <c r="D653" s="28">
        <f>LN(Index!D654/Index!D653)</f>
        <v>-6.2636728723983225E-3</v>
      </c>
      <c r="E653" s="28">
        <f>LN(Index!E654/Index!E653)</f>
        <v>-3.9842272244842679E-2</v>
      </c>
      <c r="F653" s="28">
        <f>LN(Index!F654/Index!F653)</f>
        <v>-9.5696042396160638E-3</v>
      </c>
      <c r="G653" s="28">
        <f>LN(Index!G654/Index!G653)</f>
        <v>-8.0579503352163507E-3</v>
      </c>
      <c r="H653" s="28">
        <f>LN(Index!H654/Index!H653)</f>
        <v>-1.3219140249490549E-2</v>
      </c>
      <c r="I653" s="28">
        <f>LN(Index!I654/Index!I653)</f>
        <v>-4.8503882289076819E-4</v>
      </c>
      <c r="J653" s="28">
        <f>LN(Index!J654/Index!J653)</f>
        <v>-2.9315518455699567E-2</v>
      </c>
      <c r="K653" s="28">
        <f>LN(Index!K654/Index!K653)</f>
        <v>-1.8016991823941998E-2</v>
      </c>
      <c r="L653" s="28">
        <f>LN(Index!L654/Index!L653)</f>
        <v>-1.366565464726424E-2</v>
      </c>
      <c r="M653" s="28">
        <f>LN(Index!M654/Index!M653)</f>
        <v>-2.5069416653798211E-2</v>
      </c>
      <c r="N653" s="28">
        <f>LN(Index!N654/Index!N653)</f>
        <v>-1.7099672856977027E-2</v>
      </c>
    </row>
    <row r="654" spans="1:14">
      <c r="A654" s="15">
        <v>42195</v>
      </c>
      <c r="B654" s="28">
        <f>LN(Index!B655/Index!B654)</f>
        <v>-6.7090813082507864E-4</v>
      </c>
      <c r="C654" s="28">
        <f>LN(Index!C655/Index!C654)</f>
        <v>-2.9496547777042642E-4</v>
      </c>
      <c r="D654" s="28">
        <f>LN(Index!D655/Index!D654)</f>
        <v>2.4259056301674633E-3</v>
      </c>
      <c r="E654" s="28">
        <f>LN(Index!E655/Index!E654)</f>
        <v>2.3670719096386145E-2</v>
      </c>
      <c r="F654" s="28">
        <f>LN(Index!F655/Index!F654)</f>
        <v>-3.7529645287468502E-3</v>
      </c>
      <c r="G654" s="28">
        <f>LN(Index!G655/Index!G654)</f>
        <v>-3.6652478633262202E-2</v>
      </c>
      <c r="H654" s="28">
        <f>LN(Index!H655/Index!H654)</f>
        <v>2.0345386660503475E-2</v>
      </c>
      <c r="I654" s="28">
        <f>LN(Index!I655/Index!I654)</f>
        <v>-2.2680040181441972E-3</v>
      </c>
      <c r="J654" s="28">
        <f>LN(Index!J655/Index!J654)</f>
        <v>5.6085999709583161E-3</v>
      </c>
      <c r="K654" s="28">
        <f>LN(Index!K655/Index!K654)</f>
        <v>-5.7173847534482201E-2</v>
      </c>
      <c r="L654" s="28">
        <f>LN(Index!L655/Index!L654)</f>
        <v>5.2381385860308513E-3</v>
      </c>
      <c r="M654" s="28">
        <f>LN(Index!M655/Index!M654)</f>
        <v>8.7178255109286978E-4</v>
      </c>
      <c r="N654" s="28">
        <f>LN(Index!N655/Index!N654)</f>
        <v>-1.1105856071223108E-2</v>
      </c>
    </row>
    <row r="655" spans="1:14">
      <c r="A655" s="15">
        <v>42202</v>
      </c>
      <c r="B655" s="28">
        <f>LN(Index!B656/Index!B655)</f>
        <v>2.1288206562512943E-2</v>
      </c>
      <c r="C655" s="28">
        <f>LN(Index!C656/Index!C655)</f>
        <v>7.238509183230779E-4</v>
      </c>
      <c r="D655" s="28">
        <f>LN(Index!D656/Index!D655)</f>
        <v>2.1417665559340247E-2</v>
      </c>
      <c r="E655" s="28">
        <f>LN(Index!E656/Index!E655)</f>
        <v>4.8492777979007575E-3</v>
      </c>
      <c r="F655" s="28">
        <f>LN(Index!F656/Index!F655)</f>
        <v>1.2373209816982538E-3</v>
      </c>
      <c r="G655" s="28">
        <f>LN(Index!G656/Index!G655)</f>
        <v>2.8375688198399487E-2</v>
      </c>
      <c r="H655" s="28">
        <f>LN(Index!H656/Index!H655)</f>
        <v>9.8319985309880779E-3</v>
      </c>
      <c r="I655" s="28">
        <f>LN(Index!I656/Index!I655)</f>
        <v>2.080247920467386E-2</v>
      </c>
      <c r="J655" s="28">
        <f>LN(Index!J656/Index!J655)</f>
        <v>1.1213177288680225E-2</v>
      </c>
      <c r="K655" s="28">
        <f>LN(Index!K656/Index!K655)</f>
        <v>1.0395656479396411E-2</v>
      </c>
      <c r="L655" s="28">
        <f>LN(Index!L656/Index!L655)</f>
        <v>6.5066646369494729E-3</v>
      </c>
      <c r="M655" s="28">
        <f>LN(Index!M656/Index!M655)</f>
        <v>1.1001955773353465E-2</v>
      </c>
      <c r="N655" s="28">
        <f>LN(Index!N656/Index!N655)</f>
        <v>1.4482015019685163E-3</v>
      </c>
    </row>
    <row r="656" spans="1:14">
      <c r="A656" s="15">
        <v>42209</v>
      </c>
      <c r="B656" s="28">
        <f>LN(Index!B657/Index!B656)</f>
        <v>-2.0038500195477305E-2</v>
      </c>
      <c r="C656" s="28">
        <f>LN(Index!C657/Index!C656)</f>
        <v>4.438866020414281E-3</v>
      </c>
      <c r="D656" s="28">
        <f>LN(Index!D657/Index!D656)</f>
        <v>-9.4797259935416201E-3</v>
      </c>
      <c r="E656" s="28">
        <f>LN(Index!E657/Index!E656)</f>
        <v>-1.44785185196812E-2</v>
      </c>
      <c r="F656" s="28">
        <f>LN(Index!F657/Index!F656)</f>
        <v>-3.690093903596408E-2</v>
      </c>
      <c r="G656" s="28">
        <f>LN(Index!G657/Index!G656)</f>
        <v>-1.0150912946350472E-2</v>
      </c>
      <c r="H656" s="28">
        <f>LN(Index!H657/Index!H656)</f>
        <v>-2.2416747067618963E-2</v>
      </c>
      <c r="I656" s="28">
        <f>LN(Index!I657/Index!I656)</f>
        <v>4.5663742708691515E-3</v>
      </c>
      <c r="J656" s="28">
        <f>LN(Index!J657/Index!J656)</f>
        <v>-1.6865586876530326E-2</v>
      </c>
      <c r="K656" s="28">
        <f>LN(Index!K657/Index!K656)</f>
        <v>-3.4262022935576071E-2</v>
      </c>
      <c r="L656" s="28">
        <f>LN(Index!L657/Index!L656)</f>
        <v>-4.3895938522830226E-3</v>
      </c>
      <c r="M656" s="28">
        <f>LN(Index!M657/Index!M656)</f>
        <v>-2.4332038618158202E-3</v>
      </c>
      <c r="N656" s="28">
        <f>LN(Index!N657/Index!N656)</f>
        <v>-4.4767942041887727E-2</v>
      </c>
    </row>
    <row r="657" spans="1:14">
      <c r="A657" s="15">
        <v>42216</v>
      </c>
      <c r="B657" s="28">
        <f>LN(Index!B658/Index!B657)</f>
        <v>1.1449528397435772E-2</v>
      </c>
      <c r="C657" s="28">
        <f>LN(Index!C658/Index!C657)</f>
        <v>3.994147235124465E-3</v>
      </c>
      <c r="D657" s="28">
        <f>LN(Index!D658/Index!D657)</f>
        <v>8.4480535611720382E-3</v>
      </c>
      <c r="E657" s="28">
        <f>LN(Index!E658/Index!E657)</f>
        <v>1.3336842496519652E-2</v>
      </c>
      <c r="F657" s="28">
        <f>LN(Index!F658/Index!F657)</f>
        <v>1.8772603750520263E-2</v>
      </c>
      <c r="G657" s="28">
        <f>LN(Index!G658/Index!G657)</f>
        <v>8.9997995531851688E-3</v>
      </c>
      <c r="H657" s="28">
        <f>LN(Index!H658/Index!H657)</f>
        <v>3.1569691866803182E-2</v>
      </c>
      <c r="I657" s="28">
        <f>LN(Index!I658/Index!I657)</f>
        <v>9.0328419916014223E-3</v>
      </c>
      <c r="J657" s="28">
        <f>LN(Index!J658/Index!J657)</f>
        <v>1.407156598523248E-2</v>
      </c>
      <c r="K657" s="28">
        <f>LN(Index!K658/Index!K657)</f>
        <v>-1.2119225309994477E-2</v>
      </c>
      <c r="L657" s="28">
        <f>LN(Index!L658/Index!L657)</f>
        <v>-8.4233682029704517E-3</v>
      </c>
      <c r="M657" s="28">
        <f>LN(Index!M658/Index!M657)</f>
        <v>3.4683891599831718E-3</v>
      </c>
      <c r="N657" s="28">
        <f>LN(Index!N658/Index!N657)</f>
        <v>1.8344768379458854E-2</v>
      </c>
    </row>
    <row r="658" spans="1:14">
      <c r="A658" s="15">
        <v>42223</v>
      </c>
      <c r="B658" s="28">
        <f>LN(Index!B659/Index!B658)</f>
        <v>-1.0395944396905716E-2</v>
      </c>
      <c r="C658" s="28">
        <f>LN(Index!C659/Index!C658)</f>
        <v>-1.4360558806519176E-3</v>
      </c>
      <c r="D658" s="28">
        <f>LN(Index!D659/Index!D658)</f>
        <v>1.9592684792980753E-3</v>
      </c>
      <c r="E658" s="28">
        <f>LN(Index!E659/Index!E658)</f>
        <v>-6.9013854505084451E-3</v>
      </c>
      <c r="F658" s="28">
        <f>LN(Index!F659/Index!F658)</f>
        <v>-2.3091250636076956E-2</v>
      </c>
      <c r="G658" s="28">
        <f>LN(Index!G659/Index!G658)</f>
        <v>1.4961891825518193E-3</v>
      </c>
      <c r="H658" s="28">
        <f>LN(Index!H659/Index!H658)</f>
        <v>4.1837636345053693E-3</v>
      </c>
      <c r="I658" s="28">
        <f>LN(Index!I659/Index!I658)</f>
        <v>5.2200050823539013E-3</v>
      </c>
      <c r="J658" s="28">
        <f>LN(Index!J659/Index!J658)</f>
        <v>-1.141949089969118E-2</v>
      </c>
      <c r="K658" s="28">
        <f>LN(Index!K659/Index!K658)</f>
        <v>-1.4050144236252643E-2</v>
      </c>
      <c r="L658" s="28">
        <f>LN(Index!L659/Index!L658)</f>
        <v>2.0597977263916593E-2</v>
      </c>
      <c r="M658" s="28">
        <f>LN(Index!M659/Index!M658)</f>
        <v>-6.5879834690706247E-3</v>
      </c>
      <c r="N658" s="28">
        <f>LN(Index!N659/Index!N658)</f>
        <v>-3.7449689356765604E-2</v>
      </c>
    </row>
    <row r="659" spans="1:14">
      <c r="A659" s="15">
        <v>42230</v>
      </c>
      <c r="B659" s="28">
        <f>LN(Index!B660/Index!B659)</f>
        <v>-1.9763814604014879E-3</v>
      </c>
      <c r="C659" s="28">
        <f>LN(Index!C660/Index!C659)</f>
        <v>9.5759969013662889E-4</v>
      </c>
      <c r="D659" s="28">
        <f>LN(Index!D660/Index!D659)</f>
        <v>5.4963538909222941E-3</v>
      </c>
      <c r="E659" s="28">
        <f>LN(Index!E660/Index!E659)</f>
        <v>1.4081003633052843E-2</v>
      </c>
      <c r="F659" s="28">
        <f>LN(Index!F660/Index!F659)</f>
        <v>3.0579879571233409E-2</v>
      </c>
      <c r="G659" s="28">
        <f>LN(Index!G660/Index!G659)</f>
        <v>-1.8955779385045037E-2</v>
      </c>
      <c r="H659" s="28">
        <f>LN(Index!H660/Index!H659)</f>
        <v>2.1178670002962186E-2</v>
      </c>
      <c r="I659" s="28">
        <f>LN(Index!I660/Index!I659)</f>
        <v>2.2945997981704135E-3</v>
      </c>
      <c r="J659" s="28">
        <f>LN(Index!J660/Index!J659)</f>
        <v>1.1615526007216277E-2</v>
      </c>
      <c r="K659" s="28">
        <f>LN(Index!K660/Index!K659)</f>
        <v>-3.6851614248099884E-4</v>
      </c>
      <c r="L659" s="28">
        <f>LN(Index!L660/Index!L659)</f>
        <v>2.5958985630940391E-2</v>
      </c>
      <c r="M659" s="28">
        <f>LN(Index!M660/Index!M659)</f>
        <v>4.9422760815668312E-3</v>
      </c>
      <c r="N659" s="28">
        <f>LN(Index!N660/Index!N659)</f>
        <v>2.2272129269558745E-2</v>
      </c>
    </row>
    <row r="660" spans="1:14">
      <c r="A660" s="15">
        <v>42237</v>
      </c>
      <c r="B660" s="28">
        <f>LN(Index!B661/Index!B660)</f>
        <v>-5.4761313199350958E-2</v>
      </c>
      <c r="C660" s="28">
        <f>LN(Index!C661/Index!C660)</f>
        <v>8.8936531158000029E-3</v>
      </c>
      <c r="D660" s="28">
        <f>LN(Index!D661/Index!D660)</f>
        <v>-3.1165542898704303E-2</v>
      </c>
      <c r="E660" s="28">
        <f>LN(Index!E661/Index!E660)</f>
        <v>-2.632504834600748E-2</v>
      </c>
      <c r="F660" s="28">
        <f>LN(Index!F661/Index!F660)</f>
        <v>-5.1261263857877208E-2</v>
      </c>
      <c r="G660" s="28">
        <f>LN(Index!G661/Index!G660)</f>
        <v>-4.5110982328535359E-2</v>
      </c>
      <c r="H660" s="28">
        <f>LN(Index!H661/Index!H660)</f>
        <v>-1.7278120356012536E-2</v>
      </c>
      <c r="I660" s="28">
        <f>LN(Index!I661/Index!I660)</f>
        <v>-3.7910644309925419E-2</v>
      </c>
      <c r="J660" s="28">
        <f>LN(Index!J661/Index!J660)</f>
        <v>-2.0921939454980266E-2</v>
      </c>
      <c r="K660" s="28">
        <f>LN(Index!K661/Index!K660)</f>
        <v>-7.9539776864602979E-2</v>
      </c>
      <c r="L660" s="28">
        <f>LN(Index!L661/Index!L660)</f>
        <v>-4.2567426682693595E-2</v>
      </c>
      <c r="M660" s="28">
        <f>LN(Index!M661/Index!M660)</f>
        <v>-2.5995843560328968E-2</v>
      </c>
      <c r="N660" s="28">
        <f>LN(Index!N661/Index!N660)</f>
        <v>-6.3562433625347095E-2</v>
      </c>
    </row>
    <row r="661" spans="1:14">
      <c r="A661" s="15">
        <v>42244</v>
      </c>
      <c r="B661" s="28">
        <f>LN(Index!B662/Index!B661)</f>
        <v>4.2973384597683939E-3</v>
      </c>
      <c r="C661" s="28">
        <f>LN(Index!C662/Index!C661)</f>
        <v>-6.450611909200616E-3</v>
      </c>
      <c r="D661" s="28">
        <f>LN(Index!D662/Index!D661)</f>
        <v>-2.715971638522378E-2</v>
      </c>
      <c r="E661" s="28">
        <f>LN(Index!E662/Index!E661)</f>
        <v>-4.8588963666764068E-3</v>
      </c>
      <c r="F661" s="28">
        <f>LN(Index!F662/Index!F661)</f>
        <v>-2.8811283243702661E-3</v>
      </c>
      <c r="G661" s="28">
        <f>LN(Index!G662/Index!G661)</f>
        <v>-1.1961149720672049E-2</v>
      </c>
      <c r="H661" s="28">
        <f>LN(Index!H662/Index!H661)</f>
        <v>-2.9190325878545722E-2</v>
      </c>
      <c r="I661" s="28">
        <f>LN(Index!I662/Index!I661)</f>
        <v>2.174994579456256E-3</v>
      </c>
      <c r="J661" s="28">
        <f>LN(Index!J662/Index!J661)</f>
        <v>-1.7529358548669167E-2</v>
      </c>
      <c r="K661" s="28">
        <f>LN(Index!K662/Index!K661)</f>
        <v>-1.5005209625931696E-2</v>
      </c>
      <c r="L661" s="28">
        <f>LN(Index!L662/Index!L661)</f>
        <v>-1.3638566059999035E-2</v>
      </c>
      <c r="M661" s="28">
        <f>LN(Index!M662/Index!M661)</f>
        <v>-1.1346393120565562E-2</v>
      </c>
      <c r="N661" s="28">
        <f>LN(Index!N662/Index!N661)</f>
        <v>1.203184114637214E-2</v>
      </c>
    </row>
    <row r="662" spans="1:14">
      <c r="A662" s="15">
        <v>42251</v>
      </c>
      <c r="B662" s="28">
        <f>LN(Index!B663/Index!B662)</f>
        <v>-3.833549710675363E-2</v>
      </c>
      <c r="C662" s="28">
        <f>LN(Index!C663/Index!C662)</f>
        <v>3.4684105250551238E-3</v>
      </c>
      <c r="D662" s="28">
        <f>LN(Index!D663/Index!D662)</f>
        <v>-4.5209831285196123E-2</v>
      </c>
      <c r="E662" s="28">
        <f>LN(Index!E663/Index!E662)</f>
        <v>-2.6370297984723727E-2</v>
      </c>
      <c r="F662" s="28">
        <f>LN(Index!F663/Index!F662)</f>
        <v>-4.4246716280557E-2</v>
      </c>
      <c r="G662" s="28">
        <f>LN(Index!G663/Index!G662)</f>
        <v>-4.0785018888758934E-2</v>
      </c>
      <c r="H662" s="28">
        <f>LN(Index!H663/Index!H662)</f>
        <v>-4.2164316994556916E-2</v>
      </c>
      <c r="I662" s="28">
        <f>LN(Index!I663/Index!I662)</f>
        <v>-4.1381178413124414E-2</v>
      </c>
      <c r="J662" s="28">
        <f>LN(Index!J663/Index!J662)</f>
        <v>-4.3141911843275059E-2</v>
      </c>
      <c r="K662" s="28">
        <f>LN(Index!K663/Index!K662)</f>
        <v>-6.7120999940305818E-3</v>
      </c>
      <c r="L662" s="28">
        <f>LN(Index!L663/Index!L662)</f>
        <v>-3.4761517134105219E-2</v>
      </c>
      <c r="M662" s="28">
        <f>LN(Index!M663/Index!M662)</f>
        <v>-1.7839480130155804E-2</v>
      </c>
      <c r="N662" s="28">
        <f>LN(Index!N663/Index!N662)</f>
        <v>-4.2763703859974821E-2</v>
      </c>
    </row>
    <row r="663" spans="1:14">
      <c r="A663" s="15">
        <v>42258</v>
      </c>
      <c r="B663" s="28">
        <f>LN(Index!B664/Index!B663)</f>
        <v>1.9412903679766398E-2</v>
      </c>
      <c r="C663" s="28">
        <f>LN(Index!C664/Index!C663)</f>
        <v>2.643020443916098E-5</v>
      </c>
      <c r="D663" s="28">
        <f>LN(Index!D664/Index!D663)</f>
        <v>2.2027074758549252E-2</v>
      </c>
      <c r="E663" s="28">
        <f>LN(Index!E664/Index!E663)</f>
        <v>2.499849388212615E-2</v>
      </c>
      <c r="F663" s="28">
        <f>LN(Index!F664/Index!F663)</f>
        <v>-1.7073655535790815E-2</v>
      </c>
      <c r="G663" s="28">
        <f>LN(Index!G664/Index!G663)</f>
        <v>2.1340684295982185E-2</v>
      </c>
      <c r="H663" s="28">
        <f>LN(Index!H664/Index!H663)</f>
        <v>2.1536476879713308E-2</v>
      </c>
      <c r="I663" s="28">
        <f>LN(Index!I664/Index!I663)</f>
        <v>1.8896129244501614E-2</v>
      </c>
      <c r="J663" s="28">
        <f>LN(Index!J664/Index!J663)</f>
        <v>2.730816941811269E-2</v>
      </c>
      <c r="K663" s="28">
        <f>LN(Index!K664/Index!K663)</f>
        <v>1.0688196526960285E-3</v>
      </c>
      <c r="L663" s="28">
        <f>LN(Index!L664/Index!L663)</f>
        <v>-7.8252531759606617E-3</v>
      </c>
      <c r="M663" s="28">
        <f>LN(Index!M664/Index!M663)</f>
        <v>1.9398153347075519E-2</v>
      </c>
      <c r="N663" s="28">
        <f>LN(Index!N664/Index!N663)</f>
        <v>-1.9218990808442488E-2</v>
      </c>
    </row>
    <row r="664" spans="1:14">
      <c r="A664" s="15">
        <v>42265</v>
      </c>
      <c r="B664" s="28">
        <f>LN(Index!B665/Index!B664)</f>
        <v>2.2715561939723062E-3</v>
      </c>
      <c r="C664" s="28">
        <f>LN(Index!C665/Index!C664)</f>
        <v>5.1142915892442116E-3</v>
      </c>
      <c r="D664" s="28">
        <f>LN(Index!D665/Index!D664)</f>
        <v>2.0246056569668405E-2</v>
      </c>
      <c r="E664" s="28">
        <f>LN(Index!E665/Index!E664)</f>
        <v>1.6007879642843916E-2</v>
      </c>
      <c r="F664" s="28">
        <f>LN(Index!F665/Index!F664)</f>
        <v>2.0700436617023341E-2</v>
      </c>
      <c r="G664" s="28">
        <f>LN(Index!G665/Index!G664)</f>
        <v>1.9090803604360249E-2</v>
      </c>
      <c r="H664" s="28">
        <f>LN(Index!H665/Index!H664)</f>
        <v>2.7666033615173228E-2</v>
      </c>
      <c r="I664" s="28">
        <f>LN(Index!I665/Index!I664)</f>
        <v>2.177833608212202E-2</v>
      </c>
      <c r="J664" s="28">
        <f>LN(Index!J665/Index!J664)</f>
        <v>3.1138511732613866E-2</v>
      </c>
      <c r="K664" s="28">
        <f>LN(Index!K665/Index!K664)</f>
        <v>-2.7862932486832858E-3</v>
      </c>
      <c r="L664" s="28">
        <f>LN(Index!L665/Index!L664)</f>
        <v>3.7211157345685996E-3</v>
      </c>
      <c r="M664" s="28">
        <f>LN(Index!M665/Index!M664)</f>
        <v>2.1847886769987494E-2</v>
      </c>
      <c r="N664" s="28">
        <f>LN(Index!N665/Index!N664)</f>
        <v>1.9485504069054471E-2</v>
      </c>
    </row>
    <row r="665" spans="1:14">
      <c r="A665" s="15">
        <v>42272</v>
      </c>
      <c r="B665" s="28">
        <f>LN(Index!B666/Index!B665)</f>
        <v>-2.2317607358695434E-2</v>
      </c>
      <c r="C665" s="28">
        <f>LN(Index!C666/Index!C665)</f>
        <v>-5.4315001565353313E-3</v>
      </c>
      <c r="D665" s="28">
        <f>LN(Index!D666/Index!D665)</f>
        <v>-4.4212839140460062E-3</v>
      </c>
      <c r="E665" s="28">
        <f>LN(Index!E666/Index!E665)</f>
        <v>-4.2255028513607223E-3</v>
      </c>
      <c r="F665" s="28">
        <f>LN(Index!F666/Index!F665)</f>
        <v>-1.3971643772686978E-2</v>
      </c>
      <c r="G665" s="28">
        <f>LN(Index!G666/Index!G665)</f>
        <v>-2.3879584124701387E-2</v>
      </c>
      <c r="H665" s="28">
        <f>LN(Index!H666/Index!H665)</f>
        <v>1.7678967089241309E-2</v>
      </c>
      <c r="I665" s="28">
        <f>LN(Index!I666/Index!I665)</f>
        <v>-2.3159422959070287E-2</v>
      </c>
      <c r="J665" s="28">
        <f>LN(Index!J666/Index!J665)</f>
        <v>4.6879326017086201E-3</v>
      </c>
      <c r="K665" s="28">
        <f>LN(Index!K666/Index!K665)</f>
        <v>-4.0151870397699761E-2</v>
      </c>
      <c r="L665" s="28">
        <f>LN(Index!L666/Index!L665)</f>
        <v>-6.6883447817647455E-3</v>
      </c>
      <c r="M665" s="28">
        <f>LN(Index!M666/Index!M665)</f>
        <v>-1.4166887854827925E-2</v>
      </c>
      <c r="N665" s="28">
        <f>LN(Index!N666/Index!N665)</f>
        <v>-2.8823821299688811E-2</v>
      </c>
    </row>
    <row r="666" spans="1:14">
      <c r="A666" s="15">
        <v>42279</v>
      </c>
      <c r="B666" s="28">
        <f>LN(Index!B667/Index!B666)</f>
        <v>7.7643487913262215E-3</v>
      </c>
      <c r="C666" s="28">
        <f>LN(Index!C667/Index!C666)</f>
        <v>8.8440247964527742E-3</v>
      </c>
      <c r="D666" s="28">
        <f>LN(Index!D667/Index!D666)</f>
        <v>1.0610900808261471E-2</v>
      </c>
      <c r="E666" s="28">
        <f>LN(Index!E667/Index!E666)</f>
        <v>2.7355269545563214E-2</v>
      </c>
      <c r="F666" s="28">
        <f>LN(Index!F667/Index!F666)</f>
        <v>8.361333430748883E-3</v>
      </c>
      <c r="G666" s="28">
        <f>LN(Index!G667/Index!G666)</f>
        <v>-2.6347528526527802E-3</v>
      </c>
      <c r="H666" s="28">
        <f>LN(Index!H667/Index!H666)</f>
        <v>2.5696180068496634E-2</v>
      </c>
      <c r="I666" s="28">
        <f>LN(Index!I667/Index!I666)</f>
        <v>1.8274590705747443E-2</v>
      </c>
      <c r="J666" s="28">
        <f>LN(Index!J667/Index!J666)</f>
        <v>2.8136000319799539E-2</v>
      </c>
      <c r="K666" s="28">
        <f>LN(Index!K667/Index!K666)</f>
        <v>1.1843183279644157E-2</v>
      </c>
      <c r="L666" s="28">
        <f>LN(Index!L667/Index!L666)</f>
        <v>4.9237416027492738E-3</v>
      </c>
      <c r="M666" s="28">
        <f>LN(Index!M667/Index!M666)</f>
        <v>1.327698258790099E-2</v>
      </c>
      <c r="N666" s="28">
        <f>LN(Index!N667/Index!N666)</f>
        <v>5.1709873354468536E-3</v>
      </c>
    </row>
    <row r="667" spans="1:14">
      <c r="A667" s="15">
        <v>42286</v>
      </c>
      <c r="B667" s="28">
        <f>LN(Index!B668/Index!B667)</f>
        <v>4.062858760457079E-2</v>
      </c>
      <c r="C667" s="28">
        <f>LN(Index!C668/Index!C667)</f>
        <v>-2.6239847120823629E-3</v>
      </c>
      <c r="D667" s="28">
        <f>LN(Index!D668/Index!D667)</f>
        <v>3.0176082158177225E-2</v>
      </c>
      <c r="E667" s="28">
        <f>LN(Index!E668/Index!E667)</f>
        <v>1.6956169222652483E-2</v>
      </c>
      <c r="F667" s="28">
        <f>LN(Index!F668/Index!F667)</f>
        <v>5.2343464573793082E-2</v>
      </c>
      <c r="G667" s="28">
        <f>LN(Index!G668/Index!G667)</f>
        <v>5.2248471042362438E-2</v>
      </c>
      <c r="H667" s="28">
        <f>LN(Index!H668/Index!H667)</f>
        <v>3.1430752553537069E-3</v>
      </c>
      <c r="I667" s="28">
        <f>LN(Index!I668/Index!I667)</f>
        <v>3.3846432181512107E-2</v>
      </c>
      <c r="J667" s="28">
        <f>LN(Index!J668/Index!J667)</f>
        <v>2.3680692474690238E-2</v>
      </c>
      <c r="K667" s="28">
        <f>LN(Index!K668/Index!K667)</f>
        <v>4.5631274306039651E-2</v>
      </c>
      <c r="L667" s="28">
        <f>LN(Index!L668/Index!L667)</f>
        <v>4.4952492928730228E-2</v>
      </c>
      <c r="M667" s="28">
        <f>LN(Index!M668/Index!M667)</f>
        <v>2.5897462793276808E-2</v>
      </c>
      <c r="N667" s="28">
        <f>LN(Index!N668/Index!N667)</f>
        <v>6.7923725715065622E-2</v>
      </c>
    </row>
    <row r="668" spans="1:14">
      <c r="A668" s="15">
        <v>42293</v>
      </c>
      <c r="B668" s="28">
        <f>LN(Index!B669/Index!B668)</f>
        <v>5.8260920399683305E-3</v>
      </c>
      <c r="C668" s="28">
        <f>LN(Index!C669/Index!C668)</f>
        <v>4.8489709058258806E-3</v>
      </c>
      <c r="D668" s="28">
        <f>LN(Index!D669/Index!D668)</f>
        <v>1.2681187550933053E-2</v>
      </c>
      <c r="E668" s="28">
        <f>LN(Index!E669/Index!E668)</f>
        <v>1.6463912372894522E-2</v>
      </c>
      <c r="F668" s="28">
        <f>LN(Index!F669/Index!F668)</f>
        <v>3.0795965650083435E-3</v>
      </c>
      <c r="G668" s="28">
        <f>LN(Index!G669/Index!G668)</f>
        <v>2.6863783611819923E-2</v>
      </c>
      <c r="H668" s="28">
        <f>LN(Index!H669/Index!H668)</f>
        <v>2.0782969485800436E-2</v>
      </c>
      <c r="I668" s="28">
        <f>LN(Index!I669/Index!I668)</f>
        <v>3.0222866919503415E-2</v>
      </c>
      <c r="J668" s="28">
        <f>LN(Index!J669/Index!J668)</f>
        <v>3.1035893800561973E-2</v>
      </c>
      <c r="K668" s="28">
        <f>LN(Index!K669/Index!K668)</f>
        <v>2.9224378672222412E-2</v>
      </c>
      <c r="L668" s="28">
        <f>LN(Index!L669/Index!L668)</f>
        <v>8.2143513109208914E-3</v>
      </c>
      <c r="M668" s="28">
        <f>LN(Index!M669/Index!M668)</f>
        <v>8.8411976818284048E-3</v>
      </c>
      <c r="N668" s="28">
        <f>LN(Index!N669/Index!N668)</f>
        <v>-1.2225834116037495E-3</v>
      </c>
    </row>
    <row r="669" spans="1:14">
      <c r="A669" s="15">
        <v>42300</v>
      </c>
      <c r="B669" s="28">
        <f>LN(Index!B670/Index!B669)</f>
        <v>1.3604287499415672E-2</v>
      </c>
      <c r="C669" s="28">
        <f>LN(Index!C670/Index!C669)</f>
        <v>-5.111748466134455E-3</v>
      </c>
      <c r="D669" s="28">
        <f>LN(Index!D670/Index!D669)</f>
        <v>1.0420522459773667E-2</v>
      </c>
      <c r="E669" s="28">
        <f>LN(Index!E670/Index!E669)</f>
        <v>-6.027504101477065E-3</v>
      </c>
      <c r="F669" s="28">
        <f>LN(Index!F670/Index!F669)</f>
        <v>-1.7634673850762596E-2</v>
      </c>
      <c r="G669" s="28">
        <f>LN(Index!G670/Index!G669)</f>
        <v>1.9718719822350586E-2</v>
      </c>
      <c r="H669" s="28">
        <f>LN(Index!H670/Index!H669)</f>
        <v>-2.5687229195334202E-3</v>
      </c>
      <c r="I669" s="28">
        <f>LN(Index!I670/Index!I669)</f>
        <v>-3.5930642656444961E-4</v>
      </c>
      <c r="J669" s="28">
        <f>LN(Index!J670/Index!J669)</f>
        <v>2.2372592182745904E-3</v>
      </c>
      <c r="K669" s="28">
        <f>LN(Index!K670/Index!K669)</f>
        <v>1.9819692288202378E-2</v>
      </c>
      <c r="L669" s="28">
        <f>LN(Index!L670/Index!L669)</f>
        <v>2.5985783902246512E-2</v>
      </c>
      <c r="M669" s="28">
        <f>LN(Index!M670/Index!M669)</f>
        <v>-8.3485487449525182E-4</v>
      </c>
      <c r="N669" s="28">
        <f>LN(Index!N670/Index!N669)</f>
        <v>-2.9260951480001952E-2</v>
      </c>
    </row>
    <row r="670" spans="1:14">
      <c r="A670" s="15">
        <v>42307</v>
      </c>
      <c r="B670" s="28">
        <f>LN(Index!B671/Index!B670)</f>
        <v>-4.7473780419868803E-4</v>
      </c>
      <c r="C670" s="28">
        <f>LN(Index!C671/Index!C670)</f>
        <v>-1.7887210156415465E-3</v>
      </c>
      <c r="D670" s="28">
        <f>LN(Index!D671/Index!D670)</f>
        <v>-6.2289460364340276E-3</v>
      </c>
      <c r="E670" s="28">
        <f>LN(Index!E671/Index!E670)</f>
        <v>-6.086897519406778E-3</v>
      </c>
      <c r="F670" s="28">
        <f>LN(Index!F671/Index!F670)</f>
        <v>-5.6590324753090105E-3</v>
      </c>
      <c r="G670" s="28">
        <f>LN(Index!G671/Index!G670)</f>
        <v>-1.6689753483512666E-2</v>
      </c>
      <c r="H670" s="28">
        <f>LN(Index!H671/Index!H670)</f>
        <v>-6.5955686192193577E-3</v>
      </c>
      <c r="I670" s="28">
        <f>LN(Index!I671/Index!I670)</f>
        <v>4.867712290699228E-4</v>
      </c>
      <c r="J670" s="28">
        <f>LN(Index!J671/Index!J670)</f>
        <v>-1.0331835540615987E-2</v>
      </c>
      <c r="K670" s="28">
        <f>LN(Index!K671/Index!K670)</f>
        <v>-6.5201441231473936E-2</v>
      </c>
      <c r="L670" s="28">
        <f>LN(Index!L671/Index!L670)</f>
        <v>9.6040588561674706E-3</v>
      </c>
      <c r="M670" s="28">
        <f>LN(Index!M671/Index!M670)</f>
        <v>-7.4469769624695029E-4</v>
      </c>
      <c r="N670" s="28">
        <f>LN(Index!N671/Index!N670)</f>
        <v>-1.206972637678117E-2</v>
      </c>
    </row>
    <row r="671" spans="1:14">
      <c r="A671" s="15">
        <v>42314</v>
      </c>
      <c r="B671" s="28">
        <f>LN(Index!B672/Index!B671)</f>
        <v>-8.2693344379550465E-4</v>
      </c>
      <c r="C671" s="28">
        <f>LN(Index!C672/Index!C671)</f>
        <v>-1.3758584058324471E-2</v>
      </c>
      <c r="D671" s="28">
        <f>LN(Index!D672/Index!D671)</f>
        <v>-2.8281539280758213E-2</v>
      </c>
      <c r="E671" s="28">
        <f>LN(Index!E672/Index!E671)</f>
        <v>-3.8364422769087907E-2</v>
      </c>
      <c r="F671" s="28">
        <f>LN(Index!F672/Index!F671)</f>
        <v>-4.0826963738071848E-2</v>
      </c>
      <c r="G671" s="28">
        <f>LN(Index!G672/Index!G671)</f>
        <v>-1.4312988921611862E-2</v>
      </c>
      <c r="H671" s="28">
        <f>LN(Index!H672/Index!H671)</f>
        <v>-4.1142919393325379E-2</v>
      </c>
      <c r="I671" s="28">
        <f>LN(Index!I672/Index!I671)</f>
        <v>-1.0773846880963276E-2</v>
      </c>
      <c r="J671" s="28">
        <f>LN(Index!J672/Index!J671)</f>
        <v>-3.1266201963947825E-2</v>
      </c>
      <c r="K671" s="28">
        <f>LN(Index!K672/Index!K671)</f>
        <v>2.574592494576651E-3</v>
      </c>
      <c r="L671" s="28">
        <f>LN(Index!L672/Index!L671)</f>
        <v>-3.7281878173815432E-2</v>
      </c>
      <c r="M671" s="28">
        <f>LN(Index!M672/Index!M671)</f>
        <v>-2.833982146841409E-2</v>
      </c>
      <c r="N671" s="28">
        <f>LN(Index!N672/Index!N671)</f>
        <v>-3.8119216839660977E-2</v>
      </c>
    </row>
    <row r="672" spans="1:14">
      <c r="A672" s="15">
        <v>42321</v>
      </c>
      <c r="B672" s="28">
        <f>LN(Index!B673/Index!B672)</f>
        <v>-2.9829316828243191E-2</v>
      </c>
      <c r="C672" s="28">
        <f>LN(Index!C673/Index!C672)</f>
        <v>3.0117694909650551E-3</v>
      </c>
      <c r="D672" s="28">
        <f>LN(Index!D673/Index!D672)</f>
        <v>-1.9579544611251182E-2</v>
      </c>
      <c r="E672" s="28">
        <f>LN(Index!E673/Index!E672)</f>
        <v>-8.9202525389753956E-3</v>
      </c>
      <c r="F672" s="28">
        <f>LN(Index!F673/Index!F672)</f>
        <v>-3.6632188543001563E-2</v>
      </c>
      <c r="G672" s="28">
        <f>LN(Index!G673/Index!G672)</f>
        <v>-1.6309574298930929E-2</v>
      </c>
      <c r="H672" s="28">
        <f>LN(Index!H673/Index!H672)</f>
        <v>8.1249092282265362E-3</v>
      </c>
      <c r="I672" s="28">
        <f>LN(Index!I673/Index!I672)</f>
        <v>-1.5440471443727765E-2</v>
      </c>
      <c r="J672" s="28">
        <f>LN(Index!J673/Index!J672)</f>
        <v>-5.7092414154875371E-3</v>
      </c>
      <c r="K672" s="28">
        <f>LN(Index!K673/Index!K672)</f>
        <v>-1.5714319629174984E-2</v>
      </c>
      <c r="L672" s="28">
        <f>LN(Index!L673/Index!L672)</f>
        <v>-1.7400128866307017E-2</v>
      </c>
      <c r="M672" s="28">
        <f>LN(Index!M673/Index!M672)</f>
        <v>-2.6299114520286462E-2</v>
      </c>
      <c r="N672" s="28">
        <f>LN(Index!N673/Index!N672)</f>
        <v>-5.1602336570364823E-2</v>
      </c>
    </row>
    <row r="673" spans="1:14">
      <c r="A673" s="15">
        <v>42328</v>
      </c>
      <c r="B673" s="28">
        <f>LN(Index!B674/Index!B673)</f>
        <v>2.8913614226704909E-2</v>
      </c>
      <c r="C673" s="28">
        <f>LN(Index!C674/Index!C673)</f>
        <v>1.648629617967198E-3</v>
      </c>
      <c r="D673" s="28">
        <f>LN(Index!D674/Index!D673)</f>
        <v>3.5547001081317545E-2</v>
      </c>
      <c r="E673" s="28">
        <f>LN(Index!E674/Index!E673)</f>
        <v>2.6068995183461053E-2</v>
      </c>
      <c r="F673" s="28">
        <f>LN(Index!F674/Index!F673)</f>
        <v>2.3569675409004617E-2</v>
      </c>
      <c r="G673" s="28">
        <f>LN(Index!G674/Index!G673)</f>
        <v>3.1173916450944632E-2</v>
      </c>
      <c r="H673" s="28">
        <f>LN(Index!H674/Index!H673)</f>
        <v>3.0628770127408639E-2</v>
      </c>
      <c r="I673" s="28">
        <f>LN(Index!I674/Index!I673)</f>
        <v>2.4310312476260358E-2</v>
      </c>
      <c r="J673" s="28">
        <f>LN(Index!J674/Index!J673)</f>
        <v>4.0664911902622801E-2</v>
      </c>
      <c r="K673" s="28">
        <f>LN(Index!K674/Index!K673)</f>
        <v>8.945573343381235E-3</v>
      </c>
      <c r="L673" s="28">
        <f>LN(Index!L674/Index!L673)</f>
        <v>2.6212736191195671E-2</v>
      </c>
      <c r="M673" s="28">
        <f>LN(Index!M674/Index!M673)</f>
        <v>1.5802628749539804E-2</v>
      </c>
      <c r="N673" s="28">
        <f>LN(Index!N674/Index!N673)</f>
        <v>2.3615744600069634E-2</v>
      </c>
    </row>
    <row r="674" spans="1:14">
      <c r="A674" s="15">
        <v>42335</v>
      </c>
      <c r="B674" s="28">
        <f>LN(Index!B675/Index!B674)</f>
        <v>-1.4927481085922375E-3</v>
      </c>
      <c r="C674" s="28">
        <f>LN(Index!C675/Index!C674)</f>
        <v>7.1710293499682352E-4</v>
      </c>
      <c r="D674" s="28">
        <f>LN(Index!D675/Index!D674)</f>
        <v>-4.3486302254562795E-3</v>
      </c>
      <c r="E674" s="28">
        <f>LN(Index!E675/Index!E674)</f>
        <v>-1.429773134767178E-2</v>
      </c>
      <c r="F674" s="28">
        <f>LN(Index!F675/Index!F674)</f>
        <v>-9.4536591464021991E-3</v>
      </c>
      <c r="G674" s="28">
        <f>LN(Index!G675/Index!G674)</f>
        <v>-1.9400793417969051E-2</v>
      </c>
      <c r="H674" s="28">
        <f>LN(Index!H675/Index!H674)</f>
        <v>-2.0536030231427752E-2</v>
      </c>
      <c r="I674" s="28">
        <f>LN(Index!I675/Index!I674)</f>
        <v>-2.54647675708169E-2</v>
      </c>
      <c r="J674" s="28">
        <f>LN(Index!J675/Index!J674)</f>
        <v>5.3176516001733208E-4</v>
      </c>
      <c r="K674" s="28">
        <f>LN(Index!K675/Index!K674)</f>
        <v>-4.288103194455533E-2</v>
      </c>
      <c r="L674" s="28">
        <f>LN(Index!L675/Index!L674)</f>
        <v>-6.9028271728851535E-3</v>
      </c>
      <c r="M674" s="28">
        <f>LN(Index!M675/Index!M674)</f>
        <v>-1.5198835413526312E-3</v>
      </c>
      <c r="N674" s="28">
        <f>LN(Index!N675/Index!N674)</f>
        <v>-1.1615431276305399E-2</v>
      </c>
    </row>
    <row r="675" spans="1:14">
      <c r="A675" s="15">
        <v>42342</v>
      </c>
      <c r="B675" s="28">
        <f>LN(Index!B676/Index!B675)</f>
        <v>-3.2458858507635104E-3</v>
      </c>
      <c r="C675" s="28">
        <f>LN(Index!C676/Index!C675)</f>
        <v>1.3274042629160654E-4</v>
      </c>
      <c r="D675" s="28">
        <f>LN(Index!D676/Index!D675)</f>
        <v>-6.2151258737851538E-3</v>
      </c>
      <c r="E675" s="28">
        <f>LN(Index!E676/Index!E675)</f>
        <v>-4.1743103722399269E-3</v>
      </c>
      <c r="F675" s="28">
        <f>LN(Index!F676/Index!F675)</f>
        <v>-5.3549475202823174E-2</v>
      </c>
      <c r="G675" s="28">
        <f>LN(Index!G676/Index!G675)</f>
        <v>-9.8964891331279562E-3</v>
      </c>
      <c r="H675" s="28">
        <f>LN(Index!H676/Index!H675)</f>
        <v>5.457487787360962E-4</v>
      </c>
      <c r="I675" s="28">
        <f>LN(Index!I676/Index!I675)</f>
        <v>2.398662657306289E-3</v>
      </c>
      <c r="J675" s="28">
        <f>LN(Index!J676/Index!J675)</f>
        <v>-1.8422109302760694E-2</v>
      </c>
      <c r="K675" s="28">
        <f>LN(Index!K676/Index!K675)</f>
        <v>1.5266444630250292E-2</v>
      </c>
      <c r="L675" s="28">
        <f>LN(Index!L676/Index!L675)</f>
        <v>-3.8775314678881753E-3</v>
      </c>
      <c r="M675" s="28">
        <f>LN(Index!M676/Index!M675)</f>
        <v>-1.4977684275411299E-2</v>
      </c>
      <c r="N675" s="28">
        <f>LN(Index!N676/Index!N675)</f>
        <v>-7.6367802760086284E-2</v>
      </c>
    </row>
    <row r="676" spans="1:14">
      <c r="A676" s="15">
        <v>42349</v>
      </c>
      <c r="B676" s="28">
        <f>LN(Index!B677/Index!B676)</f>
        <v>-3.4180743957136502E-2</v>
      </c>
      <c r="C676" s="28">
        <f>LN(Index!C677/Index!C676)</f>
        <v>8.0113591631910189E-3</v>
      </c>
      <c r="D676" s="28">
        <f>LN(Index!D677/Index!D676)</f>
        <v>-2.1090506502380237E-2</v>
      </c>
      <c r="E676" s="28">
        <f>LN(Index!E677/Index!E676)</f>
        <v>-1.059157292839252E-2</v>
      </c>
      <c r="F676" s="28">
        <f>LN(Index!F677/Index!F676)</f>
        <v>-4.4290530214375248E-2</v>
      </c>
      <c r="G676" s="28">
        <f>LN(Index!G677/Index!G676)</f>
        <v>-2.348245840216167E-2</v>
      </c>
      <c r="H676" s="28">
        <f>LN(Index!H677/Index!H676)</f>
        <v>-1.4064102746791741E-2</v>
      </c>
      <c r="I676" s="28">
        <f>LN(Index!I677/Index!I676)</f>
        <v>-1.472013941846329E-2</v>
      </c>
      <c r="J676" s="28">
        <f>LN(Index!J677/Index!J676)</f>
        <v>-2.4353033128202167E-2</v>
      </c>
      <c r="K676" s="28">
        <f>LN(Index!K677/Index!K676)</f>
        <v>-8.1285471498264206E-2</v>
      </c>
      <c r="L676" s="28">
        <f>LN(Index!L677/Index!L676)</f>
        <v>-3.6811742190962934E-2</v>
      </c>
      <c r="M676" s="28">
        <f>LN(Index!M677/Index!M676)</f>
        <v>-1.0835714470330222E-2</v>
      </c>
      <c r="N676" s="28">
        <f>LN(Index!N677/Index!N676)</f>
        <v>-4.8542681284788995E-2</v>
      </c>
    </row>
    <row r="677" spans="1:14">
      <c r="A677" s="15">
        <v>42356</v>
      </c>
      <c r="B677" s="28">
        <f>LN(Index!B678/Index!B677)</f>
        <v>-2.4942089847513173E-3</v>
      </c>
      <c r="C677" s="28">
        <f>LN(Index!C678/Index!C677)</f>
        <v>-5.3072934663178145E-3</v>
      </c>
      <c r="D677" s="28">
        <f>LN(Index!D678/Index!D677)</f>
        <v>1.0894464691248744E-2</v>
      </c>
      <c r="E677" s="28">
        <f>LN(Index!E678/Index!E677)</f>
        <v>-4.3916206924668466E-3</v>
      </c>
      <c r="F677" s="28">
        <f>LN(Index!F678/Index!F677)</f>
        <v>-1.0189498176949848E-3</v>
      </c>
      <c r="G677" s="28">
        <f>LN(Index!G678/Index!G677)</f>
        <v>-6.8953986195168732E-3</v>
      </c>
      <c r="H677" s="28">
        <f>LN(Index!H678/Index!H677)</f>
        <v>8.8100276665012776E-3</v>
      </c>
      <c r="I677" s="28">
        <f>LN(Index!I678/Index!I677)</f>
        <v>1.633648443756474E-2</v>
      </c>
      <c r="J677" s="28">
        <f>LN(Index!J678/Index!J677)</f>
        <v>6.3573459993195251E-3</v>
      </c>
      <c r="K677" s="28">
        <f>LN(Index!K678/Index!K677)</f>
        <v>-4.8543106721989993E-3</v>
      </c>
      <c r="L677" s="28">
        <f>LN(Index!L678/Index!L677)</f>
        <v>4.764512347739564E-3</v>
      </c>
      <c r="M677" s="28">
        <f>LN(Index!M678/Index!M677)</f>
        <v>4.6058128505620894E-3</v>
      </c>
      <c r="N677" s="28">
        <f>LN(Index!N678/Index!N677)</f>
        <v>-1.6463222272468755E-2</v>
      </c>
    </row>
    <row r="678" spans="1:14">
      <c r="A678" s="15">
        <v>42363</v>
      </c>
      <c r="B678" s="28">
        <f>LN(Index!B679/Index!B678)</f>
        <v>2.3919738562096147E-2</v>
      </c>
      <c r="C678" s="28">
        <f>LN(Index!C679/Index!C678)</f>
        <v>-3.4422952505257492E-4</v>
      </c>
      <c r="D678" s="28">
        <f>LN(Index!D679/Index!D678)</f>
        <v>1.6253633617848994E-2</v>
      </c>
      <c r="E678" s="28">
        <f>LN(Index!E679/Index!E678)</f>
        <v>1.5400730870059423E-2</v>
      </c>
      <c r="F678" s="28">
        <f>LN(Index!F679/Index!F678)</f>
        <v>3.9055042276980499E-2</v>
      </c>
      <c r="G678" s="28">
        <f>LN(Index!G679/Index!G678)</f>
        <v>1.9594324913206784E-2</v>
      </c>
      <c r="H678" s="28">
        <f>LN(Index!H679/Index!H678)</f>
        <v>1.8781021855610144E-2</v>
      </c>
      <c r="I678" s="28">
        <f>LN(Index!I679/Index!I678)</f>
        <v>-1.1353231055141154E-3</v>
      </c>
      <c r="J678" s="28">
        <f>LN(Index!J679/Index!J678)</f>
        <v>1.621987563146185E-2</v>
      </c>
      <c r="K678" s="28">
        <f>LN(Index!K679/Index!K678)</f>
        <v>3.2460652652230484E-2</v>
      </c>
      <c r="L678" s="28">
        <f>LN(Index!L679/Index!L678)</f>
        <v>3.0425848311144303E-2</v>
      </c>
      <c r="M678" s="28">
        <f>LN(Index!M679/Index!M678)</f>
        <v>2.1241638430677803E-2</v>
      </c>
      <c r="N678" s="28">
        <f>LN(Index!N679/Index!N678)</f>
        <v>4.3534006062533159E-2</v>
      </c>
    </row>
    <row r="679" spans="1:14">
      <c r="A679" s="15">
        <v>42370</v>
      </c>
      <c r="B679" s="28">
        <f>LN(Index!B680/Index!B679)</f>
        <v>-6.3008100924988684E-3</v>
      </c>
      <c r="C679" s="28">
        <f>LN(Index!C680/Index!C679)</f>
        <v>-1.2985466055044077E-3</v>
      </c>
      <c r="D679" s="28">
        <f>LN(Index!D680/Index!D679)</f>
        <v>-3.1032240550947269E-3</v>
      </c>
      <c r="E679" s="28">
        <f>LN(Index!E680/Index!E679)</f>
        <v>-7.6211286076023855E-3</v>
      </c>
      <c r="F679" s="28">
        <f>LN(Index!F680/Index!F679)</f>
        <v>-1.2647458192400639E-2</v>
      </c>
      <c r="G679" s="28">
        <f>LN(Index!G680/Index!G679)</f>
        <v>1.3215711203873624E-2</v>
      </c>
      <c r="H679" s="28">
        <f>LN(Index!H680/Index!H679)</f>
        <v>-9.1000600737568844E-3</v>
      </c>
      <c r="I679" s="28">
        <f>LN(Index!I680/Index!I679)</f>
        <v>1.2559001756573943E-3</v>
      </c>
      <c r="J679" s="28">
        <f>LN(Index!J680/Index!J679)</f>
        <v>-1.0283048356340189E-2</v>
      </c>
      <c r="K679" s="28">
        <f>LN(Index!K680/Index!K679)</f>
        <v>-3.8398813206986086E-3</v>
      </c>
      <c r="L679" s="28">
        <f>LN(Index!L680/Index!L679)</f>
        <v>-6.6388602738416827E-3</v>
      </c>
      <c r="M679" s="28">
        <f>LN(Index!M680/Index!M679)</f>
        <v>1.7275894978546391E-3</v>
      </c>
      <c r="N679" s="28">
        <f>LN(Index!N680/Index!N679)</f>
        <v>-9.9169613424615593E-3</v>
      </c>
    </row>
    <row r="680" spans="1:14">
      <c r="A680" s="15">
        <v>42377</v>
      </c>
      <c r="B680" s="28">
        <f>LN(Index!B681/Index!B680)</f>
        <v>-6.2869229165323573E-2</v>
      </c>
      <c r="C680" s="28">
        <f>LN(Index!C681/Index!C680)</f>
        <v>8.213327390471075E-3</v>
      </c>
      <c r="D680" s="28">
        <f>LN(Index!D681/Index!D680)</f>
        <v>-3.9872034103627406E-2</v>
      </c>
      <c r="E680" s="28">
        <f>LN(Index!E681/Index!E680)</f>
        <v>-2.3372218932561323E-2</v>
      </c>
      <c r="F680" s="28">
        <f>LN(Index!F681/Index!F680)</f>
        <v>-3.4814098358455815E-2</v>
      </c>
      <c r="G680" s="28">
        <f>LN(Index!G681/Index!G680)</f>
        <v>-7.0206915380804119E-2</v>
      </c>
      <c r="H680" s="28">
        <f>LN(Index!H681/Index!H680)</f>
        <v>-9.230379204974281E-3</v>
      </c>
      <c r="I680" s="28">
        <f>LN(Index!I681/Index!I680)</f>
        <v>-5.5907108151592722E-2</v>
      </c>
      <c r="J680" s="28">
        <f>LN(Index!J681/Index!J680)</f>
        <v>-2.7991915675785267E-2</v>
      </c>
      <c r="K680" s="28">
        <f>LN(Index!K681/Index!K680)</f>
        <v>-8.381135687342095E-2</v>
      </c>
      <c r="L680" s="28">
        <f>LN(Index!L681/Index!L680)</f>
        <v>-3.2117173550318172E-2</v>
      </c>
      <c r="M680" s="28">
        <f>LN(Index!M681/Index!M680)</f>
        <v>-7.1721711211589406E-2</v>
      </c>
      <c r="N680" s="28">
        <f>LN(Index!N681/Index!N680)</f>
        <v>-4.7739022502848429E-2</v>
      </c>
    </row>
    <row r="681" spans="1:14">
      <c r="A681" s="15">
        <v>42384</v>
      </c>
      <c r="B681" s="28">
        <f>LN(Index!B682/Index!B681)</f>
        <v>-2.6259671983412551E-2</v>
      </c>
      <c r="C681" s="28">
        <f>LN(Index!C682/Index!C681)</f>
        <v>3.1249615115359021E-3</v>
      </c>
      <c r="D681" s="28">
        <f>LN(Index!D682/Index!D681)</f>
        <v>-2.6610463868465058E-2</v>
      </c>
      <c r="E681" s="28">
        <f>LN(Index!E682/Index!E681)</f>
        <v>-2.4494665412218258E-2</v>
      </c>
      <c r="F681" s="28">
        <f>LN(Index!F682/Index!F681)</f>
        <v>-3.8236177509579611E-2</v>
      </c>
      <c r="G681" s="28">
        <f>LN(Index!G682/Index!G681)</f>
        <v>-2.6968015690582759E-2</v>
      </c>
      <c r="H681" s="28">
        <f>LN(Index!H682/Index!H681)</f>
        <v>-6.5619579309236058E-3</v>
      </c>
      <c r="I681" s="28">
        <f>LN(Index!I682/Index!I681)</f>
        <v>-3.6381733799337068E-2</v>
      </c>
      <c r="J681" s="28">
        <f>LN(Index!J682/Index!J681)</f>
        <v>-1.8528560528707778E-2</v>
      </c>
      <c r="K681" s="28">
        <f>LN(Index!K682/Index!K681)</f>
        <v>-3.3760156101127307E-2</v>
      </c>
      <c r="L681" s="28">
        <f>LN(Index!L682/Index!L681)</f>
        <v>-5.59567161193932E-2</v>
      </c>
      <c r="M681" s="28">
        <f>LN(Index!M682/Index!M681)</f>
        <v>-3.1794383065849412E-2</v>
      </c>
      <c r="N681" s="28">
        <f>LN(Index!N682/Index!N681)</f>
        <v>-4.2055725112790758E-2</v>
      </c>
    </row>
    <row r="682" spans="1:14">
      <c r="A682" s="15">
        <v>42391</v>
      </c>
      <c r="B682" s="28">
        <f>LN(Index!B683/Index!B682)</f>
        <v>1.0327812146293466E-2</v>
      </c>
      <c r="C682" s="28">
        <f>LN(Index!C683/Index!C682)</f>
        <v>-3.4669362876527808E-3</v>
      </c>
      <c r="D682" s="28">
        <f>LN(Index!D683/Index!D682)</f>
        <v>-6.7582791488756105E-4</v>
      </c>
      <c r="E682" s="28">
        <f>LN(Index!E683/Index!E682)</f>
        <v>1.1056459328172806E-2</v>
      </c>
      <c r="F682" s="28">
        <f>LN(Index!F683/Index!F682)</f>
        <v>5.6118401983315171E-2</v>
      </c>
      <c r="G682" s="28">
        <f>LN(Index!G683/Index!G682)</f>
        <v>-5.1056040357002836E-3</v>
      </c>
      <c r="H682" s="28">
        <f>LN(Index!H683/Index!H682)</f>
        <v>1.0015342834348356E-2</v>
      </c>
      <c r="I682" s="28">
        <f>LN(Index!I683/Index!I682)</f>
        <v>1.98098952741129E-2</v>
      </c>
      <c r="J682" s="28">
        <f>LN(Index!J683/Index!J682)</f>
        <v>2.2502577508745812E-2</v>
      </c>
      <c r="K682" s="28">
        <f>LN(Index!K683/Index!K682)</f>
        <v>-1.625921648506248E-2</v>
      </c>
      <c r="L682" s="28">
        <f>LN(Index!L683/Index!L682)</f>
        <v>3.2486738334913154E-2</v>
      </c>
      <c r="M682" s="28">
        <f>LN(Index!M683/Index!M682)</f>
        <v>3.7612634263893344E-2</v>
      </c>
      <c r="N682" s="28">
        <f>LN(Index!N683/Index!N682)</f>
        <v>5.8251496783969736E-2</v>
      </c>
    </row>
    <row r="683" spans="1:14">
      <c r="A683" s="15">
        <v>42398</v>
      </c>
      <c r="B683" s="28">
        <f>LN(Index!B684/Index!B683)</f>
        <v>1.6386456230586547E-2</v>
      </c>
      <c r="C683" s="28">
        <f>LN(Index!C684/Index!C683)</f>
        <v>3.6504537944272307E-3</v>
      </c>
      <c r="D683" s="28">
        <f>LN(Index!D684/Index!D683)</f>
        <v>1.9029061117699229E-2</v>
      </c>
      <c r="E683" s="28">
        <f>LN(Index!E684/Index!E683)</f>
        <v>2.7568405573627237E-2</v>
      </c>
      <c r="F683" s="28">
        <f>LN(Index!F684/Index!F683)</f>
        <v>3.1879687017389122E-2</v>
      </c>
      <c r="G683" s="28">
        <f>LN(Index!G684/Index!G683)</f>
        <v>1.6692801789981823E-2</v>
      </c>
      <c r="H683" s="28">
        <f>LN(Index!H684/Index!H683)</f>
        <v>3.4339513563625815E-2</v>
      </c>
      <c r="I683" s="28">
        <f>LN(Index!I684/Index!I683)</f>
        <v>2.2561115773760035E-2</v>
      </c>
      <c r="J683" s="28">
        <f>LN(Index!J684/Index!J683)</f>
        <v>2.8710666659915767E-2</v>
      </c>
      <c r="K683" s="28">
        <f>LN(Index!K684/Index!K683)</f>
        <v>1.1012373258130865E-2</v>
      </c>
      <c r="L683" s="28">
        <f>LN(Index!L684/Index!L683)</f>
        <v>3.2472540224121597E-2</v>
      </c>
      <c r="M683" s="28">
        <f>LN(Index!M684/Index!M683)</f>
        <v>2.268790702345742E-2</v>
      </c>
      <c r="N683" s="28">
        <f>LN(Index!N684/Index!N683)</f>
        <v>2.9111206090725286E-2</v>
      </c>
    </row>
    <row r="684" spans="1:14">
      <c r="A684" s="15">
        <v>42405</v>
      </c>
      <c r="B684" s="28">
        <f>LN(Index!B685/Index!B684)</f>
        <v>-2.4829129865260285E-2</v>
      </c>
      <c r="C684" s="28">
        <f>LN(Index!C685/Index!C684)</f>
        <v>9.4188942366725936E-3</v>
      </c>
      <c r="D684" s="28">
        <f>LN(Index!D685/Index!D684)</f>
        <v>-1.8465839475100099E-2</v>
      </c>
      <c r="E684" s="28">
        <f>LN(Index!E685/Index!E684)</f>
        <v>-1.1390995947802368E-4</v>
      </c>
      <c r="F684" s="28">
        <f>LN(Index!F685/Index!F684)</f>
        <v>-1.0075170009665147E-2</v>
      </c>
      <c r="G684" s="28">
        <f>LN(Index!G685/Index!G684)</f>
        <v>3.5948757172139323E-3</v>
      </c>
      <c r="H684" s="28">
        <f>LN(Index!H685/Index!H684)</f>
        <v>1.0437751744268114E-2</v>
      </c>
      <c r="I684" s="28">
        <f>LN(Index!I685/Index!I684)</f>
        <v>-7.0704974804565819E-3</v>
      </c>
      <c r="J684" s="28">
        <f>LN(Index!J685/Index!J684)</f>
        <v>-8.8085850801852255E-3</v>
      </c>
      <c r="K684" s="28">
        <f>LN(Index!K685/Index!K684)</f>
        <v>-2.881871143916408E-2</v>
      </c>
      <c r="L684" s="28">
        <f>LN(Index!L685/Index!L684)</f>
        <v>-4.0116396067198697E-2</v>
      </c>
      <c r="M684" s="28">
        <f>LN(Index!M685/Index!M684)</f>
        <v>1.2307558219570124E-2</v>
      </c>
      <c r="N684" s="28">
        <f>LN(Index!N685/Index!N684)</f>
        <v>-6.5158324331297153E-3</v>
      </c>
    </row>
    <row r="685" spans="1:14">
      <c r="A685" s="15">
        <v>42412</v>
      </c>
      <c r="B685" s="28">
        <f>LN(Index!B686/Index!B685)</f>
        <v>-2.4862424956319039E-2</v>
      </c>
      <c r="C685" s="28">
        <f>LN(Index!C686/Index!C685)</f>
        <v>5.5419020512534733E-3</v>
      </c>
      <c r="D685" s="28">
        <f>LN(Index!D686/Index!D685)</f>
        <v>-4.3029760172636856E-2</v>
      </c>
      <c r="E685" s="28">
        <f>LN(Index!E686/Index!E685)</f>
        <v>-3.7317014852445041E-2</v>
      </c>
      <c r="F685" s="28">
        <f>LN(Index!F686/Index!F685)</f>
        <v>-3.7309127140487806E-2</v>
      </c>
      <c r="G685" s="28">
        <f>LN(Index!G686/Index!G685)</f>
        <v>-2.7178054016158026E-2</v>
      </c>
      <c r="H685" s="28">
        <f>LN(Index!H686/Index!H685)</f>
        <v>-2.6912901641271463E-2</v>
      </c>
      <c r="I685" s="28">
        <f>LN(Index!I686/Index!I685)</f>
        <v>-3.0040478371574204E-2</v>
      </c>
      <c r="J685" s="28">
        <f>LN(Index!J686/Index!J685)</f>
        <v>-1.3768638153026282E-2</v>
      </c>
      <c r="K685" s="28">
        <f>LN(Index!K686/Index!K685)</f>
        <v>-4.2991706739604237E-2</v>
      </c>
      <c r="L685" s="28">
        <f>LN(Index!L686/Index!L685)</f>
        <v>-3.2329228446888701E-2</v>
      </c>
      <c r="M685" s="28">
        <f>LN(Index!M686/Index!M685)</f>
        <v>-4.193837728358138E-2</v>
      </c>
      <c r="N685" s="28">
        <f>LN(Index!N686/Index!N685)</f>
        <v>-4.4925617139314422E-2</v>
      </c>
    </row>
    <row r="686" spans="1:14">
      <c r="A686" s="15">
        <v>42419</v>
      </c>
      <c r="B686" s="28">
        <f>LN(Index!B687/Index!B686)</f>
        <v>3.420267130260414E-2</v>
      </c>
      <c r="C686" s="28">
        <f>LN(Index!C687/Index!C686)</f>
        <v>9.5507292916979661E-4</v>
      </c>
      <c r="D686" s="28">
        <f>LN(Index!D687/Index!D686)</f>
        <v>4.870058753095953E-2</v>
      </c>
      <c r="E686" s="28">
        <f>LN(Index!E687/Index!E686)</f>
        <v>1.8155428084689115E-2</v>
      </c>
      <c r="F686" s="28">
        <f>LN(Index!F687/Index!F686)</f>
        <v>3.5105086615375591E-2</v>
      </c>
      <c r="G686" s="28">
        <f>LN(Index!G687/Index!G686)</f>
        <v>4.8775030759693985E-2</v>
      </c>
      <c r="H686" s="28">
        <f>LN(Index!H687/Index!H686)</f>
        <v>1.5283608470759531E-2</v>
      </c>
      <c r="I686" s="28">
        <f>LN(Index!I687/Index!I686)</f>
        <v>5.6447188061223091E-2</v>
      </c>
      <c r="J686" s="28">
        <f>LN(Index!J687/Index!J686)</f>
        <v>1.9112040319076193E-2</v>
      </c>
      <c r="K686" s="28">
        <f>LN(Index!K687/Index!K686)</f>
        <v>9.5823292118080911E-2</v>
      </c>
      <c r="L686" s="28">
        <f>LN(Index!L687/Index!L686)</f>
        <v>1.8632472586241424E-2</v>
      </c>
      <c r="M686" s="28">
        <f>LN(Index!M687/Index!M686)</f>
        <v>1.8765931126949013E-2</v>
      </c>
      <c r="N686" s="28">
        <f>LN(Index!N687/Index!N686)</f>
        <v>4.7271336099034722E-2</v>
      </c>
    </row>
    <row r="687" spans="1:14">
      <c r="A687" s="15">
        <v>42426</v>
      </c>
      <c r="B687" s="28">
        <f>LN(Index!B688/Index!B687)</f>
        <v>1.0541253385479583E-2</v>
      </c>
      <c r="C687" s="28">
        <f>LN(Index!C688/Index!C687)</f>
        <v>-1.6009092450345397E-3</v>
      </c>
      <c r="D687" s="28">
        <f>LN(Index!D688/Index!D687)</f>
        <v>1.290555821461296E-2</v>
      </c>
      <c r="E687" s="28">
        <f>LN(Index!E688/Index!E687)</f>
        <v>-1.2990967316775417E-2</v>
      </c>
      <c r="F687" s="28">
        <f>LN(Index!F688/Index!F687)</f>
        <v>2.2549577259129979E-2</v>
      </c>
      <c r="G687" s="28">
        <f>LN(Index!G688/Index!G687)</f>
        <v>7.1299619988827992E-3</v>
      </c>
      <c r="H687" s="28">
        <f>LN(Index!H688/Index!H687)</f>
        <v>-4.6898506936673716E-3</v>
      </c>
      <c r="I687" s="28">
        <f>LN(Index!I688/Index!I687)</f>
        <v>-2.0257189505998819E-3</v>
      </c>
      <c r="J687" s="28">
        <f>LN(Index!J688/Index!J687)</f>
        <v>-2.7751808730626167E-2</v>
      </c>
      <c r="K687" s="28">
        <f>LN(Index!K688/Index!K687)</f>
        <v>-2.2310095397249882E-3</v>
      </c>
      <c r="L687" s="28">
        <f>LN(Index!L688/Index!L687)</f>
        <v>2.4492087587946462E-2</v>
      </c>
      <c r="M687" s="28">
        <f>LN(Index!M688/Index!M687)</f>
        <v>1.0458591520490336E-2</v>
      </c>
      <c r="N687" s="28">
        <f>LN(Index!N688/Index!N687)</f>
        <v>2.6997065381571074E-2</v>
      </c>
    </row>
    <row r="688" spans="1:14">
      <c r="A688" s="15">
        <v>42433</v>
      </c>
      <c r="B688" s="28">
        <f>LN(Index!B689/Index!B688)</f>
        <v>3.3881394548731784E-2</v>
      </c>
      <c r="C688" s="28">
        <f>LN(Index!C689/Index!C688)</f>
        <v>5.6835797747810011E-4</v>
      </c>
      <c r="D688" s="28">
        <f>LN(Index!D689/Index!D688)</f>
        <v>3.9660650548997749E-2</v>
      </c>
      <c r="E688" s="28">
        <f>LN(Index!E689/Index!E688)</f>
        <v>1.4464257608671541E-2</v>
      </c>
      <c r="F688" s="28">
        <f>LN(Index!F689/Index!F688)</f>
        <v>3.8674373003021602E-2</v>
      </c>
      <c r="G688" s="28">
        <f>LN(Index!G689/Index!G688)</f>
        <v>3.8598140425574017E-2</v>
      </c>
      <c r="H688" s="28">
        <f>LN(Index!H689/Index!H688)</f>
        <v>5.7217833656462826E-3</v>
      </c>
      <c r="I688" s="28">
        <f>LN(Index!I689/Index!I688)</f>
        <v>2.6705755917296643E-2</v>
      </c>
      <c r="J688" s="28">
        <f>LN(Index!J689/Index!J688)</f>
        <v>3.1200947053633275E-2</v>
      </c>
      <c r="K688" s="28">
        <f>LN(Index!K689/Index!K688)</f>
        <v>3.8993308375735787E-2</v>
      </c>
      <c r="L688" s="28">
        <f>LN(Index!L689/Index!L688)</f>
        <v>3.9381907222921717E-2</v>
      </c>
      <c r="M688" s="28">
        <f>LN(Index!M689/Index!M688)</f>
        <v>3.5106285111500726E-2</v>
      </c>
      <c r="N688" s="28">
        <f>LN(Index!N689/Index!N688)</f>
        <v>4.4404014019024315E-2</v>
      </c>
    </row>
    <row r="689" spans="1:14">
      <c r="A689" s="15">
        <v>42440</v>
      </c>
      <c r="B689" s="28">
        <f>LN(Index!B690/Index!B689)</f>
        <v>1.1211510636777739E-2</v>
      </c>
      <c r="C689" s="28">
        <f>LN(Index!C690/Index!C689)</f>
        <v>1.6000003413334314E-3</v>
      </c>
      <c r="D689" s="28">
        <f>LN(Index!D690/Index!D689)</f>
        <v>1.4764307212906029E-2</v>
      </c>
      <c r="E689" s="28">
        <f>LN(Index!E690/Index!E689)</f>
        <v>2.9237374026199529E-2</v>
      </c>
      <c r="F689" s="28">
        <f>LN(Index!F690/Index!F689)</f>
        <v>7.6317827376434057E-3</v>
      </c>
      <c r="G689" s="28">
        <f>LN(Index!G690/Index!G689)</f>
        <v>-7.9731069486444839E-4</v>
      </c>
      <c r="H689" s="28">
        <f>LN(Index!H690/Index!H689)</f>
        <v>2.192881243161764E-2</v>
      </c>
      <c r="I689" s="28">
        <f>LN(Index!I690/Index!I689)</f>
        <v>2.7760770850411499E-2</v>
      </c>
      <c r="J689" s="28">
        <f>LN(Index!J690/Index!J689)</f>
        <v>2.2309346159171961E-3</v>
      </c>
      <c r="K689" s="28">
        <f>LN(Index!K690/Index!K689)</f>
        <v>-1.288430558514682E-2</v>
      </c>
      <c r="L689" s="28">
        <f>LN(Index!L690/Index!L689)</f>
        <v>6.7209860464246037E-3</v>
      </c>
      <c r="M689" s="28">
        <f>LN(Index!M690/Index!M689)</f>
        <v>3.1674175702706801E-2</v>
      </c>
      <c r="N689" s="28">
        <f>LN(Index!N690/Index!N689)</f>
        <v>4.553953131518032E-3</v>
      </c>
    </row>
    <row r="690" spans="1:14">
      <c r="A690" s="15">
        <v>42447</v>
      </c>
      <c r="B690" s="28">
        <f>LN(Index!B691/Index!B690)</f>
        <v>1.1859272051715265E-2</v>
      </c>
      <c r="C690" s="28">
        <f>LN(Index!C691/Index!C690)</f>
        <v>1.2275752878394799E-2</v>
      </c>
      <c r="D690" s="28">
        <f>LN(Index!D691/Index!D690)</f>
        <v>2.4252074104764376E-2</v>
      </c>
      <c r="E690" s="28">
        <f>LN(Index!E691/Index!E690)</f>
        <v>2.5310727280431985E-2</v>
      </c>
      <c r="F690" s="28">
        <f>LN(Index!F691/Index!F690)</f>
        <v>1.959374482696704E-2</v>
      </c>
      <c r="G690" s="28">
        <f>LN(Index!G691/Index!G690)</f>
        <v>5.6859217064906828E-3</v>
      </c>
      <c r="H690" s="28">
        <f>LN(Index!H691/Index!H690)</f>
        <v>1.6035233471149359E-2</v>
      </c>
      <c r="I690" s="28">
        <f>LN(Index!I691/Index!I690)</f>
        <v>2.4913703618900253E-2</v>
      </c>
      <c r="J690" s="28">
        <f>LN(Index!J691/Index!J690)</f>
        <v>1.4617685181259931E-2</v>
      </c>
      <c r="K690" s="28">
        <f>LN(Index!K691/Index!K690)</f>
        <v>2.395940351402729E-3</v>
      </c>
      <c r="L690" s="28">
        <f>LN(Index!L691/Index!L690)</f>
        <v>2.2138025507962095E-2</v>
      </c>
      <c r="M690" s="28">
        <f>LN(Index!M691/Index!M690)</f>
        <v>1.030974817718905E-2</v>
      </c>
      <c r="N690" s="28">
        <f>LN(Index!N691/Index!N690)</f>
        <v>2.2488725734568372E-2</v>
      </c>
    </row>
    <row r="691" spans="1:14">
      <c r="A691" s="15">
        <v>42454</v>
      </c>
      <c r="B691" s="28">
        <f>LN(Index!B692/Index!B691)</f>
        <v>-1.3373174392626124E-2</v>
      </c>
      <c r="C691" s="28">
        <f>LN(Index!C692/Index!C691)</f>
        <v>-3.5979063806096598E-3</v>
      </c>
      <c r="D691" s="28">
        <f>LN(Index!D692/Index!D691)</f>
        <v>-1.4874563343436762E-2</v>
      </c>
      <c r="E691" s="28">
        <f>LN(Index!E692/Index!E691)</f>
        <v>-1.5595269758852125E-2</v>
      </c>
      <c r="F691" s="28">
        <f>LN(Index!F692/Index!F691)</f>
        <v>-1.0503222268391628E-2</v>
      </c>
      <c r="G691" s="28">
        <f>LN(Index!G692/Index!G691)</f>
        <v>5.7529762174402552E-4</v>
      </c>
      <c r="H691" s="28">
        <f>LN(Index!H692/Index!H691)</f>
        <v>3.5675622090016678E-3</v>
      </c>
      <c r="I691" s="28">
        <f>LN(Index!I692/Index!I691)</f>
        <v>-9.2664843533040303E-3</v>
      </c>
      <c r="J691" s="28">
        <f>LN(Index!J692/Index!J691)</f>
        <v>-1.7153515950305277E-2</v>
      </c>
      <c r="K691" s="28">
        <f>LN(Index!K692/Index!K691)</f>
        <v>-1.4486259418999897E-2</v>
      </c>
      <c r="L691" s="28">
        <f>LN(Index!L692/Index!L691)</f>
        <v>-1.0978985410782132E-2</v>
      </c>
      <c r="M691" s="28">
        <f>LN(Index!M692/Index!M691)</f>
        <v>-9.4280944476592844E-3</v>
      </c>
      <c r="N691" s="28">
        <f>LN(Index!N692/Index!N691)</f>
        <v>-1.7748691269370547E-2</v>
      </c>
    </row>
    <row r="692" spans="1:14">
      <c r="A692" s="15">
        <v>42461</v>
      </c>
      <c r="B692" s="28">
        <f>LN(Index!B693/Index!B692)</f>
        <v>1.0067949681169532E-2</v>
      </c>
      <c r="C692" s="28">
        <f>LN(Index!C693/Index!C692)</f>
        <v>7.23367306949722E-3</v>
      </c>
      <c r="D692" s="28">
        <f>LN(Index!D693/Index!D692)</f>
        <v>1.6966988001324797E-2</v>
      </c>
      <c r="E692" s="28">
        <f>LN(Index!E693/Index!E692)</f>
        <v>7.7827691642869982E-3</v>
      </c>
      <c r="F692" s="28">
        <f>LN(Index!F693/Index!F692)</f>
        <v>1.3697987033602756E-2</v>
      </c>
      <c r="G692" s="28">
        <f>LN(Index!G693/Index!G692)</f>
        <v>4.5134348319003145E-3</v>
      </c>
      <c r="H692" s="28">
        <f>LN(Index!H693/Index!H692)</f>
        <v>1.0914389262553826E-2</v>
      </c>
      <c r="I692" s="28">
        <f>LN(Index!I693/Index!I692)</f>
        <v>1.0005614739756584E-2</v>
      </c>
      <c r="J692" s="28">
        <f>LN(Index!J693/Index!J692)</f>
        <v>1.4831654512611956E-2</v>
      </c>
      <c r="K692" s="28">
        <f>LN(Index!K693/Index!K692)</f>
        <v>4.5683711682273677E-2</v>
      </c>
      <c r="L692" s="28">
        <f>LN(Index!L693/Index!L692)</f>
        <v>3.0287574764040755E-2</v>
      </c>
      <c r="M692" s="28">
        <f>LN(Index!M693/Index!M692)</f>
        <v>1.3779936631242608E-2</v>
      </c>
      <c r="N692" s="28">
        <f>LN(Index!N693/Index!N692)</f>
        <v>3.6451275521629067E-3</v>
      </c>
    </row>
    <row r="693" spans="1:14">
      <c r="A693" s="15">
        <v>42468</v>
      </c>
      <c r="B693" s="28">
        <f>LN(Index!B694/Index!B693)</f>
        <v>-4.8528059933030674E-3</v>
      </c>
      <c r="C693" s="28">
        <f>LN(Index!C694/Index!C693)</f>
        <v>7.6603542376842805E-3</v>
      </c>
      <c r="D693" s="28">
        <f>LN(Index!D694/Index!D693)</f>
        <v>4.1717602220415952E-3</v>
      </c>
      <c r="E693" s="28">
        <f>LN(Index!E694/Index!E693)</f>
        <v>1.9080840532893929E-2</v>
      </c>
      <c r="F693" s="28">
        <f>LN(Index!F694/Index!F693)</f>
        <v>6.3500336537589026E-3</v>
      </c>
      <c r="G693" s="28">
        <f>LN(Index!G694/Index!G693)</f>
        <v>4.5296914544747224E-3</v>
      </c>
      <c r="H693" s="28">
        <f>LN(Index!H694/Index!H693)</f>
        <v>-1.0374956487353064E-3</v>
      </c>
      <c r="I693" s="28">
        <f>LN(Index!I694/Index!I693)</f>
        <v>2.4091627778522331E-2</v>
      </c>
      <c r="J693" s="28">
        <f>LN(Index!J694/Index!J693)</f>
        <v>2.1374104748907555E-2</v>
      </c>
      <c r="K693" s="28">
        <f>LN(Index!K694/Index!K693)</f>
        <v>3.1256749607181701E-3</v>
      </c>
      <c r="L693" s="28">
        <f>LN(Index!L694/Index!L693)</f>
        <v>7.9426357074238365E-3</v>
      </c>
      <c r="M693" s="28">
        <f>LN(Index!M694/Index!M693)</f>
        <v>1.272084463480103E-3</v>
      </c>
      <c r="N693" s="28">
        <f>LN(Index!N694/Index!N693)</f>
        <v>1.459152062996606E-2</v>
      </c>
    </row>
    <row r="694" spans="1:14">
      <c r="A694" s="15">
        <v>42475</v>
      </c>
      <c r="B694" s="28">
        <f>LN(Index!B695/Index!B694)</f>
        <v>2.3176225905407955E-2</v>
      </c>
      <c r="C694" s="28">
        <f>LN(Index!C695/Index!C694)</f>
        <v>-3.7784803401793671E-4</v>
      </c>
      <c r="D694" s="28">
        <f>LN(Index!D695/Index!D694)</f>
        <v>7.9895246996571911E-3</v>
      </c>
      <c r="E694" s="28">
        <f>LN(Index!E695/Index!E694)</f>
        <v>1.4563245015733785E-3</v>
      </c>
      <c r="F694" s="28">
        <f>LN(Index!F695/Index!F694)</f>
        <v>1.0406145718393661E-2</v>
      </c>
      <c r="G694" s="28">
        <f>LN(Index!G695/Index!G694)</f>
        <v>3.7447730124573503E-2</v>
      </c>
      <c r="H694" s="28">
        <f>LN(Index!H695/Index!H694)</f>
        <v>2.5471290635421641E-3</v>
      </c>
      <c r="I694" s="28">
        <f>LN(Index!I695/Index!I694)</f>
        <v>8.495767057198976E-3</v>
      </c>
      <c r="J694" s="28">
        <f>LN(Index!J695/Index!J694)</f>
        <v>1.7580300851885788E-2</v>
      </c>
      <c r="K694" s="28">
        <f>LN(Index!K695/Index!K694)</f>
        <v>3.5620280209849975E-2</v>
      </c>
      <c r="L694" s="28">
        <f>LN(Index!L695/Index!L694)</f>
        <v>-1.9829856548788361E-3</v>
      </c>
      <c r="M694" s="28">
        <f>LN(Index!M695/Index!M694)</f>
        <v>8.5787144561677645E-3</v>
      </c>
      <c r="N694" s="28">
        <f>LN(Index!N695/Index!N694)</f>
        <v>1.9856318044672853E-2</v>
      </c>
    </row>
    <row r="695" spans="1:14">
      <c r="A695" s="15">
        <v>42482</v>
      </c>
      <c r="B695" s="28">
        <f>LN(Index!B696/Index!B695)</f>
        <v>9.354660905944702E-3</v>
      </c>
      <c r="C695" s="28">
        <f>LN(Index!C696/Index!C695)</f>
        <v>-6.572152772978992E-3</v>
      </c>
      <c r="D695" s="28">
        <f>LN(Index!D696/Index!D695)</f>
        <v>-7.3804803728575201E-3</v>
      </c>
      <c r="E695" s="28">
        <f>LN(Index!E696/Index!E695)</f>
        <v>-2.2856903820135527E-2</v>
      </c>
      <c r="F695" s="28">
        <f>LN(Index!F696/Index!F695)</f>
        <v>7.6690635736569911E-3</v>
      </c>
      <c r="G695" s="28">
        <f>LN(Index!G696/Index!G695)</f>
        <v>-1.849480786934125E-2</v>
      </c>
      <c r="H695" s="28">
        <f>LN(Index!H696/Index!H695)</f>
        <v>-3.2811926971145475E-2</v>
      </c>
      <c r="I695" s="28">
        <f>LN(Index!I696/Index!I695)</f>
        <v>-1.5740161645036197E-2</v>
      </c>
      <c r="J695" s="28">
        <f>LN(Index!J696/Index!J695)</f>
        <v>-2.4610714554292999E-2</v>
      </c>
      <c r="K695" s="28">
        <f>LN(Index!K696/Index!K695)</f>
        <v>-3.4659627344144933E-2</v>
      </c>
      <c r="L695" s="28">
        <f>LN(Index!L696/Index!L695)</f>
        <v>-8.0286929417801457E-3</v>
      </c>
      <c r="M695" s="28">
        <f>LN(Index!M696/Index!M695)</f>
        <v>6.5936000867865968E-3</v>
      </c>
      <c r="N695" s="28">
        <f>LN(Index!N696/Index!N695)</f>
        <v>1.587881905937847E-2</v>
      </c>
    </row>
    <row r="696" spans="1:14">
      <c r="A696" s="15">
        <v>42489</v>
      </c>
      <c r="B696" s="28">
        <f>LN(Index!B697/Index!B696)</f>
        <v>-9.1571312234750256E-3</v>
      </c>
      <c r="C696" s="28">
        <f>LN(Index!C697/Index!C696)</f>
        <v>9.7165325883629798E-3</v>
      </c>
      <c r="D696" s="28">
        <f>LN(Index!D697/Index!D696)</f>
        <v>1.0147133443510991E-4</v>
      </c>
      <c r="E696" s="28">
        <f>LN(Index!E697/Index!E696)</f>
        <v>3.4814870652305485E-2</v>
      </c>
      <c r="F696" s="28">
        <f>LN(Index!F697/Index!F696)</f>
        <v>9.8779684234171876E-3</v>
      </c>
      <c r="G696" s="28">
        <f>LN(Index!G697/Index!G696)</f>
        <v>-1.1418517880416285E-2</v>
      </c>
      <c r="H696" s="28">
        <f>LN(Index!H697/Index!H696)</f>
        <v>3.0412522176636755E-2</v>
      </c>
      <c r="I696" s="28">
        <f>LN(Index!I697/Index!I696)</f>
        <v>3.326781351871471E-2</v>
      </c>
      <c r="J696" s="28">
        <f>LN(Index!J697/Index!J696)</f>
        <v>3.387868883195818E-2</v>
      </c>
      <c r="K696" s="28">
        <f>LN(Index!K697/Index!K696)</f>
        <v>-1.3888875173878401E-2</v>
      </c>
      <c r="L696" s="28">
        <f>LN(Index!L697/Index!L696)</f>
        <v>-1.6768569939037273E-3</v>
      </c>
      <c r="M696" s="28">
        <f>LN(Index!M697/Index!M696)</f>
        <v>2.5139005281236197E-2</v>
      </c>
      <c r="N696" s="28">
        <f>LN(Index!N697/Index!N696)</f>
        <v>4.2890489460859424E-3</v>
      </c>
    </row>
    <row r="697" spans="1:14">
      <c r="A697" s="15">
        <v>42496</v>
      </c>
      <c r="B697" s="28">
        <f>LN(Index!B698/Index!B697)</f>
        <v>-1.6663079153709695E-2</v>
      </c>
      <c r="C697" s="28">
        <f>LN(Index!C698/Index!C697)</f>
        <v>2.1074823395645778E-3</v>
      </c>
      <c r="D697" s="28">
        <f>LN(Index!D698/Index!D697)</f>
        <v>9.5428761856541956E-3</v>
      </c>
      <c r="E697" s="28">
        <f>LN(Index!E698/Index!E697)</f>
        <v>-9.4742923438303466E-3</v>
      </c>
      <c r="F697" s="28">
        <f>LN(Index!F698/Index!F697)</f>
        <v>-9.8099173614244004E-3</v>
      </c>
      <c r="G697" s="28">
        <f>LN(Index!G698/Index!G697)</f>
        <v>-1.0102494901100869E-2</v>
      </c>
      <c r="H697" s="28">
        <f>LN(Index!H698/Index!H697)</f>
        <v>3.2560487795497647E-3</v>
      </c>
      <c r="I697" s="28">
        <f>LN(Index!I698/Index!I697)</f>
        <v>-1.3738247643079231E-2</v>
      </c>
      <c r="J697" s="28">
        <f>LN(Index!J698/Index!J697)</f>
        <v>1.7615048103111273E-3</v>
      </c>
      <c r="K697" s="28">
        <f>LN(Index!K698/Index!K697)</f>
        <v>-4.4747797462933621E-2</v>
      </c>
      <c r="L697" s="28">
        <f>LN(Index!L698/Index!L697)</f>
        <v>8.8048651791307903E-3</v>
      </c>
      <c r="M697" s="28">
        <f>LN(Index!M698/Index!M697)</f>
        <v>2.1919936569982437E-3</v>
      </c>
      <c r="N697" s="28">
        <f>LN(Index!N698/Index!N697)</f>
        <v>-2.3622791380974645E-2</v>
      </c>
    </row>
    <row r="698" spans="1:14">
      <c r="A698" s="15">
        <v>42503</v>
      </c>
      <c r="B698" s="28">
        <f>LN(Index!B699/Index!B698)</f>
        <v>-4.43413725775137E-3</v>
      </c>
      <c r="C698" s="28">
        <f>LN(Index!C699/Index!C698)</f>
        <v>-1.9568005039747871E-3</v>
      </c>
      <c r="D698" s="28">
        <f>LN(Index!D699/Index!D698)</f>
        <v>-1.3151428804126895E-2</v>
      </c>
      <c r="E698" s="28">
        <f>LN(Index!E699/Index!E698)</f>
        <v>-1.5211666023271951E-2</v>
      </c>
      <c r="F698" s="28">
        <f>LN(Index!F699/Index!F698)</f>
        <v>5.5497754807322681E-3</v>
      </c>
      <c r="G698" s="28">
        <f>LN(Index!G699/Index!G698)</f>
        <v>-1.5675100651580568E-2</v>
      </c>
      <c r="H698" s="28">
        <f>LN(Index!H699/Index!H698)</f>
        <v>4.9163319369722978E-3</v>
      </c>
      <c r="I698" s="28">
        <f>LN(Index!I699/Index!I698)</f>
        <v>-4.9467483830315587E-3</v>
      </c>
      <c r="J698" s="28">
        <f>LN(Index!J699/Index!J698)</f>
        <v>2.0496737316253611E-3</v>
      </c>
      <c r="K698" s="28">
        <f>LN(Index!K699/Index!K698)</f>
        <v>-1.1142008786331861E-2</v>
      </c>
      <c r="L698" s="28">
        <f>LN(Index!L699/Index!L698)</f>
        <v>-2.2869890114171745E-2</v>
      </c>
      <c r="M698" s="28">
        <f>LN(Index!M699/Index!M698)</f>
        <v>-1.8086610208246055E-2</v>
      </c>
      <c r="N698" s="28">
        <f>LN(Index!N699/Index!N698)</f>
        <v>3.0568870162679422E-3</v>
      </c>
    </row>
    <row r="699" spans="1:14">
      <c r="A699" s="15">
        <v>42510</v>
      </c>
      <c r="B699" s="28">
        <f>LN(Index!B700/Index!B699)</f>
        <v>2.399437009017639E-3</v>
      </c>
      <c r="C699" s="28">
        <f>LN(Index!C700/Index!C699)</f>
        <v>-6.9296854053805743E-3</v>
      </c>
      <c r="D699" s="28">
        <f>LN(Index!D700/Index!D699)</f>
        <v>-1.2346784577350825E-2</v>
      </c>
      <c r="E699" s="28">
        <f>LN(Index!E700/Index!E699)</f>
        <v>-5.0031457344338554E-3</v>
      </c>
      <c r="F699" s="28">
        <f>LN(Index!F700/Index!F699)</f>
        <v>-2.1186565442741752E-4</v>
      </c>
      <c r="G699" s="28">
        <f>LN(Index!G700/Index!G699)</f>
        <v>-8.6697753043091536E-3</v>
      </c>
      <c r="H699" s="28">
        <f>LN(Index!H700/Index!H699)</f>
        <v>-2.1882779489429814E-2</v>
      </c>
      <c r="I699" s="28">
        <f>LN(Index!I700/Index!I699)</f>
        <v>-4.4685059851159213E-3</v>
      </c>
      <c r="J699" s="28">
        <f>LN(Index!J700/Index!J699)</f>
        <v>-8.6418504071476988E-3</v>
      </c>
      <c r="K699" s="28">
        <f>LN(Index!K700/Index!K699)</f>
        <v>-2.6505720013395042E-2</v>
      </c>
      <c r="L699" s="28">
        <f>LN(Index!L700/Index!L699)</f>
        <v>-1.3481175588927884E-2</v>
      </c>
      <c r="M699" s="28">
        <f>LN(Index!M700/Index!M699)</f>
        <v>-4.3978756496549807E-3</v>
      </c>
      <c r="N699" s="28">
        <f>LN(Index!N700/Index!N699)</f>
        <v>1.1423973348879428E-2</v>
      </c>
    </row>
    <row r="700" spans="1:14">
      <c r="A700" s="15">
        <v>42517</v>
      </c>
      <c r="B700" s="28">
        <f>LN(Index!B701/Index!B700)</f>
        <v>2.1846993059057004E-2</v>
      </c>
      <c r="C700" s="28">
        <f>LN(Index!C701/Index!C700)</f>
        <v>2.1974977585586036E-3</v>
      </c>
      <c r="D700" s="28">
        <f>LN(Index!D701/Index!D700)</f>
        <v>1.4787794739785603E-2</v>
      </c>
      <c r="E700" s="28">
        <f>LN(Index!E701/Index!E700)</f>
        <v>7.5816485752638243E-3</v>
      </c>
      <c r="F700" s="28">
        <f>LN(Index!F701/Index!F700)</f>
        <v>1.1711541146450476E-2</v>
      </c>
      <c r="G700" s="28">
        <f>LN(Index!G701/Index!G700)</f>
        <v>1.0019521455803846E-2</v>
      </c>
      <c r="H700" s="28">
        <f>LN(Index!H701/Index!H700)</f>
        <v>2.1770962129475383E-2</v>
      </c>
      <c r="I700" s="28">
        <f>LN(Index!I701/Index!I700)</f>
        <v>1.8275257516745743E-3</v>
      </c>
      <c r="J700" s="28">
        <f>LN(Index!J701/Index!J700)</f>
        <v>2.8242713974444819E-2</v>
      </c>
      <c r="K700" s="28">
        <f>LN(Index!K701/Index!K700)</f>
        <v>4.2695906199498278E-2</v>
      </c>
      <c r="L700" s="28">
        <f>LN(Index!L701/Index!L700)</f>
        <v>3.1223625601107946E-3</v>
      </c>
      <c r="M700" s="28">
        <f>LN(Index!M701/Index!M700)</f>
        <v>-7.1853686808603613E-3</v>
      </c>
      <c r="N700" s="28">
        <f>LN(Index!N701/Index!N700)</f>
        <v>6.5075964941774681E-3</v>
      </c>
    </row>
    <row r="701" spans="1:14">
      <c r="A701" s="15">
        <v>42524</v>
      </c>
      <c r="B701" s="28">
        <f>LN(Index!B702/Index!B701)</f>
        <v>1.4964306072990773E-3</v>
      </c>
      <c r="C701" s="28">
        <f>LN(Index!C702/Index!C701)</f>
        <v>1.0765879357206836E-2</v>
      </c>
      <c r="D701" s="28">
        <f>LN(Index!D702/Index!D701)</f>
        <v>9.4030317204170134E-3</v>
      </c>
      <c r="E701" s="28">
        <f>LN(Index!E702/Index!E701)</f>
        <v>-1.3258766455006643E-2</v>
      </c>
      <c r="F701" s="28">
        <f>LN(Index!F702/Index!F701)</f>
        <v>2.2723806426420773E-2</v>
      </c>
      <c r="G701" s="28">
        <f>LN(Index!G702/Index!G701)</f>
        <v>9.0772517276284156E-3</v>
      </c>
      <c r="H701" s="28">
        <f>LN(Index!H702/Index!H701)</f>
        <v>2.3263079598569037E-3</v>
      </c>
      <c r="I701" s="28">
        <f>LN(Index!I702/Index!I701)</f>
        <v>-1.5376850336286632E-3</v>
      </c>
      <c r="J701" s="28">
        <f>LN(Index!J702/Index!J701)</f>
        <v>1.6414230525271325E-3</v>
      </c>
      <c r="K701" s="28">
        <f>LN(Index!K702/Index!K701)</f>
        <v>-1.0489240117105732E-2</v>
      </c>
      <c r="L701" s="28">
        <f>LN(Index!L702/Index!L701)</f>
        <v>1.2216338180880455E-2</v>
      </c>
      <c r="M701" s="28">
        <f>LN(Index!M702/Index!M701)</f>
        <v>5.1218699453327802E-3</v>
      </c>
      <c r="N701" s="28">
        <f>LN(Index!N702/Index!N701)</f>
        <v>2.13732222171195E-2</v>
      </c>
    </row>
    <row r="702" spans="1:14">
      <c r="A702" s="15">
        <v>42531</v>
      </c>
      <c r="B702" s="28">
        <f>LN(Index!B703/Index!B702)</f>
        <v>-7.9909510689377614E-3</v>
      </c>
      <c r="C702" s="28">
        <f>LN(Index!C703/Index!C702)</f>
        <v>3.4137805227473861E-3</v>
      </c>
      <c r="D702" s="28">
        <f>LN(Index!D703/Index!D702)</f>
        <v>1.3576369150043472E-3</v>
      </c>
      <c r="E702" s="28">
        <f>LN(Index!E703/Index!E702)</f>
        <v>-2.1619597346517389E-2</v>
      </c>
      <c r="F702" s="28">
        <f>LN(Index!F703/Index!F702)</f>
        <v>8.8488136482432443E-3</v>
      </c>
      <c r="G702" s="28">
        <f>LN(Index!G703/Index!G702)</f>
        <v>1.7704809719906088E-2</v>
      </c>
      <c r="H702" s="28">
        <f>LN(Index!H703/Index!H702)</f>
        <v>6.575981764533079E-3</v>
      </c>
      <c r="I702" s="28">
        <f>LN(Index!I703/Index!I702)</f>
        <v>-1.8082905387979916E-3</v>
      </c>
      <c r="J702" s="28">
        <f>LN(Index!J703/Index!J702)</f>
        <v>-1.2764294652977499E-3</v>
      </c>
      <c r="K702" s="28">
        <f>LN(Index!K703/Index!K702)</f>
        <v>-1.8862921179504381E-2</v>
      </c>
      <c r="L702" s="28">
        <f>LN(Index!L703/Index!L702)</f>
        <v>5.6749333336005578E-3</v>
      </c>
      <c r="M702" s="28">
        <f>LN(Index!M703/Index!M702)</f>
        <v>-1.7497774327291261E-2</v>
      </c>
      <c r="N702" s="28">
        <f>LN(Index!N703/Index!N702)</f>
        <v>4.9570048716966655E-3</v>
      </c>
    </row>
    <row r="703" spans="1:14">
      <c r="A703" s="15">
        <v>42538</v>
      </c>
      <c r="B703" s="28">
        <f>LN(Index!B704/Index!B703)</f>
        <v>-1.7837492025414094E-2</v>
      </c>
      <c r="C703" s="28">
        <f>LN(Index!C704/Index!C703)</f>
        <v>2.5837239852791538E-3</v>
      </c>
      <c r="D703" s="28">
        <f>LN(Index!D704/Index!D703)</f>
        <v>-1.0252873976665399E-2</v>
      </c>
      <c r="E703" s="28">
        <f>LN(Index!E704/Index!E703)</f>
        <v>-2.1819855940811005E-2</v>
      </c>
      <c r="F703" s="28">
        <f>LN(Index!F704/Index!F703)</f>
        <v>4.2264474802720053E-4</v>
      </c>
      <c r="G703" s="28">
        <f>LN(Index!G704/Index!G703)</f>
        <v>-1.817256155478434E-2</v>
      </c>
      <c r="H703" s="28">
        <f>LN(Index!H704/Index!H703)</f>
        <v>-6.8530060636441325E-3</v>
      </c>
      <c r="I703" s="28">
        <f>LN(Index!I704/Index!I703)</f>
        <v>-1.7786106878766937E-2</v>
      </c>
      <c r="J703" s="28">
        <f>LN(Index!J704/Index!J703)</f>
        <v>-1.5938873354549559E-2</v>
      </c>
      <c r="K703" s="28">
        <f>LN(Index!K704/Index!K703)</f>
        <v>-2.4274182262424841E-2</v>
      </c>
      <c r="L703" s="28">
        <f>LN(Index!L704/Index!L703)</f>
        <v>-6.4018254285337804E-3</v>
      </c>
      <c r="M703" s="28">
        <f>LN(Index!M704/Index!M703)</f>
        <v>-2.237673328374646E-2</v>
      </c>
      <c r="N703" s="28">
        <f>LN(Index!N704/Index!N703)</f>
        <v>-2.1639926233112273E-3</v>
      </c>
    </row>
    <row r="704" spans="1:14">
      <c r="A704" s="15">
        <v>42545</v>
      </c>
      <c r="B704" s="28">
        <f>LN(Index!B705/Index!B704)</f>
        <v>-1.6637411166485191E-2</v>
      </c>
      <c r="C704" s="28">
        <f>LN(Index!C705/Index!C704)</f>
        <v>2.8492518315659248E-3</v>
      </c>
      <c r="D704" s="28">
        <f>LN(Index!D705/Index!D704)</f>
        <v>-6.3660422271238169E-3</v>
      </c>
      <c r="E704" s="28">
        <f>LN(Index!E705/Index!E704)</f>
        <v>-3.5654547107187358E-2</v>
      </c>
      <c r="F704" s="28">
        <f>LN(Index!F705/Index!F704)</f>
        <v>7.3759024478213045E-3</v>
      </c>
      <c r="G704" s="28">
        <f>LN(Index!G705/Index!G704)</f>
        <v>-5.4004866827670724E-3</v>
      </c>
      <c r="H704" s="28">
        <f>LN(Index!H705/Index!H704)</f>
        <v>-1.1864509870072549E-2</v>
      </c>
      <c r="I704" s="28">
        <f>LN(Index!I705/Index!I704)</f>
        <v>-2.2135081787561791E-2</v>
      </c>
      <c r="J704" s="28">
        <f>LN(Index!J705/Index!J704)</f>
        <v>5.118136674022355E-3</v>
      </c>
      <c r="K704" s="28">
        <f>LN(Index!K705/Index!K704)</f>
        <v>3.5648871634812052E-3</v>
      </c>
      <c r="L704" s="28">
        <f>LN(Index!L705/Index!L704)</f>
        <v>1.3125200344067212E-2</v>
      </c>
      <c r="M704" s="28">
        <f>LN(Index!M705/Index!M704)</f>
        <v>-2.655376167262977E-2</v>
      </c>
      <c r="N704" s="28">
        <f>LN(Index!N705/Index!N704)</f>
        <v>-2.2290873160157347E-3</v>
      </c>
    </row>
    <row r="705" spans="1:14">
      <c r="A705" s="15">
        <v>42552</v>
      </c>
      <c r="B705" s="28">
        <f>LN(Index!B706/Index!B705)</f>
        <v>3.1491872965866745E-2</v>
      </c>
      <c r="C705" s="28">
        <f>LN(Index!C706/Index!C705)</f>
        <v>7.2474803255228584E-3</v>
      </c>
      <c r="D705" s="28">
        <f>LN(Index!D706/Index!D705)</f>
        <v>3.9863071711616571E-2</v>
      </c>
      <c r="E705" s="28">
        <f>LN(Index!E706/Index!E705)</f>
        <v>6.8913524924053587E-2</v>
      </c>
      <c r="F705" s="28">
        <f>LN(Index!F706/Index!F705)</f>
        <v>3.408693147342122E-2</v>
      </c>
      <c r="G705" s="28">
        <f>LN(Index!G706/Index!G705)</f>
        <v>4.2245351219856481E-2</v>
      </c>
      <c r="H705" s="28">
        <f>LN(Index!H706/Index!H705)</f>
        <v>5.4517596505202014E-2</v>
      </c>
      <c r="I705" s="28">
        <f>LN(Index!I706/Index!I705)</f>
        <v>4.2776241715885677E-2</v>
      </c>
      <c r="J705" s="28">
        <f>LN(Index!J706/Index!J705)</f>
        <v>5.7425960741367688E-2</v>
      </c>
      <c r="K705" s="28">
        <f>LN(Index!K706/Index!K705)</f>
        <v>1.2749176670454658E-2</v>
      </c>
      <c r="L705" s="28">
        <f>LN(Index!L706/Index!L705)</f>
        <v>4.7887750168459871E-2</v>
      </c>
      <c r="M705" s="28">
        <f>LN(Index!M706/Index!M705)</f>
        <v>2.8519564761079308E-2</v>
      </c>
      <c r="N705" s="28">
        <f>LN(Index!N706/Index!N705)</f>
        <v>3.9224456097911246E-2</v>
      </c>
    </row>
    <row r="706" spans="1:14">
      <c r="A706" s="15">
        <v>42559</v>
      </c>
      <c r="B706" s="28">
        <f>LN(Index!B707/Index!B706)</f>
        <v>1.2400003996621187E-3</v>
      </c>
      <c r="C706" s="28">
        <f>LN(Index!C707/Index!C706)</f>
        <v>6.4146728625501127E-3</v>
      </c>
      <c r="D706" s="28">
        <f>LN(Index!D707/Index!D706)</f>
        <v>-5.8930414709427244E-4</v>
      </c>
      <c r="E706" s="28">
        <f>LN(Index!E707/Index!E706)</f>
        <v>-2.2176645363972063E-2</v>
      </c>
      <c r="F706" s="28">
        <f>LN(Index!F707/Index!F706)</f>
        <v>-2.4271955092116555E-3</v>
      </c>
      <c r="G706" s="28">
        <f>LN(Index!G707/Index!G706)</f>
        <v>5.3401451313908532E-3</v>
      </c>
      <c r="H706" s="28">
        <f>LN(Index!H707/Index!H706)</f>
        <v>-7.3278566858134544E-3</v>
      </c>
      <c r="I706" s="28">
        <f>LN(Index!I707/Index!I706)</f>
        <v>1.0092238536916398E-2</v>
      </c>
      <c r="J706" s="28">
        <f>LN(Index!J707/Index!J706)</f>
        <v>-2.3302797802167683E-2</v>
      </c>
      <c r="K706" s="28">
        <f>LN(Index!K707/Index!K706)</f>
        <v>1.2032670501187661E-2</v>
      </c>
      <c r="L706" s="28">
        <f>LN(Index!L707/Index!L706)</f>
        <v>6.3005613893359E-3</v>
      </c>
      <c r="M706" s="28">
        <f>LN(Index!M707/Index!M706)</f>
        <v>-9.8978264418313529E-3</v>
      </c>
      <c r="N706" s="28">
        <f>LN(Index!N707/Index!N706)</f>
        <v>-8.1319172161598459E-3</v>
      </c>
    </row>
    <row r="707" spans="1:14">
      <c r="A707" s="15">
        <v>42566</v>
      </c>
      <c r="B707" s="28">
        <f>LN(Index!B708/Index!B707)</f>
        <v>2.2749271971818759E-2</v>
      </c>
      <c r="C707" s="28">
        <f>LN(Index!C708/Index!C707)</f>
        <v>-1.269772564939353E-2</v>
      </c>
      <c r="D707" s="28">
        <f>LN(Index!D708/Index!D707)</f>
        <v>1.3563830119635871E-2</v>
      </c>
      <c r="E707" s="28">
        <f>LN(Index!E708/Index!E707)</f>
        <v>1.2141991574837287E-2</v>
      </c>
      <c r="F707" s="28">
        <f>LN(Index!F708/Index!F707)</f>
        <v>1.5412403298896182E-2</v>
      </c>
      <c r="G707" s="28">
        <f>LN(Index!G708/Index!G707)</f>
        <v>9.9697728931953701E-3</v>
      </c>
      <c r="H707" s="28">
        <f>LN(Index!H708/Index!H707)</f>
        <v>-5.2251139784921493E-3</v>
      </c>
      <c r="I707" s="28">
        <f>LN(Index!I708/Index!I707)</f>
        <v>7.0977467616816199E-3</v>
      </c>
      <c r="J707" s="28">
        <f>LN(Index!J708/Index!J707)</f>
        <v>1.1235617222758742E-3</v>
      </c>
      <c r="K707" s="28">
        <f>LN(Index!K708/Index!K707)</f>
        <v>-5.1351335957481562E-4</v>
      </c>
      <c r="L707" s="28">
        <f>LN(Index!L708/Index!L707)</f>
        <v>9.529775066896267E-3</v>
      </c>
      <c r="M707" s="28">
        <f>LN(Index!M708/Index!M707)</f>
        <v>1.6357694630427123E-2</v>
      </c>
      <c r="N707" s="28">
        <f>LN(Index!N708/Index!N707)</f>
        <v>2.7047322841125761E-2</v>
      </c>
    </row>
    <row r="708" spans="1:14">
      <c r="A708" s="15">
        <v>42573</v>
      </c>
      <c r="B708" s="28">
        <f>LN(Index!B709/Index!B708)</f>
        <v>3.7563799841176049E-3</v>
      </c>
      <c r="C708" s="28">
        <f>LN(Index!C709/Index!C708)</f>
        <v>-7.6652040595533177E-4</v>
      </c>
      <c r="D708" s="28">
        <f>LN(Index!D709/Index!D708)</f>
        <v>1.6199551505741129E-2</v>
      </c>
      <c r="E708" s="28">
        <f>LN(Index!E709/Index!E708)</f>
        <v>-3.8679048619130983E-3</v>
      </c>
      <c r="F708" s="28">
        <f>LN(Index!F709/Index!F708)</f>
        <v>-1.8451199689202133E-3</v>
      </c>
      <c r="G708" s="28">
        <f>LN(Index!G709/Index!G708)</f>
        <v>2.4793160011037593E-2</v>
      </c>
      <c r="H708" s="28">
        <f>LN(Index!H709/Index!H708)</f>
        <v>7.3105043904168757E-3</v>
      </c>
      <c r="I708" s="28">
        <f>LN(Index!I709/Index!I708)</f>
        <v>2.0842442129189405E-2</v>
      </c>
      <c r="J708" s="28">
        <f>LN(Index!J709/Index!J708)</f>
        <v>1.002721642347908E-2</v>
      </c>
      <c r="K708" s="28">
        <f>LN(Index!K709/Index!K708)</f>
        <v>4.2036150400345161E-2</v>
      </c>
      <c r="L708" s="28">
        <f>LN(Index!L709/Index!L708)</f>
        <v>-9.5083931081597288E-4</v>
      </c>
      <c r="M708" s="28">
        <f>LN(Index!M709/Index!M708)</f>
        <v>-1.9014915482182507E-3</v>
      </c>
      <c r="N708" s="28">
        <f>LN(Index!N709/Index!N708)</f>
        <v>-4.8147130316667829E-3</v>
      </c>
    </row>
    <row r="709" spans="1:14">
      <c r="A709" s="15">
        <v>42580</v>
      </c>
      <c r="B709" s="28">
        <f>LN(Index!B710/Index!B709)</f>
        <v>8.6445783839483141E-3</v>
      </c>
      <c r="C709" s="28">
        <f>LN(Index!C710/Index!C709)</f>
        <v>1.0873950877488815E-2</v>
      </c>
      <c r="D709" s="28">
        <f>LN(Index!D710/Index!D709)</f>
        <v>1.0152371464018128E-2</v>
      </c>
      <c r="E709" s="28">
        <f>LN(Index!E710/Index!E709)</f>
        <v>1.6226961333823228E-2</v>
      </c>
      <c r="F709" s="28">
        <f>LN(Index!F710/Index!F709)</f>
        <v>-1.0548388613642564E-2</v>
      </c>
      <c r="G709" s="28">
        <f>LN(Index!G710/Index!G709)</f>
        <v>2.0991794187372917E-2</v>
      </c>
      <c r="H709" s="28">
        <f>LN(Index!H710/Index!H709)</f>
        <v>-4.0299795471673231E-3</v>
      </c>
      <c r="I709" s="28">
        <f>LN(Index!I710/Index!I709)</f>
        <v>2.4103305150689799E-2</v>
      </c>
      <c r="J709" s="28">
        <f>LN(Index!J710/Index!J709)</f>
        <v>2.9243107546749682E-3</v>
      </c>
      <c r="K709" s="28">
        <f>LN(Index!K710/Index!K709)</f>
        <v>3.2459164514855504E-2</v>
      </c>
      <c r="L709" s="28">
        <f>LN(Index!L710/Index!L709)</f>
        <v>-7.3688386551278053E-3</v>
      </c>
      <c r="M709" s="28">
        <f>LN(Index!M710/Index!M709)</f>
        <v>3.0946459105228218E-2</v>
      </c>
      <c r="N709" s="28">
        <f>LN(Index!N710/Index!N709)</f>
        <v>-6.7067534146924871E-3</v>
      </c>
    </row>
    <row r="710" spans="1:14">
      <c r="A710" s="15">
        <v>42587</v>
      </c>
      <c r="B710" s="28">
        <f>LN(Index!B711/Index!B710)</f>
        <v>-2.9897301268312663E-3</v>
      </c>
      <c r="C710" s="28">
        <f>LN(Index!C711/Index!C710)</f>
        <v>-5.717456222734874E-3</v>
      </c>
      <c r="D710" s="28">
        <f>LN(Index!D711/Index!D710)</f>
        <v>-1.7282441148748075E-2</v>
      </c>
      <c r="E710" s="28">
        <f>LN(Index!E711/Index!E710)</f>
        <v>-2.297391158147075E-2</v>
      </c>
      <c r="F710" s="28">
        <f>LN(Index!F711/Index!F710)</f>
        <v>-4.7027186136793173E-3</v>
      </c>
      <c r="G710" s="28">
        <f>LN(Index!G711/Index!G710)</f>
        <v>-1.953631141411357E-2</v>
      </c>
      <c r="H710" s="28">
        <f>LN(Index!H711/Index!H710)</f>
        <v>-2.0230051242574456E-2</v>
      </c>
      <c r="I710" s="28">
        <f>LN(Index!I711/Index!I710)</f>
        <v>-1.9733169599771533E-2</v>
      </c>
      <c r="J710" s="28">
        <f>LN(Index!J711/Index!J710)</f>
        <v>-3.8782293106868995E-2</v>
      </c>
      <c r="K710" s="28">
        <f>LN(Index!K711/Index!K710)</f>
        <v>-2.4813657461767821E-2</v>
      </c>
      <c r="L710" s="28">
        <f>LN(Index!L711/Index!L710)</f>
        <v>-3.4751362995908801E-3</v>
      </c>
      <c r="M710" s="28">
        <f>LN(Index!M711/Index!M710)</f>
        <v>-1.7267337483037916E-2</v>
      </c>
      <c r="N710" s="28">
        <f>LN(Index!N711/Index!N710)</f>
        <v>-5.8630264186105934E-4</v>
      </c>
    </row>
    <row r="711" spans="1:14">
      <c r="A711" s="15">
        <v>42594</v>
      </c>
      <c r="B711" s="28">
        <f>LN(Index!B712/Index!B711)</f>
        <v>1.1266501043224636E-2</v>
      </c>
      <c r="C711" s="28">
        <f>LN(Index!C712/Index!C711)</f>
        <v>6.3289797915638945E-3</v>
      </c>
      <c r="D711" s="28">
        <f>LN(Index!D712/Index!D711)</f>
        <v>6.0805013425905118E-3</v>
      </c>
      <c r="E711" s="28">
        <f>LN(Index!E712/Index!E711)</f>
        <v>1.763161188746273E-2</v>
      </c>
      <c r="F711" s="28">
        <f>LN(Index!F712/Index!F711)</f>
        <v>1.0928067621951375E-2</v>
      </c>
      <c r="G711" s="28">
        <f>LN(Index!G712/Index!G711)</f>
        <v>1.6756706094267913E-2</v>
      </c>
      <c r="H711" s="28">
        <f>LN(Index!H712/Index!H711)</f>
        <v>9.8296582051054723E-3</v>
      </c>
      <c r="I711" s="28">
        <f>LN(Index!I712/Index!I711)</f>
        <v>1.8837397754962192E-2</v>
      </c>
      <c r="J711" s="28">
        <f>LN(Index!J712/Index!J711)</f>
        <v>2.1843582788702589E-3</v>
      </c>
      <c r="K711" s="28">
        <f>LN(Index!K712/Index!K711)</f>
        <v>3.2588361520528909E-3</v>
      </c>
      <c r="L711" s="28">
        <f>LN(Index!L712/Index!L711)</f>
        <v>8.3489162502588064E-3</v>
      </c>
      <c r="M711" s="28">
        <f>LN(Index!M712/Index!M711)</f>
        <v>1.883961428460592E-2</v>
      </c>
      <c r="N711" s="28">
        <f>LN(Index!N712/Index!N711)</f>
        <v>1.859325475797002E-2</v>
      </c>
    </row>
    <row r="712" spans="1:14">
      <c r="A712" s="15">
        <v>42601</v>
      </c>
      <c r="B712" s="28">
        <f>LN(Index!B713/Index!B712)</f>
        <v>-2.4510169567902428E-3</v>
      </c>
      <c r="C712" s="28">
        <f>LN(Index!C713/Index!C712)</f>
        <v>3.1784452780381087E-4</v>
      </c>
      <c r="D712" s="28">
        <f>LN(Index!D713/Index!D712)</f>
        <v>-1.6750487906645056E-2</v>
      </c>
      <c r="E712" s="28">
        <f>LN(Index!E713/Index!E712)</f>
        <v>-9.2015738613495119E-3</v>
      </c>
      <c r="F712" s="28">
        <f>LN(Index!F713/Index!F712)</f>
        <v>3.1937606534461103E-4</v>
      </c>
      <c r="G712" s="28">
        <f>LN(Index!G713/Index!G712)</f>
        <v>-8.6388394514747505E-3</v>
      </c>
      <c r="H712" s="28">
        <f>LN(Index!H713/Index!H712)</f>
        <v>-9.9929777705827418E-3</v>
      </c>
      <c r="I712" s="28">
        <f>LN(Index!I713/Index!I712)</f>
        <v>4.6715759812826661E-3</v>
      </c>
      <c r="J712" s="28">
        <f>LN(Index!J713/Index!J712)</f>
        <v>-1.2740383008894745E-2</v>
      </c>
      <c r="K712" s="28">
        <f>LN(Index!K713/Index!K712)</f>
        <v>-7.5854744264569063E-3</v>
      </c>
      <c r="L712" s="28">
        <f>LN(Index!L713/Index!L712)</f>
        <v>-2.223972012794885E-2</v>
      </c>
      <c r="M712" s="28">
        <f>LN(Index!M713/Index!M712)</f>
        <v>-1.3841972041573192E-2</v>
      </c>
      <c r="N712" s="28">
        <f>LN(Index!N713/Index!N712)</f>
        <v>8.8381131577169193E-3</v>
      </c>
    </row>
    <row r="713" spans="1:14">
      <c r="A713" s="15">
        <v>42608</v>
      </c>
      <c r="B713" s="28">
        <f>LN(Index!B714/Index!B713)</f>
        <v>-3.3372597798020692E-3</v>
      </c>
      <c r="C713" s="28">
        <f>LN(Index!C714/Index!C713)</f>
        <v>-1.0272465805734148E-3</v>
      </c>
      <c r="D713" s="28">
        <f>LN(Index!D714/Index!D713)</f>
        <v>-1.8948141221203849E-3</v>
      </c>
      <c r="E713" s="28">
        <f>LN(Index!E714/Index!E713)</f>
        <v>6.318080279313177E-3</v>
      </c>
      <c r="F713" s="28">
        <f>LN(Index!F714/Index!F713)</f>
        <v>-1.7806343941708089E-2</v>
      </c>
      <c r="G713" s="28">
        <f>LN(Index!G714/Index!G713)</f>
        <v>8.6522375422469384E-3</v>
      </c>
      <c r="H713" s="28">
        <f>LN(Index!H714/Index!H713)</f>
        <v>-1.1441532012244147E-2</v>
      </c>
      <c r="I713" s="28">
        <f>LN(Index!I714/Index!I713)</f>
        <v>-1.2446728559016138E-2</v>
      </c>
      <c r="J713" s="28">
        <f>LN(Index!J714/Index!J713)</f>
        <v>-8.6627763501767457E-3</v>
      </c>
      <c r="K713" s="28">
        <f>LN(Index!K714/Index!K713)</f>
        <v>9.1269586127554064E-3</v>
      </c>
      <c r="L713" s="28">
        <f>LN(Index!L714/Index!L713)</f>
        <v>-2.3348904457834298E-3</v>
      </c>
      <c r="M713" s="28">
        <f>LN(Index!M714/Index!M713)</f>
        <v>1.0196947893870592E-2</v>
      </c>
      <c r="N713" s="28">
        <f>LN(Index!N714/Index!N713)</f>
        <v>-1.3141296740552531E-2</v>
      </c>
    </row>
    <row r="714" spans="1:14">
      <c r="A714" s="15">
        <v>42615</v>
      </c>
      <c r="B714" s="28">
        <f>LN(Index!B715/Index!B714)</f>
        <v>4.9238977390448158E-3</v>
      </c>
      <c r="C714" s="28">
        <f>LN(Index!C715/Index!C714)</f>
        <v>-5.6441867629247978E-3</v>
      </c>
      <c r="D714" s="28">
        <f>LN(Index!D715/Index!D714)</f>
        <v>3.5922368726054275E-3</v>
      </c>
      <c r="E714" s="28">
        <f>LN(Index!E715/Index!E714)</f>
        <v>7.0150634176197376E-3</v>
      </c>
      <c r="F714" s="28">
        <f>LN(Index!F715/Index!F714)</f>
        <v>9.3745248915458636E-3</v>
      </c>
      <c r="G714" s="28">
        <f>LN(Index!G715/Index!G714)</f>
        <v>-2.9518475071630725E-2</v>
      </c>
      <c r="H714" s="28">
        <f>LN(Index!H715/Index!H714)</f>
        <v>4.8399364838863282E-4</v>
      </c>
      <c r="I714" s="28">
        <f>LN(Index!I715/Index!I714)</f>
        <v>-1.2808872372110629E-3</v>
      </c>
      <c r="J714" s="28">
        <f>LN(Index!J715/Index!J714)</f>
        <v>1.4628493498575486E-2</v>
      </c>
      <c r="K714" s="28">
        <f>LN(Index!K715/Index!K714)</f>
        <v>-3.4222969729848871E-3</v>
      </c>
      <c r="L714" s="28">
        <f>LN(Index!L715/Index!L714)</f>
        <v>2.3673672620974851E-2</v>
      </c>
      <c r="M714" s="28">
        <f>LN(Index!M715/Index!M714)</f>
        <v>-1.8219076184934641E-2</v>
      </c>
      <c r="N714" s="28">
        <f>LN(Index!N715/Index!N714)</f>
        <v>1.4963918918555305E-3</v>
      </c>
    </row>
    <row r="715" spans="1:14">
      <c r="A715" s="15">
        <v>42622</v>
      </c>
      <c r="B715" s="28">
        <f>LN(Index!B716/Index!B715)</f>
        <v>-1.5488873324491642E-2</v>
      </c>
      <c r="C715" s="28">
        <f>LN(Index!C716/Index!C715)</f>
        <v>-1.8967158026962365E-3</v>
      </c>
      <c r="D715" s="28">
        <f>LN(Index!D716/Index!D715)</f>
        <v>-1.9325927445277398E-2</v>
      </c>
      <c r="E715" s="28">
        <f>LN(Index!E716/Index!E715)</f>
        <v>-4.6803284109251187E-3</v>
      </c>
      <c r="F715" s="28">
        <f>LN(Index!F716/Index!F715)</f>
        <v>4.9130596988249944E-3</v>
      </c>
      <c r="G715" s="28">
        <f>LN(Index!G716/Index!G715)</f>
        <v>4.3167763552237146E-3</v>
      </c>
      <c r="H715" s="28">
        <f>LN(Index!H716/Index!H715)</f>
        <v>-2.0732102085394589E-2</v>
      </c>
      <c r="I715" s="28">
        <f>LN(Index!I716/Index!I715)</f>
        <v>-7.4220781710021338E-3</v>
      </c>
      <c r="J715" s="28">
        <f>LN(Index!J716/Index!J715)</f>
        <v>-1.8954995590479806E-2</v>
      </c>
      <c r="K715" s="28">
        <f>LN(Index!K716/Index!K715)</f>
        <v>4.4830127478239591E-2</v>
      </c>
      <c r="L715" s="28">
        <f>LN(Index!L716/Index!L715)</f>
        <v>-2.9446567210158807E-2</v>
      </c>
      <c r="M715" s="28">
        <f>LN(Index!M716/Index!M715)</f>
        <v>-1.7045166657650213E-2</v>
      </c>
      <c r="N715" s="28">
        <f>LN(Index!N716/Index!N715)</f>
        <v>2.7553877846149707E-2</v>
      </c>
    </row>
    <row r="716" spans="1:14">
      <c r="A716" s="15">
        <v>42629</v>
      </c>
      <c r="B716" s="28">
        <f>LN(Index!B717/Index!B716)</f>
        <v>-6.8326622579281257E-3</v>
      </c>
      <c r="C716" s="28">
        <f>LN(Index!C717/Index!C716)</f>
        <v>-1.4310742899784413E-3</v>
      </c>
      <c r="D716" s="28">
        <f>LN(Index!D717/Index!D716)</f>
        <v>-1.7894558490765156E-2</v>
      </c>
      <c r="E716" s="28">
        <f>LN(Index!E717/Index!E716)</f>
        <v>-2.3076342092309497E-2</v>
      </c>
      <c r="F716" s="28">
        <f>LN(Index!F717/Index!F716)</f>
        <v>-4.6208408356414677E-3</v>
      </c>
      <c r="G716" s="28">
        <f>LN(Index!G717/Index!G716)</f>
        <v>-2.8995417166346623E-2</v>
      </c>
      <c r="H716" s="28">
        <f>LN(Index!H717/Index!H716)</f>
        <v>1.371317737593602E-3</v>
      </c>
      <c r="I716" s="28">
        <f>LN(Index!I717/Index!I716)</f>
        <v>-4.2039164352547141E-2</v>
      </c>
      <c r="J716" s="28">
        <f>LN(Index!J717/Index!J716)</f>
        <v>-2.9916076051790413E-3</v>
      </c>
      <c r="K716" s="28">
        <f>LN(Index!K717/Index!K716)</f>
        <v>-5.957479667639462E-2</v>
      </c>
      <c r="L716" s="28">
        <f>LN(Index!L717/Index!L716)</f>
        <v>-2.1704879337609215E-2</v>
      </c>
      <c r="M716" s="28">
        <f>LN(Index!M717/Index!M716)</f>
        <v>-3.208920225531383E-2</v>
      </c>
      <c r="N716" s="28">
        <f>LN(Index!N717/Index!N716)</f>
        <v>-1.1044175879932061E-2</v>
      </c>
    </row>
    <row r="717" spans="1:14">
      <c r="A717" s="15">
        <v>42636</v>
      </c>
      <c r="B717" s="28">
        <f>LN(Index!B718/Index!B717)</f>
        <v>1.9492679381942053E-2</v>
      </c>
      <c r="C717" s="28">
        <f>LN(Index!C718/Index!C717)</f>
        <v>7.453634006232516E-3</v>
      </c>
      <c r="D717" s="28">
        <f>LN(Index!D718/Index!D717)</f>
        <v>3.4308851909349944E-2</v>
      </c>
      <c r="E717" s="28">
        <f>LN(Index!E718/Index!E717)</f>
        <v>1.400388047256459E-2</v>
      </c>
      <c r="F717" s="28">
        <f>LN(Index!F718/Index!F717)</f>
        <v>2.7038880466249804E-2</v>
      </c>
      <c r="G717" s="28">
        <f>LN(Index!G718/Index!G717)</f>
        <v>3.5169597421024115E-2</v>
      </c>
      <c r="H717" s="28">
        <f>LN(Index!H718/Index!H717)</f>
        <v>2.4153483807113067E-2</v>
      </c>
      <c r="I717" s="28">
        <f>LN(Index!I718/Index!I717)</f>
        <v>2.7226850453691106E-2</v>
      </c>
      <c r="J717" s="28">
        <f>LN(Index!J718/Index!J717)</f>
        <v>2.8547754698877031E-2</v>
      </c>
      <c r="K717" s="28">
        <f>LN(Index!K718/Index!K717)</f>
        <v>2.9715941089782458E-2</v>
      </c>
      <c r="L717" s="28">
        <f>LN(Index!L718/Index!L717)</f>
        <v>3.782346683695658E-2</v>
      </c>
      <c r="M717" s="28">
        <f>LN(Index!M718/Index!M717)</f>
        <v>2.9394218680569538E-2</v>
      </c>
      <c r="N717" s="28">
        <f>LN(Index!N718/Index!N717)</f>
        <v>2.043360074050565E-2</v>
      </c>
    </row>
    <row r="718" spans="1:14">
      <c r="A718" s="15">
        <v>42643</v>
      </c>
      <c r="B718" s="28">
        <f>LN(Index!B719/Index!B718)</f>
        <v>-2.3326021973219275E-3</v>
      </c>
      <c r="C718" s="28">
        <f>LN(Index!C719/Index!C718)</f>
        <v>8.5741238211710282E-4</v>
      </c>
      <c r="D718" s="28">
        <f>LN(Index!D719/Index!D718)</f>
        <v>-1.1781232738195788E-2</v>
      </c>
      <c r="E718" s="28">
        <f>LN(Index!E719/Index!E718)</f>
        <v>9.5905521949275294E-3</v>
      </c>
      <c r="F718" s="28">
        <f>LN(Index!F719/Index!F718)</f>
        <v>-4.6821804059326965E-3</v>
      </c>
      <c r="G718" s="28">
        <f>LN(Index!G719/Index!G718)</f>
        <v>-1.222428070926191E-2</v>
      </c>
      <c r="H718" s="28">
        <f>LN(Index!H719/Index!H718)</f>
        <v>-1.3374059525256868E-2</v>
      </c>
      <c r="I718" s="28">
        <f>LN(Index!I719/Index!I718)</f>
        <v>6.6972981849655585E-3</v>
      </c>
      <c r="J718" s="28">
        <f>LN(Index!J719/Index!J718)</f>
        <v>-1.2471565318906228E-2</v>
      </c>
      <c r="K718" s="28">
        <f>LN(Index!K719/Index!K718)</f>
        <v>-2.2079401496629621E-2</v>
      </c>
      <c r="L718" s="28">
        <f>LN(Index!L719/Index!L718)</f>
        <v>-1.3821718959066535E-3</v>
      </c>
      <c r="M718" s="28">
        <f>LN(Index!M719/Index!M718)</f>
        <v>8.0558745906680693E-3</v>
      </c>
      <c r="N718" s="28">
        <f>LN(Index!N719/Index!N718)</f>
        <v>2.2198982983139535E-3</v>
      </c>
    </row>
    <row r="719" spans="1:14">
      <c r="A719" s="15">
        <v>42650</v>
      </c>
      <c r="B719" s="28">
        <f>LN(Index!B720/Index!B719)</f>
        <v>-7.7194855817647153E-3</v>
      </c>
      <c r="C719" s="28">
        <f>LN(Index!C720/Index!C719)</f>
        <v>-9.3733388162722184E-3</v>
      </c>
      <c r="D719" s="28">
        <f>LN(Index!D720/Index!D719)</f>
        <v>-4.8925401480382706E-2</v>
      </c>
      <c r="E719" s="28">
        <f>LN(Index!E720/Index!E719)</f>
        <v>-7.257703173830006E-2</v>
      </c>
      <c r="F719" s="28">
        <f>LN(Index!F720/Index!F719)</f>
        <v>-3.8570654775883666E-2</v>
      </c>
      <c r="G719" s="28">
        <f>LN(Index!G720/Index!G719)</f>
        <v>-2.5912919630488911E-2</v>
      </c>
      <c r="H719" s="28">
        <f>LN(Index!H720/Index!H719)</f>
        <v>-5.7532151567926147E-2</v>
      </c>
      <c r="I719" s="28">
        <f>LN(Index!I720/Index!I719)</f>
        <v>-3.4662637657948032E-2</v>
      </c>
      <c r="J719" s="28">
        <f>LN(Index!J720/Index!J719)</f>
        <v>-7.0184603490667657E-2</v>
      </c>
      <c r="K719" s="28">
        <f>LN(Index!K720/Index!K719)</f>
        <v>1.9259171945565028E-2</v>
      </c>
      <c r="L719" s="28">
        <f>LN(Index!L720/Index!L719)</f>
        <v>-4.7662226460784093E-2</v>
      </c>
      <c r="M719" s="28">
        <f>LN(Index!M720/Index!M719)</f>
        <v>-5.8868137210662197E-2</v>
      </c>
      <c r="N719" s="28">
        <f>LN(Index!N720/Index!N719)</f>
        <v>-3.2074796103352149E-2</v>
      </c>
    </row>
    <row r="720" spans="1:14">
      <c r="A720" s="15">
        <v>42657</v>
      </c>
      <c r="B720" s="28">
        <f>LN(Index!B721/Index!B720)</f>
        <v>-1.0974506157810052E-2</v>
      </c>
      <c r="C720" s="28">
        <f>LN(Index!C721/Index!C720)</f>
        <v>-4.8812614729252654E-3</v>
      </c>
      <c r="D720" s="28">
        <f>LN(Index!D721/Index!D720)</f>
        <v>1.0838431037006727E-3</v>
      </c>
      <c r="E720" s="28">
        <f>LN(Index!E721/Index!E720)</f>
        <v>4.1319048700570547E-3</v>
      </c>
      <c r="F720" s="28">
        <f>LN(Index!F721/Index!F720)</f>
        <v>8.7410200625695107E-3</v>
      </c>
      <c r="G720" s="28">
        <f>LN(Index!G721/Index!G720)</f>
        <v>-5.273416731299641E-3</v>
      </c>
      <c r="H720" s="28">
        <f>LN(Index!H721/Index!H720)</f>
        <v>1.1191033507640944E-2</v>
      </c>
      <c r="I720" s="28">
        <f>LN(Index!I721/Index!I720)</f>
        <v>1.072823226895963E-3</v>
      </c>
      <c r="J720" s="28">
        <f>LN(Index!J721/Index!J720)</f>
        <v>5.1841736292460548E-3</v>
      </c>
      <c r="K720" s="28">
        <f>LN(Index!K721/Index!K720)</f>
        <v>-1.4536164967033173E-2</v>
      </c>
      <c r="L720" s="28">
        <f>LN(Index!L721/Index!L720)</f>
        <v>3.0908211524480297E-2</v>
      </c>
      <c r="M720" s="28">
        <f>LN(Index!M721/Index!M720)</f>
        <v>-6.5814733906416096E-4</v>
      </c>
      <c r="N720" s="28">
        <f>LN(Index!N721/Index!N720)</f>
        <v>-2.8042062622090887E-3</v>
      </c>
    </row>
    <row r="721" spans="1:14">
      <c r="A721" s="15">
        <v>42664</v>
      </c>
      <c r="B721" s="28">
        <f>LN(Index!B722/Index!B721)</f>
        <v>4.3889821755830139E-3</v>
      </c>
      <c r="C721" s="28">
        <f>LN(Index!C722/Index!C721)</f>
        <v>2.282539570863606E-3</v>
      </c>
      <c r="D721" s="28">
        <f>LN(Index!D722/Index!D721)</f>
        <v>8.5264269187686637E-3</v>
      </c>
      <c r="E721" s="28">
        <f>LN(Index!E722/Index!E721)</f>
        <v>-1.442398355606023E-3</v>
      </c>
      <c r="F721" s="28">
        <f>LN(Index!F722/Index!F721)</f>
        <v>1.53065799900835E-2</v>
      </c>
      <c r="G721" s="28">
        <f>LN(Index!G722/Index!G721)</f>
        <v>1.3622514837398996E-2</v>
      </c>
      <c r="H721" s="28">
        <f>LN(Index!H722/Index!H721)</f>
        <v>3.4628247078154983E-3</v>
      </c>
      <c r="I721" s="28">
        <f>LN(Index!I722/Index!I721)</f>
        <v>2.2036960974424657E-2</v>
      </c>
      <c r="J721" s="28">
        <f>LN(Index!J722/Index!J721)</f>
        <v>1.6106473965705231E-2</v>
      </c>
      <c r="K721" s="28">
        <f>LN(Index!K722/Index!K721)</f>
        <v>1.6886908253398343E-2</v>
      </c>
      <c r="L721" s="28">
        <f>LN(Index!L722/Index!L721)</f>
        <v>1.2434205584719761E-2</v>
      </c>
      <c r="M721" s="28">
        <f>LN(Index!M722/Index!M721)</f>
        <v>1.6015196319995591E-3</v>
      </c>
      <c r="N721" s="28">
        <f>LN(Index!N722/Index!N721)</f>
        <v>1.4772864839600577E-2</v>
      </c>
    </row>
    <row r="722" spans="1:14">
      <c r="A722" s="15">
        <v>42671</v>
      </c>
      <c r="B722" s="28">
        <f>LN(Index!B723/Index!B722)</f>
        <v>-6.0139563119827903E-3</v>
      </c>
      <c r="C722" s="28">
        <f>LN(Index!C723/Index!C722)</f>
        <v>-6.9880791194310244E-3</v>
      </c>
      <c r="D722" s="28">
        <f>LN(Index!D723/Index!D722)</f>
        <v>-2.4332100659530783E-2</v>
      </c>
      <c r="E722" s="28">
        <f>LN(Index!E723/Index!E722)</f>
        <v>2.9233782561256467E-5</v>
      </c>
      <c r="F722" s="28">
        <f>LN(Index!F723/Index!F722)</f>
        <v>-1.2155273999844254E-2</v>
      </c>
      <c r="G722" s="28">
        <f>LN(Index!G723/Index!G722)</f>
        <v>-2.5901630769888745E-2</v>
      </c>
      <c r="H722" s="28">
        <f>LN(Index!H723/Index!H722)</f>
        <v>2.6043942145299068E-3</v>
      </c>
      <c r="I722" s="28">
        <f>LN(Index!I723/Index!I722)</f>
        <v>-1.6037981055404681E-2</v>
      </c>
      <c r="J722" s="28">
        <f>LN(Index!J723/Index!J722)</f>
        <v>-5.3840699887510481E-3</v>
      </c>
      <c r="K722" s="28">
        <f>LN(Index!K723/Index!K722)</f>
        <v>-1.885163133192308E-2</v>
      </c>
      <c r="L722" s="28">
        <f>LN(Index!L723/Index!L722)</f>
        <v>-2.5294120768879344E-3</v>
      </c>
      <c r="M722" s="28">
        <f>LN(Index!M723/Index!M722)</f>
        <v>-1.5567339727134411E-2</v>
      </c>
      <c r="N722" s="28">
        <f>LN(Index!N723/Index!N722)</f>
        <v>-1.9088609817495765E-2</v>
      </c>
    </row>
    <row r="723" spans="1:14">
      <c r="A723" s="15">
        <v>42678</v>
      </c>
      <c r="B723" s="28">
        <f>LN(Index!B724/Index!B723)</f>
        <v>-1.8406526082101103E-2</v>
      </c>
      <c r="C723" s="28">
        <f>LN(Index!C724/Index!C723)</f>
        <v>7.5826683748831869E-3</v>
      </c>
      <c r="D723" s="28">
        <f>LN(Index!D724/Index!D723)</f>
        <v>-7.4693945717219387E-3</v>
      </c>
      <c r="E723" s="28">
        <f>LN(Index!E724/Index!E723)</f>
        <v>-1.684799630117656E-2</v>
      </c>
      <c r="F723" s="28">
        <f>LN(Index!F724/Index!F723)</f>
        <v>-3.3299671667660929E-2</v>
      </c>
      <c r="G723" s="28">
        <f>LN(Index!G724/Index!G723)</f>
        <v>-5.6682896822182315E-4</v>
      </c>
      <c r="H723" s="28">
        <f>LN(Index!H724/Index!H723)</f>
        <v>-1.320474059680359E-2</v>
      </c>
      <c r="I723" s="28">
        <f>LN(Index!I724/Index!I723)</f>
        <v>-1.716534334752139E-2</v>
      </c>
      <c r="J723" s="28">
        <f>LN(Index!J724/Index!J723)</f>
        <v>-1.1908536228240672E-2</v>
      </c>
      <c r="K723" s="28">
        <f>LN(Index!K724/Index!K723)</f>
        <v>-2.5803192465692206E-2</v>
      </c>
      <c r="L723" s="28">
        <f>LN(Index!L724/Index!L723)</f>
        <v>-3.2238923267300407E-2</v>
      </c>
      <c r="M723" s="28">
        <f>LN(Index!M724/Index!M723)</f>
        <v>-9.4428276898481499E-3</v>
      </c>
      <c r="N723" s="28">
        <f>LN(Index!N724/Index!N723)</f>
        <v>-3.5023834392854877E-2</v>
      </c>
    </row>
    <row r="724" spans="1:14">
      <c r="A724" s="15">
        <v>42685</v>
      </c>
      <c r="B724" s="28">
        <f>LN(Index!B725/Index!B724)</f>
        <v>2.1966204570468557E-2</v>
      </c>
      <c r="C724" s="28">
        <f>LN(Index!C725/Index!C724)</f>
        <v>-2.003794327088541E-2</v>
      </c>
      <c r="D724" s="28">
        <f>LN(Index!D725/Index!D724)</f>
        <v>-2.5128293546783732E-2</v>
      </c>
      <c r="E724" s="28">
        <f>LN(Index!E725/Index!E724)</f>
        <v>-5.7365671260965291E-2</v>
      </c>
      <c r="F724" s="28">
        <f>LN(Index!F725/Index!F724)</f>
        <v>-1.7137974611483232E-2</v>
      </c>
      <c r="G724" s="28">
        <f>LN(Index!G725/Index!G724)</f>
        <v>-5.3591833414041633E-2</v>
      </c>
      <c r="H724" s="28">
        <f>LN(Index!H725/Index!H724)</f>
        <v>-4.8868621694529671E-2</v>
      </c>
      <c r="I724" s="28">
        <f>LN(Index!I725/Index!I724)</f>
        <v>-6.3509438859198922E-2</v>
      </c>
      <c r="J724" s="28">
        <f>LN(Index!J725/Index!J724)</f>
        <v>-1.8799061430402688E-2</v>
      </c>
      <c r="K724" s="28">
        <f>LN(Index!K725/Index!K724)</f>
        <v>-6.7958188915765976E-3</v>
      </c>
      <c r="L724" s="28">
        <f>LN(Index!L725/Index!L724)</f>
        <v>-6.3665390739013533E-2</v>
      </c>
      <c r="M724" s="28">
        <f>LN(Index!M725/Index!M724)</f>
        <v>-6.5225016285894971E-2</v>
      </c>
      <c r="N724" s="28">
        <f>LN(Index!N725/Index!N724)</f>
        <v>-1.1669403396127209E-2</v>
      </c>
    </row>
    <row r="725" spans="1:14">
      <c r="A725" s="15">
        <v>42692</v>
      </c>
      <c r="B725" s="28">
        <f>LN(Index!B726/Index!B725)</f>
        <v>2.1211782045974789E-4</v>
      </c>
      <c r="C725" s="28">
        <f>LN(Index!C726/Index!C725)</f>
        <v>-1.6535197946692563E-2</v>
      </c>
      <c r="D725" s="28">
        <f>LN(Index!D726/Index!D725)</f>
        <v>-5.9734090188041022E-3</v>
      </c>
      <c r="E725" s="28">
        <f>LN(Index!E726/Index!E725)</f>
        <v>-3.7263922023907527E-2</v>
      </c>
      <c r="F725" s="28">
        <f>LN(Index!F726/Index!F725)</f>
        <v>2.1879630965752839E-2</v>
      </c>
      <c r="G725" s="28">
        <f>LN(Index!G726/Index!G725)</f>
        <v>-7.0968927896382537E-3</v>
      </c>
      <c r="H725" s="28">
        <f>LN(Index!H726/Index!H725)</f>
        <v>-2.3460620877095956E-2</v>
      </c>
      <c r="I725" s="28">
        <f>LN(Index!I726/Index!I725)</f>
        <v>4.6481159878233548E-3</v>
      </c>
      <c r="J725" s="28">
        <f>LN(Index!J726/Index!J725)</f>
        <v>8.9441501832743242E-3</v>
      </c>
      <c r="K725" s="28">
        <f>LN(Index!K726/Index!K725)</f>
        <v>-2.1305561686830706E-3</v>
      </c>
      <c r="L725" s="28">
        <f>LN(Index!L726/Index!L725)</f>
        <v>2.8526442389735958E-3</v>
      </c>
      <c r="M725" s="28">
        <f>LN(Index!M726/Index!M725)</f>
        <v>-2.4495337438046428E-2</v>
      </c>
      <c r="N725" s="28">
        <f>LN(Index!N726/Index!N725)</f>
        <v>2.2994251058662925E-2</v>
      </c>
    </row>
    <row r="726" spans="1:14">
      <c r="A726" s="15">
        <v>42699</v>
      </c>
      <c r="B726" s="28">
        <f>LN(Index!B727/Index!B726)</f>
        <v>1.3744332400275153E-2</v>
      </c>
      <c r="C726" s="28">
        <f>LN(Index!C727/Index!C726)</f>
        <v>-3.4225898385590349E-3</v>
      </c>
      <c r="D726" s="28">
        <f>LN(Index!D727/Index!D726)</f>
        <v>1.2341826030387441E-2</v>
      </c>
      <c r="E726" s="28">
        <f>LN(Index!E727/Index!E726)</f>
        <v>8.2545071867474226E-3</v>
      </c>
      <c r="F726" s="28">
        <f>LN(Index!F727/Index!F726)</f>
        <v>1.3981271715528399E-2</v>
      </c>
      <c r="G726" s="28">
        <f>LN(Index!G727/Index!G726)</f>
        <v>1.9659957713273335E-2</v>
      </c>
      <c r="H726" s="28">
        <f>LN(Index!H727/Index!H726)</f>
        <v>1.2775389747411773E-2</v>
      </c>
      <c r="I726" s="28">
        <f>LN(Index!I727/Index!I726)</f>
        <v>1.2168450061338357E-2</v>
      </c>
      <c r="J726" s="28">
        <f>LN(Index!J727/Index!J726)</f>
        <v>2.2458074204309616E-2</v>
      </c>
      <c r="K726" s="28">
        <f>LN(Index!K727/Index!K726)</f>
        <v>-1.3620384722031356E-2</v>
      </c>
      <c r="L726" s="28">
        <f>LN(Index!L727/Index!L726)</f>
        <v>1.1240551514010355E-2</v>
      </c>
      <c r="M726" s="28">
        <f>LN(Index!M727/Index!M726)</f>
        <v>2.4568129328205766E-2</v>
      </c>
      <c r="N726" s="28">
        <f>LN(Index!N727/Index!N726)</f>
        <v>1.2222897008145991E-2</v>
      </c>
    </row>
    <row r="727" spans="1:14">
      <c r="A727" s="15">
        <v>42706</v>
      </c>
      <c r="B727" s="28">
        <f>LN(Index!B728/Index!B727)</f>
        <v>-6.9392484368408234E-3</v>
      </c>
      <c r="C727" s="28">
        <f>LN(Index!C728/Index!C727)</f>
        <v>1.4682588318321423E-3</v>
      </c>
      <c r="D727" s="28">
        <f>LN(Index!D728/Index!D727)</f>
        <v>-1.8847101779912211E-3</v>
      </c>
      <c r="E727" s="28">
        <f>LN(Index!E728/Index!E727)</f>
        <v>4.4151810030038774E-4</v>
      </c>
      <c r="F727" s="28">
        <f>LN(Index!F728/Index!F727)</f>
        <v>-1.4003638076522362E-2</v>
      </c>
      <c r="G727" s="28">
        <f>LN(Index!G728/Index!G727)</f>
        <v>-8.6727862720502018E-3</v>
      </c>
      <c r="H727" s="28">
        <f>LN(Index!H728/Index!H727)</f>
        <v>-9.6483107963504077E-3</v>
      </c>
      <c r="I727" s="28">
        <f>LN(Index!I728/Index!I727)</f>
        <v>-1.7107914957286197E-2</v>
      </c>
      <c r="J727" s="28">
        <f>LN(Index!J728/Index!J727)</f>
        <v>-1.997080213204009E-2</v>
      </c>
      <c r="K727" s="28">
        <f>LN(Index!K728/Index!K727)</f>
        <v>2.4909349440943009E-2</v>
      </c>
      <c r="L727" s="28">
        <f>LN(Index!L728/Index!L727)</f>
        <v>-3.9019952630205509E-2</v>
      </c>
      <c r="M727" s="28">
        <f>LN(Index!M728/Index!M727)</f>
        <v>4.0636479572761421E-3</v>
      </c>
      <c r="N727" s="28">
        <f>LN(Index!N728/Index!N727)</f>
        <v>-4.7468342337909745E-3</v>
      </c>
    </row>
    <row r="728" spans="1:14">
      <c r="A728" s="15">
        <v>42713</v>
      </c>
      <c r="B728" s="28">
        <f>LN(Index!B729/Index!B728)</f>
        <v>2.9508693277261765E-2</v>
      </c>
      <c r="C728" s="28">
        <f>LN(Index!C729/Index!C728)</f>
        <v>-5.8860145151225455E-3</v>
      </c>
      <c r="D728" s="28">
        <f>LN(Index!D729/Index!D728)</f>
        <v>2.879501963273879E-2</v>
      </c>
      <c r="E728" s="28">
        <f>LN(Index!E729/Index!E728)</f>
        <v>1.4824971843552965E-2</v>
      </c>
      <c r="F728" s="28">
        <f>LN(Index!F729/Index!F728)</f>
        <v>1.4593450869406726E-2</v>
      </c>
      <c r="G728" s="28">
        <f>LN(Index!G729/Index!G728)</f>
        <v>1.2038452176692135E-2</v>
      </c>
      <c r="H728" s="28">
        <f>LN(Index!H729/Index!H728)</f>
        <v>2.0835441217824872E-2</v>
      </c>
      <c r="I728" s="28">
        <f>LN(Index!I729/Index!I728)</f>
        <v>2.3270757244148683E-2</v>
      </c>
      <c r="J728" s="28">
        <f>LN(Index!J729/Index!J728)</f>
        <v>5.4439430478444642E-3</v>
      </c>
      <c r="K728" s="28">
        <f>LN(Index!K729/Index!K728)</f>
        <v>2.3744016800253818E-2</v>
      </c>
      <c r="L728" s="28">
        <f>LN(Index!L729/Index!L728)</f>
        <v>1.9055068004637625E-2</v>
      </c>
      <c r="M728" s="28">
        <f>LN(Index!M729/Index!M728)</f>
        <v>1.3507394162385099E-2</v>
      </c>
      <c r="N728" s="28">
        <f>LN(Index!N729/Index!N728)</f>
        <v>9.3568979228861836E-3</v>
      </c>
    </row>
    <row r="729" spans="1:14">
      <c r="A729" s="15">
        <v>42720</v>
      </c>
      <c r="B729" s="28">
        <f>LN(Index!B730/Index!B729)</f>
        <v>-3.0612907493075005E-3</v>
      </c>
      <c r="C729" s="28">
        <f>LN(Index!C730/Index!C729)</f>
        <v>-9.3648257373442553E-3</v>
      </c>
      <c r="D729" s="28">
        <f>LN(Index!D730/Index!D729)</f>
        <v>-1.6634046897362555E-2</v>
      </c>
      <c r="E729" s="28">
        <f>LN(Index!E730/Index!E729)</f>
        <v>7.394248710401021E-3</v>
      </c>
      <c r="F729" s="28">
        <f>LN(Index!F730/Index!F729)</f>
        <v>1.6881830670980955E-2</v>
      </c>
      <c r="G729" s="28">
        <f>LN(Index!G730/Index!G729)</f>
        <v>-9.809227955867859E-3</v>
      </c>
      <c r="H729" s="28">
        <f>LN(Index!H730/Index!H729)</f>
        <v>8.9361215778227133E-3</v>
      </c>
      <c r="I729" s="28">
        <f>LN(Index!I730/Index!I729)</f>
        <v>5.2529210353119927E-3</v>
      </c>
      <c r="J729" s="28">
        <f>LN(Index!J730/Index!J729)</f>
        <v>-1.0195995867281957E-2</v>
      </c>
      <c r="K729" s="28">
        <f>LN(Index!K730/Index!K729)</f>
        <v>-1.7449163196412411E-2</v>
      </c>
      <c r="L729" s="28">
        <f>LN(Index!L730/Index!L729)</f>
        <v>1.8344828348914856E-2</v>
      </c>
      <c r="M729" s="28">
        <f>LN(Index!M730/Index!M729)</f>
        <v>9.0833020681833616E-4</v>
      </c>
      <c r="N729" s="28">
        <f>LN(Index!N730/Index!N729)</f>
        <v>1.6066791825556974E-2</v>
      </c>
    </row>
    <row r="730" spans="1:14">
      <c r="A730" s="15">
        <v>42727</v>
      </c>
      <c r="B730" s="28">
        <f>LN(Index!B731/Index!B730)</f>
        <v>2.5100400498367379E-3</v>
      </c>
      <c r="C730" s="28">
        <f>LN(Index!C731/Index!C730)</f>
        <v>5.9672111711979023E-3</v>
      </c>
      <c r="D730" s="28">
        <f>LN(Index!D731/Index!D730)</f>
        <v>1.3303181421828721E-3</v>
      </c>
      <c r="E730" s="28">
        <f>LN(Index!E731/Index!E730)</f>
        <v>1.3568131358171821E-2</v>
      </c>
      <c r="F730" s="28">
        <f>LN(Index!F731/Index!F730)</f>
        <v>3.9098460995428365E-3</v>
      </c>
      <c r="G730" s="28">
        <f>LN(Index!G731/Index!G730)</f>
        <v>-1.1860262505483377E-3</v>
      </c>
      <c r="H730" s="28">
        <f>LN(Index!H731/Index!H730)</f>
        <v>9.042330090352494E-3</v>
      </c>
      <c r="I730" s="28">
        <f>LN(Index!I731/Index!I730)</f>
        <v>-9.0341101959602321E-3</v>
      </c>
      <c r="J730" s="28">
        <f>LN(Index!J731/Index!J730)</f>
        <v>3.6359526394352374E-3</v>
      </c>
      <c r="K730" s="28">
        <f>LN(Index!K731/Index!K730)</f>
        <v>-1.2154736877243649E-2</v>
      </c>
      <c r="L730" s="28">
        <f>LN(Index!L731/Index!L730)</f>
        <v>1.4603750749768231E-2</v>
      </c>
      <c r="M730" s="28">
        <f>LN(Index!M731/Index!M730)</f>
        <v>1.3286318920178767E-2</v>
      </c>
      <c r="N730" s="28">
        <f>LN(Index!N731/Index!N730)</f>
        <v>1.3556740462459878E-3</v>
      </c>
    </row>
    <row r="731" spans="1:14">
      <c r="A731" s="15">
        <v>42734</v>
      </c>
      <c r="B731" s="28">
        <f>LN(Index!C732/Index!C731)</f>
        <v>4.8982228527062214E-3</v>
      </c>
      <c r="C731" s="28">
        <f>LN(Index!D732/Index!D731)</f>
        <v>1.0789759301716719E-2</v>
      </c>
      <c r="D731" s="28">
        <f>LN(Index!E732/Index!E731)</f>
        <v>6.3099801553188157E-3</v>
      </c>
      <c r="E731" s="28">
        <f>LN(Index!F732/Index!F731)</f>
        <v>-8.3791576199978395E-3</v>
      </c>
      <c r="F731" s="28">
        <f>LN(Index!G732/Index!G731)</f>
        <v>1.9166454733487714E-3</v>
      </c>
      <c r="G731" s="28">
        <f>LN(Index!H732/Index!H731)</f>
        <v>3.599198271327412E-3</v>
      </c>
      <c r="H731" s="28">
        <f>LN(Index!H732/Index!H731)</f>
        <v>3.599198271327412E-3</v>
      </c>
      <c r="I731" s="28">
        <f>LN(Index!I732/Index!I731)</f>
        <v>-3.6656897088442656E-3</v>
      </c>
      <c r="J731" s="28">
        <f>LN(Index!J732/Index!J731)</f>
        <v>5.676579098188834E-3</v>
      </c>
      <c r="K731" s="28">
        <f>LN(Index!K732/Index!K731)</f>
        <v>0</v>
      </c>
      <c r="L731" s="28">
        <f>LN(Index!L732/Index!L731)</f>
        <v>-4.299304824511423E-3</v>
      </c>
      <c r="M731" s="28">
        <f>LN(Index!M732/Index!M731)</f>
        <v>-1.1579191123993265E-3</v>
      </c>
      <c r="N731" s="28">
        <f>LN(Index!N732/Index!N731)</f>
        <v>-8.5142914703947841E-3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M39" sqref="M39"/>
    </sheetView>
  </sheetViews>
  <sheetFormatPr defaultColWidth="11.42578125" defaultRowHeight="15"/>
  <sheetData/>
  <pageMargins left="0.78740157499999996" right="0.78740157499999996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"/>
  <sheetViews>
    <sheetView workbookViewId="0">
      <selection activeCell="D18" sqref="D18"/>
    </sheetView>
  </sheetViews>
  <sheetFormatPr defaultColWidth="10.85546875" defaultRowHeight="15.75"/>
  <cols>
    <col min="1" max="8" width="10.85546875" style="139"/>
    <col min="9" max="9" width="11.28515625" style="139" customWidth="1"/>
    <col min="10" max="16384" width="10.85546875" style="139"/>
  </cols>
  <sheetData>
    <row r="1" spans="1:16">
      <c r="A1" s="138"/>
      <c r="B1" s="138"/>
      <c r="C1" s="138"/>
      <c r="D1" s="138"/>
      <c r="E1" s="138"/>
      <c r="F1" s="138"/>
      <c r="G1" s="138"/>
      <c r="H1" s="138"/>
      <c r="I1" s="138"/>
      <c r="J1" s="138"/>
      <c r="K1" s="138"/>
      <c r="L1" s="138"/>
      <c r="M1" s="138"/>
      <c r="N1" s="138"/>
      <c r="O1" s="138"/>
      <c r="P1" s="138"/>
    </row>
    <row r="2" spans="1:16">
      <c r="A2" s="140" t="s">
        <v>429</v>
      </c>
      <c r="B2" s="141"/>
      <c r="C2" s="141"/>
      <c r="D2" s="141"/>
      <c r="E2" s="141"/>
      <c r="F2" s="141"/>
      <c r="G2" s="141"/>
      <c r="H2" s="141"/>
      <c r="I2" s="142" t="s">
        <v>430</v>
      </c>
      <c r="J2" s="141"/>
      <c r="K2" s="141"/>
      <c r="L2" s="141"/>
      <c r="M2" s="141"/>
      <c r="N2" s="141"/>
      <c r="O2" s="141"/>
      <c r="P2" s="141"/>
    </row>
    <row r="3" spans="1:16">
      <c r="A3" s="143"/>
      <c r="B3" s="141"/>
      <c r="C3" s="141"/>
      <c r="D3" s="144" t="s">
        <v>431</v>
      </c>
      <c r="E3" s="144"/>
      <c r="F3" s="144"/>
      <c r="G3" s="141"/>
      <c r="H3" s="141"/>
      <c r="I3" s="141"/>
      <c r="J3" s="141"/>
      <c r="K3" s="141"/>
      <c r="L3" s="141"/>
      <c r="M3" s="179" t="s">
        <v>431</v>
      </c>
      <c r="N3" s="179"/>
      <c r="O3" s="179"/>
      <c r="P3" s="141"/>
    </row>
    <row r="4" spans="1:16" ht="63.75" thickBot="1">
      <c r="A4" s="145" t="s">
        <v>432</v>
      </c>
      <c r="B4" s="145" t="s">
        <v>433</v>
      </c>
      <c r="C4" s="145"/>
      <c r="D4" s="146" t="s">
        <v>416</v>
      </c>
      <c r="E4" s="146" t="s">
        <v>417</v>
      </c>
      <c r="F4" s="146" t="s">
        <v>28</v>
      </c>
      <c r="G4" s="147"/>
      <c r="H4" s="147"/>
      <c r="I4" s="145" t="s">
        <v>432</v>
      </c>
      <c r="J4" s="145" t="s">
        <v>434</v>
      </c>
      <c r="K4" s="145" t="s">
        <v>433</v>
      </c>
      <c r="L4" s="145"/>
      <c r="M4" s="146" t="s">
        <v>416</v>
      </c>
      <c r="N4" s="146" t="s">
        <v>417</v>
      </c>
      <c r="O4" s="146" t="s">
        <v>28</v>
      </c>
      <c r="P4" s="148"/>
    </row>
    <row r="5" spans="1:16" ht="16.5" thickTop="1">
      <c r="A5" s="149">
        <f>0.000867674521371607*100</f>
        <v>8.6767452137160708E-2</v>
      </c>
      <c r="B5" s="149">
        <f>0.00578105315737655*100</f>
        <v>0.578105315737655</v>
      </c>
      <c r="C5" s="149"/>
      <c r="D5" s="150">
        <v>7.9577019439144206E-2</v>
      </c>
      <c r="E5" s="150">
        <v>0.92042298056085603</v>
      </c>
      <c r="F5" s="150">
        <v>0</v>
      </c>
      <c r="G5" s="151"/>
      <c r="H5" s="151"/>
      <c r="I5" s="149">
        <f>0.000858898983691322*100</f>
        <v>8.5889898369132189E-2</v>
      </c>
      <c r="J5" s="149">
        <f>0.0127959027784811*100</f>
        <v>1.2795902778481101</v>
      </c>
      <c r="K5" s="149">
        <f>0.00579708838808418*100</f>
        <v>0.57970883880841795</v>
      </c>
      <c r="L5" s="149"/>
      <c r="M5" s="150">
        <v>7.9577019439144206E-2</v>
      </c>
      <c r="N5" s="150">
        <v>0.92042298056085603</v>
      </c>
      <c r="O5" s="150">
        <v>0</v>
      </c>
      <c r="P5" s="151"/>
    </row>
    <row r="6" spans="1:16">
      <c r="A6" s="149">
        <f>0.000934713009507358*100</f>
        <v>9.3471300950735803E-2</v>
      </c>
      <c r="B6" s="149">
        <f>0.00665167383113383*100</f>
        <v>0.66516738311338297</v>
      </c>
      <c r="C6" s="149"/>
      <c r="D6" s="150">
        <v>0.20333255338895501</v>
      </c>
      <c r="E6" s="150">
        <v>0.790379240481072</v>
      </c>
      <c r="F6" s="150">
        <v>6.28820612997318E-3</v>
      </c>
      <c r="G6" s="151"/>
      <c r="H6" s="151"/>
      <c r="I6" s="149">
        <f>0.000926912531569056*100</f>
        <v>9.2691253156905601E-2</v>
      </c>
      <c r="J6" s="149">
        <f>0.0146790361192449*100</f>
        <v>1.4679036119244899</v>
      </c>
      <c r="K6" s="149">
        <f>0.00647151607015608*100</f>
        <v>0.64715160701560803</v>
      </c>
      <c r="L6" s="149"/>
      <c r="M6" s="150">
        <v>0.20333255338895501</v>
      </c>
      <c r="N6" s="150">
        <v>0.790379240481072</v>
      </c>
      <c r="O6" s="150">
        <v>6.28820612997318E-3</v>
      </c>
      <c r="P6" s="151"/>
    </row>
    <row r="7" spans="1:16">
      <c r="A7" s="149">
        <f>0.00100175149764267*100</f>
        <v>0.100175149764267</v>
      </c>
      <c r="B7" s="149">
        <f>0.00861370888603742*100</f>
        <v>0.861370888603742</v>
      </c>
      <c r="C7" s="149"/>
      <c r="D7" s="150">
        <v>0.21850375460722199</v>
      </c>
      <c r="E7" s="150">
        <v>0.68308011797672896</v>
      </c>
      <c r="F7" s="150">
        <v>9.8416127416048702E-2</v>
      </c>
      <c r="G7" s="151"/>
      <c r="H7" s="151"/>
      <c r="I7" s="149">
        <f>0.00099492607944679*100</f>
        <v>9.9492607944678998E-2</v>
      </c>
      <c r="J7" s="149">
        <f>0.0198673350373531*100</f>
        <v>1.98673350373531</v>
      </c>
      <c r="K7" s="149">
        <f>0.00839874275005539*100</f>
        <v>0.83987427500553902</v>
      </c>
      <c r="L7" s="149"/>
      <c r="M7" s="150">
        <v>0.21850375460722199</v>
      </c>
      <c r="N7" s="150">
        <v>0.68308011797672896</v>
      </c>
      <c r="O7" s="150">
        <v>9.8416127416048702E-2</v>
      </c>
      <c r="P7" s="151"/>
    </row>
    <row r="8" spans="1:16">
      <c r="A8" s="149">
        <f>0.00106878998577821*100</f>
        <v>0.106878998577821</v>
      </c>
      <c r="B8" s="149">
        <f>0.0110147289559242*100</f>
        <v>1.10147289559242</v>
      </c>
      <c r="C8" s="149"/>
      <c r="D8" s="150">
        <v>0.23367495582553999</v>
      </c>
      <c r="E8" s="150">
        <v>0.57578099547203099</v>
      </c>
      <c r="F8" s="150">
        <v>0.190544048702429</v>
      </c>
      <c r="G8" s="151"/>
      <c r="H8" s="151"/>
      <c r="I8" s="149">
        <f>0.00106293962732452*100</f>
        <v>0.10629396273245199</v>
      </c>
      <c r="J8" s="149">
        <f>0.0258812479453552*100</f>
        <v>2.5881247945355201</v>
      </c>
      <c r="K8" s="149">
        <f>0.0107952944403528*100</f>
        <v>1.0795294440352801</v>
      </c>
      <c r="L8" s="149"/>
      <c r="M8" s="150">
        <v>0.23367495582553999</v>
      </c>
      <c r="N8" s="150">
        <v>0.57578099547203099</v>
      </c>
      <c r="O8" s="150">
        <v>0.190544048702429</v>
      </c>
      <c r="P8" s="151"/>
    </row>
    <row r="9" spans="1:16">
      <c r="A9" s="149">
        <f>0.00113582847391364*100</f>
        <v>0.11358284739136401</v>
      </c>
      <c r="B9" s="149">
        <f>0.0136245948326116*100</f>
        <v>1.3624594832611601</v>
      </c>
      <c r="C9" s="149"/>
      <c r="D9" s="150">
        <v>0.24884615704383201</v>
      </c>
      <c r="E9" s="150">
        <v>0.46848187296751098</v>
      </c>
      <c r="F9" s="150">
        <v>0.28267196998865701</v>
      </c>
      <c r="G9" s="151"/>
      <c r="H9" s="151"/>
      <c r="I9" s="149">
        <f>0.00113095317520226*100</f>
        <v>0.11309531752022599</v>
      </c>
      <c r="J9" s="149">
        <f>0.0325066887484234*100</f>
        <v>3.25066887484234</v>
      </c>
      <c r="K9" s="149">
        <f>0.0134353032256716*100</f>
        <v>1.34353032256716</v>
      </c>
      <c r="L9" s="149"/>
      <c r="M9" s="150">
        <v>0.24884615704383201</v>
      </c>
      <c r="N9" s="150">
        <v>0.46848187296751098</v>
      </c>
      <c r="O9" s="150">
        <v>0.28267196998865701</v>
      </c>
      <c r="P9" s="151"/>
    </row>
    <row r="10" spans="1:16">
      <c r="A10" s="149">
        <f>0.00120286696204906*100</f>
        <v>0.12028669620490599</v>
      </c>
      <c r="B10" s="149">
        <f>0.0163435605641646*100</f>
        <v>1.6343560564164601</v>
      </c>
      <c r="C10" s="149"/>
      <c r="D10" s="150">
        <v>0.26401735826212502</v>
      </c>
      <c r="E10" s="150">
        <v>0.36118275046298998</v>
      </c>
      <c r="F10" s="150">
        <v>0.374799891274885</v>
      </c>
      <c r="G10" s="151"/>
      <c r="H10" s="151"/>
      <c r="I10" s="149">
        <f>0.00119896672307999*100</f>
        <v>0.11989667230799901</v>
      </c>
      <c r="J10" s="149">
        <f>0.0394397228582337*100</f>
        <v>3.9439722858233703</v>
      </c>
      <c r="K10" s="149">
        <f>0.016187424090633*100</f>
        <v>1.6187424090633</v>
      </c>
      <c r="L10" s="149"/>
      <c r="M10" s="150">
        <v>0.26401735826212502</v>
      </c>
      <c r="N10" s="150">
        <v>0.36118275046298998</v>
      </c>
      <c r="O10" s="150">
        <v>0.374799891274885</v>
      </c>
      <c r="P10" s="151"/>
    </row>
    <row r="11" spans="1:16">
      <c r="A11" s="149">
        <f>0.00126990545018449*100</f>
        <v>0.126990545018449</v>
      </c>
      <c r="B11" s="149">
        <f>0.0191251514152841*100</f>
        <v>1.9125151415284098</v>
      </c>
      <c r="C11" s="149"/>
      <c r="D11" s="150">
        <v>0.27918855948041699</v>
      </c>
      <c r="E11" s="150">
        <v>0.25388362795847003</v>
      </c>
      <c r="F11" s="150">
        <v>0.46692781256111299</v>
      </c>
      <c r="G11" s="151"/>
      <c r="H11" s="151"/>
      <c r="I11" s="149">
        <f>0.00126698027095773*100</f>
        <v>0.12669802709577299</v>
      </c>
      <c r="J11" s="149">
        <f>0.0465918565945387*100</f>
        <v>4.6591856594538701</v>
      </c>
      <c r="K11" s="149">
        <f>0.019007416119865*100</f>
        <v>1.9007416119864999</v>
      </c>
      <c r="L11" s="149"/>
      <c r="M11" s="150">
        <v>0.27918855948041699</v>
      </c>
      <c r="N11" s="150">
        <v>0.25388362795847003</v>
      </c>
      <c r="O11" s="150">
        <v>0.46692781256111299</v>
      </c>
      <c r="P11" s="151"/>
    </row>
    <row r="12" spans="1:16">
      <c r="A12" s="149">
        <f>0.00133694393832003*100</f>
        <v>0.13369439383200299</v>
      </c>
      <c r="B12" s="149">
        <f>0.0219455671738535*100</f>
        <v>2.1945567173853502</v>
      </c>
      <c r="C12" s="149"/>
      <c r="D12" s="150">
        <v>0.29435976069873498</v>
      </c>
      <c r="E12" s="150">
        <v>0.146584505453772</v>
      </c>
      <c r="F12" s="150">
        <v>0.55905573384749296</v>
      </c>
      <c r="G12" s="151"/>
      <c r="H12" s="151"/>
      <c r="I12" s="149">
        <f>0.00133499381883546*100</f>
        <v>0.13349938188354599</v>
      </c>
      <c r="J12" s="149">
        <f>0.0538176886466336*100</f>
        <v>5.3817688646633606</v>
      </c>
      <c r="K12" s="149">
        <f>0.0218683611273911*100</f>
        <v>2.18683611273911</v>
      </c>
      <c r="L12" s="149"/>
      <c r="M12" s="150">
        <v>0.29435976069873498</v>
      </c>
      <c r="N12" s="150">
        <v>0.146584505453772</v>
      </c>
      <c r="O12" s="150">
        <v>0.55905573384749296</v>
      </c>
      <c r="P12" s="151"/>
    </row>
    <row r="13" spans="1:16">
      <c r="A13" s="149">
        <f>0.00140398242645534*100</f>
        <v>0.14039824264553399</v>
      </c>
      <c r="B13" s="149">
        <f>0.0247915606142012*100</f>
        <v>2.4791560614201202</v>
      </c>
      <c r="C13" s="149"/>
      <c r="D13" s="150">
        <v>0.30953096191700202</v>
      </c>
      <c r="E13" s="150">
        <v>3.9285382949429203E-2</v>
      </c>
      <c r="F13" s="150">
        <v>0.65118365513356902</v>
      </c>
      <c r="G13" s="151"/>
      <c r="H13" s="151"/>
      <c r="I13" s="149">
        <f>0.0014030073667132*100</f>
        <v>0.14030073667131998</v>
      </c>
      <c r="J13" s="149">
        <f>0.0611376803065272*100</f>
        <v>6.1137680306527198</v>
      </c>
      <c r="K13" s="149">
        <f>0.0247959604959111*100</f>
        <v>2.4795960495911098</v>
      </c>
      <c r="L13" s="149"/>
      <c r="M13" s="150">
        <v>0.30953096191700202</v>
      </c>
      <c r="N13" s="150">
        <v>3.9285382949429203E-2</v>
      </c>
      <c r="O13" s="150">
        <v>0.65118365513356902</v>
      </c>
      <c r="P13" s="151"/>
    </row>
    <row r="14" spans="1:16">
      <c r="A14" s="152">
        <f>0.00147102091459103*100</f>
        <v>0.147102091459103</v>
      </c>
      <c r="B14" s="152">
        <f>0.0279687106909706*100</f>
        <v>2.79687106909706</v>
      </c>
      <c r="C14" s="152"/>
      <c r="D14" s="152">
        <v>0</v>
      </c>
      <c r="E14" s="152">
        <v>0</v>
      </c>
      <c r="F14" s="152">
        <v>1</v>
      </c>
      <c r="G14" s="153"/>
      <c r="H14" s="153"/>
      <c r="I14" s="152">
        <f>0.00147102091459093*100</f>
        <v>0.147102091459093</v>
      </c>
      <c r="J14" s="152">
        <f>0.0687938362812214*100</f>
        <v>6.8793836281221408</v>
      </c>
      <c r="K14" s="152">
        <f>0.0279687106909647*100</f>
        <v>2.7968710690964698</v>
      </c>
      <c r="L14" s="152"/>
      <c r="M14" s="152">
        <v>0</v>
      </c>
      <c r="N14" s="152">
        <v>0</v>
      </c>
      <c r="O14" s="152">
        <v>1</v>
      </c>
      <c r="P14" s="153"/>
    </row>
  </sheetData>
  <mergeCells count="1">
    <mergeCell ref="M3:O3"/>
  </mergeCells>
  <pageMargins left="0.78740157499999996" right="0.78740157499999996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0"/>
  <sheetViews>
    <sheetView topLeftCell="G1" workbookViewId="0">
      <selection activeCell="P23" sqref="P23"/>
    </sheetView>
  </sheetViews>
  <sheetFormatPr defaultColWidth="10.85546875" defaultRowHeight="15.75"/>
  <cols>
    <col min="1" max="3" width="10.85546875" style="139"/>
    <col min="4" max="4" width="5.140625" style="139" customWidth="1"/>
    <col min="5" max="9" width="10.85546875" style="139"/>
    <col min="10" max="10" width="12.42578125" style="139" customWidth="1"/>
    <col min="11" max="13" width="10.85546875" style="139"/>
    <col min="14" max="14" width="7.7109375" style="139" bestFit="1" customWidth="1"/>
    <col min="15" max="19" width="10.85546875" style="139"/>
    <col min="20" max="20" width="12" style="139" customWidth="1"/>
    <col min="21" max="16384" width="10.85546875" style="139"/>
  </cols>
  <sheetData>
    <row r="1" spans="1:21">
      <c r="J1" s="138"/>
      <c r="K1" s="138"/>
    </row>
    <row r="2" spans="1:21">
      <c r="A2" s="150" t="s">
        <v>435</v>
      </c>
      <c r="B2" s="150"/>
      <c r="C2" s="150"/>
      <c r="D2" s="150"/>
      <c r="E2" s="154"/>
      <c r="F2" s="154"/>
      <c r="G2" s="154"/>
      <c r="H2" s="154"/>
      <c r="I2" s="154"/>
      <c r="J2" s="154"/>
      <c r="L2" s="155" t="s">
        <v>436</v>
      </c>
      <c r="M2" s="156"/>
    </row>
    <row r="3" spans="1:21">
      <c r="A3" s="143"/>
      <c r="B3" s="143"/>
      <c r="C3" s="143"/>
      <c r="D3" s="143"/>
      <c r="E3" s="157" t="s">
        <v>431</v>
      </c>
      <c r="F3" s="143"/>
      <c r="G3" s="158"/>
      <c r="H3" s="158"/>
      <c r="I3" s="158"/>
      <c r="J3" s="158"/>
      <c r="K3" s="143"/>
      <c r="L3" s="143"/>
      <c r="M3" s="143"/>
      <c r="N3" s="157"/>
      <c r="O3" s="159" t="s">
        <v>431</v>
      </c>
      <c r="P3" s="143"/>
      <c r="Q3" s="157"/>
      <c r="R3" s="157"/>
      <c r="S3" s="157"/>
      <c r="T3" s="157"/>
      <c r="U3" s="143"/>
    </row>
    <row r="4" spans="1:21" ht="63.75" thickBot="1">
      <c r="A4" s="160" t="s">
        <v>432</v>
      </c>
      <c r="B4" s="160" t="s">
        <v>434</v>
      </c>
      <c r="C4" s="160" t="s">
        <v>433</v>
      </c>
      <c r="D4" s="160"/>
      <c r="E4" s="161" t="s">
        <v>416</v>
      </c>
      <c r="F4" s="161" t="s">
        <v>417</v>
      </c>
      <c r="G4" s="161" t="s">
        <v>28</v>
      </c>
      <c r="H4" s="161" t="s">
        <v>412</v>
      </c>
      <c r="I4" s="161" t="s">
        <v>35</v>
      </c>
      <c r="J4" s="161" t="s">
        <v>34</v>
      </c>
      <c r="K4" s="162"/>
      <c r="L4" s="160" t="s">
        <v>432</v>
      </c>
      <c r="M4" s="160" t="s">
        <v>433</v>
      </c>
      <c r="N4" s="162"/>
      <c r="O4" s="161" t="s">
        <v>416</v>
      </c>
      <c r="P4" s="161" t="s">
        <v>417</v>
      </c>
      <c r="Q4" s="161" t="s">
        <v>28</v>
      </c>
      <c r="R4" s="161" t="s">
        <v>412</v>
      </c>
      <c r="S4" s="161" t="s">
        <v>35</v>
      </c>
      <c r="T4" s="161" t="s">
        <v>34</v>
      </c>
      <c r="U4" s="163"/>
    </row>
    <row r="5" spans="1:21" ht="16.5" thickTop="1">
      <c r="A5" s="164">
        <v>8.5889883404344496E-4</v>
      </c>
      <c r="B5" s="164">
        <v>1.27959026180387E-2</v>
      </c>
      <c r="C5" s="164">
        <v>5.7970889342250096E-3</v>
      </c>
      <c r="D5" s="165"/>
      <c r="E5" s="166">
        <v>6.2335507168019402E-2</v>
      </c>
      <c r="F5" s="166">
        <v>0.93766449283198094</v>
      </c>
      <c r="G5" s="166">
        <v>4.70197740328915E-38</v>
      </c>
      <c r="H5" s="166">
        <v>0</v>
      </c>
      <c r="I5" s="166">
        <v>4.70197740328915E-38</v>
      </c>
      <c r="J5" s="166">
        <v>0</v>
      </c>
      <c r="K5" s="167"/>
      <c r="L5" s="164">
        <v>8.7460845278815097E-4</v>
      </c>
      <c r="M5" s="164">
        <v>5.7799695059329E-3</v>
      </c>
      <c r="N5" s="164"/>
      <c r="O5" s="166">
        <v>7.2545988980347406E-2</v>
      </c>
      <c r="P5" s="166">
        <v>0.91864087553918405</v>
      </c>
      <c r="Q5" s="166">
        <v>0</v>
      </c>
      <c r="R5" s="166">
        <v>0</v>
      </c>
      <c r="S5" s="166">
        <v>0</v>
      </c>
      <c r="T5" s="166">
        <v>8.8131354804682292E-3</v>
      </c>
    </row>
    <row r="6" spans="1:21">
      <c r="A6" s="164">
        <v>9.8791086801139003E-4</v>
      </c>
      <c r="B6" s="164">
        <v>1.37873055370716E-2</v>
      </c>
      <c r="C6" s="164">
        <v>6.0376793987944001E-3</v>
      </c>
      <c r="D6" s="165"/>
      <c r="E6" s="166">
        <v>0</v>
      </c>
      <c r="F6" s="166">
        <v>0.86524559678067303</v>
      </c>
      <c r="G6" s="166">
        <v>0</v>
      </c>
      <c r="H6" s="166">
        <v>0</v>
      </c>
      <c r="I6" s="166">
        <v>0</v>
      </c>
      <c r="J6" s="166">
        <v>0.134754403219328</v>
      </c>
      <c r="K6" s="167"/>
      <c r="L6" s="164">
        <v>1.00187497362771E-3</v>
      </c>
      <c r="M6" s="164">
        <v>6.1099583780173496E-3</v>
      </c>
      <c r="N6" s="164"/>
      <c r="O6" s="166">
        <v>0</v>
      </c>
      <c r="P6" s="166">
        <v>0.85353895543175995</v>
      </c>
      <c r="Q6" s="166">
        <v>0</v>
      </c>
      <c r="R6" s="166">
        <v>0</v>
      </c>
      <c r="S6" s="166">
        <v>0</v>
      </c>
      <c r="T6" s="166">
        <v>0.14646104456824299</v>
      </c>
    </row>
    <row r="7" spans="1:21">
      <c r="A7" s="164">
        <v>1.11692290197933E-3</v>
      </c>
      <c r="B7" s="164">
        <v>1.6080880560986499E-2</v>
      </c>
      <c r="C7" s="164">
        <v>7.0989230855776596E-3</v>
      </c>
      <c r="D7" s="165"/>
      <c r="E7" s="166">
        <v>1.7855147837673E-19</v>
      </c>
      <c r="F7" s="166">
        <v>0.757089897242604</v>
      </c>
      <c r="G7" s="166">
        <v>5.0204235425848602E-21</v>
      </c>
      <c r="H7" s="166">
        <v>0</v>
      </c>
      <c r="I7" s="166">
        <v>0</v>
      </c>
      <c r="J7" s="166">
        <v>0.242910102757396</v>
      </c>
      <c r="K7" s="167"/>
      <c r="L7" s="164">
        <v>1.1291414944697899E-3</v>
      </c>
      <c r="M7" s="164">
        <v>7.2382861587611501E-3</v>
      </c>
      <c r="N7" s="164"/>
      <c r="O7" s="166">
        <v>0</v>
      </c>
      <c r="P7" s="166">
        <v>0.746846585998452</v>
      </c>
      <c r="Q7" s="166">
        <v>0</v>
      </c>
      <c r="R7" s="166">
        <v>0</v>
      </c>
      <c r="S7" s="166">
        <v>0</v>
      </c>
      <c r="T7" s="166">
        <v>0.253153414001555</v>
      </c>
    </row>
    <row r="8" spans="1:21">
      <c r="A8" s="164">
        <v>1.2459349359472799E-3</v>
      </c>
      <c r="B8" s="164">
        <v>1.97851136442556E-2</v>
      </c>
      <c r="C8" s="164">
        <v>8.7982640912971904E-3</v>
      </c>
      <c r="D8" s="165"/>
      <c r="E8" s="166">
        <v>1.38260847375856E-18</v>
      </c>
      <c r="F8" s="166">
        <v>0.64893419770453498</v>
      </c>
      <c r="G8" s="166">
        <v>2.8255731788739201E-18</v>
      </c>
      <c r="H8" s="166">
        <v>0</v>
      </c>
      <c r="I8" s="166">
        <v>4.7187053437323298E-19</v>
      </c>
      <c r="J8" s="166">
        <v>0.35106580229546502</v>
      </c>
      <c r="K8" s="167"/>
      <c r="L8" s="164">
        <v>1.2564080153121E-3</v>
      </c>
      <c r="M8" s="164">
        <v>8.9541170798777495E-3</v>
      </c>
      <c r="N8" s="164"/>
      <c r="O8" s="166">
        <v>0</v>
      </c>
      <c r="P8" s="166">
        <v>0.64015421656495797</v>
      </c>
      <c r="Q8" s="166">
        <v>0</v>
      </c>
      <c r="R8" s="166">
        <v>0</v>
      </c>
      <c r="S8" s="166">
        <v>0</v>
      </c>
      <c r="T8" s="166">
        <v>0.35984578343505302</v>
      </c>
    </row>
    <row r="9" spans="1:21">
      <c r="A9" s="164">
        <v>1.3749469699152199E-3</v>
      </c>
      <c r="B9" s="164">
        <v>2.43673107837564E-2</v>
      </c>
      <c r="C9" s="164">
        <v>1.0839640153548101E-2</v>
      </c>
      <c r="D9" s="165"/>
      <c r="E9" s="166">
        <v>1.36114843809067E-18</v>
      </c>
      <c r="F9" s="166">
        <v>0.54077849816646695</v>
      </c>
      <c r="G9" s="166">
        <v>2.78171629360833E-18</v>
      </c>
      <c r="H9" s="166">
        <v>0</v>
      </c>
      <c r="I9" s="166">
        <v>4.6454643742859901E-19</v>
      </c>
      <c r="J9" s="166">
        <v>0.459221501833533</v>
      </c>
      <c r="K9" s="167"/>
      <c r="L9" s="164">
        <v>1.3836745361544001E-3</v>
      </c>
      <c r="M9" s="164">
        <v>1.09855300224079E-2</v>
      </c>
      <c r="N9" s="164"/>
      <c r="O9" s="166">
        <v>0</v>
      </c>
      <c r="P9" s="166">
        <v>0.53346184713146405</v>
      </c>
      <c r="Q9" s="166">
        <v>0</v>
      </c>
      <c r="R9" s="166">
        <v>0</v>
      </c>
      <c r="S9" s="166">
        <v>0</v>
      </c>
      <c r="T9" s="166">
        <v>0.46653815286855099</v>
      </c>
    </row>
    <row r="10" spans="1:21">
      <c r="A10" s="164">
        <v>1.5039590038831701E-3</v>
      </c>
      <c r="B10" s="164">
        <v>2.95508119992644E-2</v>
      </c>
      <c r="C10" s="164">
        <v>1.30636806409815E-2</v>
      </c>
      <c r="D10" s="165"/>
      <c r="E10" s="166">
        <v>1.3251023615559301E-18</v>
      </c>
      <c r="F10" s="166">
        <v>0.43262279862839798</v>
      </c>
      <c r="G10" s="166">
        <v>2.7080505892579599E-18</v>
      </c>
      <c r="H10" s="166">
        <v>1.7347234759768102E-18</v>
      </c>
      <c r="I10" s="166">
        <v>4.5224426966430697E-19</v>
      </c>
      <c r="J10" s="166">
        <v>0.56737720137160197</v>
      </c>
      <c r="K10" s="167"/>
      <c r="L10" s="164">
        <v>1.5109410569966999E-3</v>
      </c>
      <c r="M10" s="164">
        <v>1.3187484904079E-2</v>
      </c>
      <c r="N10" s="164"/>
      <c r="O10" s="166">
        <v>0</v>
      </c>
      <c r="P10" s="166">
        <v>0.42676947769797002</v>
      </c>
      <c r="Q10" s="166">
        <v>0</v>
      </c>
      <c r="R10" s="166">
        <v>0</v>
      </c>
      <c r="S10" s="166">
        <v>0</v>
      </c>
      <c r="T10" s="166">
        <v>0.57323052230204896</v>
      </c>
    </row>
    <row r="11" spans="1:21">
      <c r="A11" s="164">
        <v>1.63297103785111E-3</v>
      </c>
      <c r="B11" s="164">
        <v>3.5105849212483699E-2</v>
      </c>
      <c r="C11" s="164">
        <v>1.53914037928202E-2</v>
      </c>
      <c r="D11" s="165"/>
      <c r="E11" s="166">
        <v>1.41694504077927E-18</v>
      </c>
      <c r="F11" s="166">
        <v>0.32446709909033</v>
      </c>
      <c r="G11" s="166">
        <v>2.8957452374644299E-18</v>
      </c>
      <c r="H11" s="166">
        <v>0</v>
      </c>
      <c r="I11" s="166">
        <v>4.8358926352622202E-19</v>
      </c>
      <c r="J11" s="166">
        <v>0.67553290090967</v>
      </c>
      <c r="K11" s="167"/>
      <c r="L11" s="164">
        <v>1.6382075778387799E-3</v>
      </c>
      <c r="M11" s="164">
        <v>1.5487410285334799E-2</v>
      </c>
      <c r="N11" s="164"/>
      <c r="O11" s="166">
        <v>0</v>
      </c>
      <c r="P11" s="166">
        <v>0.32007710826466201</v>
      </c>
      <c r="Q11" s="166">
        <v>0</v>
      </c>
      <c r="R11" s="166">
        <v>0</v>
      </c>
      <c r="S11" s="166">
        <v>0</v>
      </c>
      <c r="T11" s="166">
        <v>0.67992289173536102</v>
      </c>
    </row>
    <row r="12" spans="1:21">
      <c r="A12" s="164">
        <v>1.76198307181906E-3</v>
      </c>
      <c r="B12" s="164">
        <v>4.0877356525081503E-2</v>
      </c>
      <c r="C12" s="164">
        <v>1.7782139216940801E-2</v>
      </c>
      <c r="D12" s="165"/>
      <c r="E12" s="166">
        <v>5.9996337390098498E-19</v>
      </c>
      <c r="F12" s="166">
        <v>0.216311399552261</v>
      </c>
      <c r="G12" s="166">
        <v>-7.70371977754894E-34</v>
      </c>
      <c r="H12" s="166">
        <v>0</v>
      </c>
      <c r="I12" s="166">
        <v>-3.8037116401647901E-33</v>
      </c>
      <c r="J12" s="166">
        <v>0.78368860044773903</v>
      </c>
      <c r="K12" s="167"/>
      <c r="L12" s="164">
        <v>1.76547409868097E-3</v>
      </c>
      <c r="M12" s="164">
        <v>1.7847471182952698E-2</v>
      </c>
      <c r="N12" s="164"/>
      <c r="O12" s="166">
        <v>0</v>
      </c>
      <c r="P12" s="166">
        <v>0.21338473883126099</v>
      </c>
      <c r="Q12" s="166">
        <v>0</v>
      </c>
      <c r="R12" s="166">
        <v>0</v>
      </c>
      <c r="S12" s="166">
        <v>0</v>
      </c>
      <c r="T12" s="166">
        <v>0.78661526116876601</v>
      </c>
    </row>
    <row r="13" spans="1:21">
      <c r="A13" s="164">
        <v>1.890995105787E-3</v>
      </c>
      <c r="B13" s="164">
        <v>4.6756271013699703E-2</v>
      </c>
      <c r="C13" s="164">
        <v>2.0213541133127299E-2</v>
      </c>
      <c r="D13" s="165"/>
      <c r="E13" s="166">
        <v>3.6387064823730398E-19</v>
      </c>
      <c r="F13" s="166">
        <v>0.108155700014193</v>
      </c>
      <c r="G13" s="166">
        <v>7.4362566391903597E-19</v>
      </c>
      <c r="H13" s="166">
        <v>0</v>
      </c>
      <c r="I13" s="166">
        <v>1.24185436792321E-19</v>
      </c>
      <c r="J13" s="166">
        <v>0.89184429998580705</v>
      </c>
      <c r="K13" s="167"/>
      <c r="L13" s="164">
        <v>1.8927406195232701E-3</v>
      </c>
      <c r="M13" s="164">
        <v>2.0246649326134101E-2</v>
      </c>
      <c r="N13" s="164"/>
      <c r="O13" s="166">
        <v>0</v>
      </c>
      <c r="P13" s="166">
        <v>0.106692369397767</v>
      </c>
      <c r="Q13" s="166">
        <v>0</v>
      </c>
      <c r="R13" s="166">
        <v>0</v>
      </c>
      <c r="S13" s="166">
        <v>0</v>
      </c>
      <c r="T13" s="166">
        <v>0.89330763060226404</v>
      </c>
    </row>
    <row r="14" spans="1:21">
      <c r="A14" s="168">
        <v>2.0200071397549501E-3</v>
      </c>
      <c r="B14" s="168">
        <v>5.2675123529457198E-2</v>
      </c>
      <c r="C14" s="168">
        <v>2.2672530093261301E-2</v>
      </c>
      <c r="D14" s="169"/>
      <c r="E14" s="170">
        <v>4.70078415314146E-12</v>
      </c>
      <c r="F14" s="170">
        <v>3.56545287814435E-11</v>
      </c>
      <c r="G14" s="170">
        <v>2.68094193492299E-11</v>
      </c>
      <c r="H14" s="170">
        <v>1.2424187614042799E-9</v>
      </c>
      <c r="I14" s="170">
        <v>2.6473770609524898E-10</v>
      </c>
      <c r="J14" s="170">
        <v>0.99999999842568699</v>
      </c>
      <c r="K14" s="144"/>
      <c r="L14" s="168">
        <v>2.0200071403228899E-3</v>
      </c>
      <c r="M14" s="168">
        <v>2.2672530102230599E-2</v>
      </c>
      <c r="N14" s="168"/>
      <c r="O14" s="170">
        <v>0</v>
      </c>
      <c r="P14" s="170">
        <v>0</v>
      </c>
      <c r="Q14" s="170">
        <v>0</v>
      </c>
      <c r="R14" s="170">
        <v>0</v>
      </c>
      <c r="S14" s="170">
        <v>0</v>
      </c>
      <c r="T14" s="170">
        <v>1</v>
      </c>
      <c r="U14" s="141"/>
    </row>
    <row r="15" spans="1:21">
      <c r="J15" s="138"/>
      <c r="K15" s="138"/>
    </row>
    <row r="16" spans="1:21">
      <c r="J16" s="138"/>
      <c r="K16" s="138"/>
    </row>
    <row r="17" spans="1:17">
      <c r="J17" s="138"/>
      <c r="K17" s="138"/>
    </row>
    <row r="18" spans="1:17">
      <c r="J18" s="138"/>
      <c r="K18" s="138"/>
    </row>
    <row r="19" spans="1:17">
      <c r="L19" s="171" t="s">
        <v>437</v>
      </c>
      <c r="M19" s="171" t="s">
        <v>438</v>
      </c>
    </row>
    <row r="20" spans="1:17">
      <c r="A20" s="159" t="s">
        <v>438</v>
      </c>
      <c r="B20" s="157"/>
      <c r="C20" s="157"/>
      <c r="D20" s="157"/>
      <c r="E20" s="180" t="s">
        <v>431</v>
      </c>
      <c r="F20" s="180"/>
      <c r="G20" s="180"/>
      <c r="H20" s="180"/>
      <c r="N20" s="157" t="s">
        <v>431</v>
      </c>
      <c r="O20" s="157"/>
      <c r="P20" s="157"/>
      <c r="Q20" s="157"/>
    </row>
    <row r="21" spans="1:17" ht="63.75" thickBot="1">
      <c r="A21" s="160" t="s">
        <v>432</v>
      </c>
      <c r="B21" s="160" t="s">
        <v>434</v>
      </c>
      <c r="C21" s="160" t="s">
        <v>433</v>
      </c>
      <c r="D21" s="160" t="s">
        <v>439</v>
      </c>
      <c r="E21" s="161" t="s">
        <v>416</v>
      </c>
      <c r="F21" s="161" t="s">
        <v>417</v>
      </c>
      <c r="G21" s="161" t="s">
        <v>28</v>
      </c>
      <c r="H21" s="161" t="s">
        <v>440</v>
      </c>
      <c r="L21" s="160" t="s">
        <v>432</v>
      </c>
      <c r="M21" s="160" t="s">
        <v>432</v>
      </c>
      <c r="N21" s="161" t="s">
        <v>416</v>
      </c>
      <c r="O21" s="161" t="s">
        <v>417</v>
      </c>
      <c r="P21" s="161" t="s">
        <v>28</v>
      </c>
      <c r="Q21" s="161" t="s">
        <v>440</v>
      </c>
    </row>
    <row r="22" spans="1:17" ht="16.5" thickTop="1">
      <c r="A22" s="156">
        <v>8.5889884657248602E-2</v>
      </c>
      <c r="B22" s="156">
        <v>1.2795902631471501</v>
      </c>
      <c r="C22" s="156">
        <v>0.57970888884998495</v>
      </c>
      <c r="D22" s="156">
        <v>0.87066660491671199</v>
      </c>
      <c r="E22" s="156">
        <v>7.2545988980347406E-2</v>
      </c>
      <c r="F22" s="156">
        <v>0.91864087553918405</v>
      </c>
      <c r="G22" s="156">
        <v>0</v>
      </c>
      <c r="H22" s="156">
        <v>8.8131354804682292E-3</v>
      </c>
      <c r="L22" s="156">
        <f>0.000874608452788151*100</f>
        <v>8.7460845278815091E-2</v>
      </c>
      <c r="M22" s="156">
        <f>0.0057799695059329*100</f>
        <v>0.57799695059329004</v>
      </c>
      <c r="N22" s="156">
        <v>7.2545988980347406E-2</v>
      </c>
      <c r="O22" s="156">
        <v>0.91864087553918405</v>
      </c>
      <c r="P22" s="156">
        <v>0</v>
      </c>
      <c r="Q22" s="156">
        <v>8.8131354804682292E-3</v>
      </c>
    </row>
    <row r="23" spans="1:17">
      <c r="A23" s="156">
        <v>9.8791087915365797E-2</v>
      </c>
      <c r="B23" s="156">
        <v>1.37873056854222</v>
      </c>
      <c r="C23" s="156">
        <v>0.60376794517521304</v>
      </c>
      <c r="D23" s="156">
        <v>0.90371721261902405</v>
      </c>
      <c r="E23" s="156">
        <v>0</v>
      </c>
      <c r="F23" s="156">
        <v>0.85353895543175995</v>
      </c>
      <c r="G23" s="156">
        <v>0</v>
      </c>
      <c r="H23" s="156">
        <v>0.14646104456824299</v>
      </c>
      <c r="L23" s="156">
        <f>0.00100187497362771*100</f>
        <v>0.10018749736277099</v>
      </c>
      <c r="M23" s="156">
        <f>0.00610995837801735*100</f>
        <v>0.61099583780173494</v>
      </c>
      <c r="N23" s="156">
        <v>0</v>
      </c>
      <c r="O23" s="156">
        <v>0.85353895543175995</v>
      </c>
      <c r="P23" s="156">
        <v>0</v>
      </c>
      <c r="Q23" s="156">
        <v>0.14646104456824299</v>
      </c>
    </row>
    <row r="24" spans="1:17">
      <c r="A24" s="156">
        <v>0.111692291173483</v>
      </c>
      <c r="B24" s="156">
        <v>1.6080880802229101</v>
      </c>
      <c r="C24" s="156">
        <v>0.70989231946420406</v>
      </c>
      <c r="D24" s="156">
        <v>1.04235222059362</v>
      </c>
      <c r="E24" s="156">
        <v>0</v>
      </c>
      <c r="F24" s="156">
        <v>0.746846585998452</v>
      </c>
      <c r="G24" s="156">
        <v>0</v>
      </c>
      <c r="H24" s="156">
        <v>0.253153414001555</v>
      </c>
      <c r="L24" s="156">
        <f>0.00112914149446979*100</f>
        <v>0.112914149446979</v>
      </c>
      <c r="M24" s="156">
        <f>0.00723828615876115*100</f>
        <v>0.72382861587611502</v>
      </c>
      <c r="N24" s="156">
        <v>0</v>
      </c>
      <c r="O24" s="156">
        <v>0.746846585998452</v>
      </c>
      <c r="P24" s="156">
        <v>0</v>
      </c>
      <c r="Q24" s="156">
        <v>0.253153414001555</v>
      </c>
    </row>
    <row r="25" spans="1:17">
      <c r="A25" s="156">
        <v>0.12459349443159999</v>
      </c>
      <c r="B25" s="156">
        <v>1.9785113911191299</v>
      </c>
      <c r="C25" s="156">
        <v>0.87982642149814805</v>
      </c>
      <c r="D25" s="156">
        <v>1.2451077727238999</v>
      </c>
      <c r="E25" s="156">
        <v>0</v>
      </c>
      <c r="F25" s="156">
        <v>0.64015421656495797</v>
      </c>
      <c r="G25" s="156">
        <v>0</v>
      </c>
      <c r="H25" s="156">
        <v>0.35984578343505302</v>
      </c>
      <c r="L25" s="156">
        <f>0.0012564080153121*100</f>
        <v>0.12564080153120999</v>
      </c>
      <c r="M25" s="156">
        <f>0.00895411707987775*100</f>
        <v>0.89541170798777492</v>
      </c>
      <c r="N25" s="156">
        <v>0</v>
      </c>
      <c r="O25" s="156">
        <v>0.64015421656495797</v>
      </c>
      <c r="P25" s="156">
        <v>0</v>
      </c>
      <c r="Q25" s="156">
        <v>0.35984578343505302</v>
      </c>
    </row>
    <row r="26" spans="1:17">
      <c r="A26" s="156">
        <v>0.137494697689718</v>
      </c>
      <c r="B26" s="156">
        <v>2.4367311048319298</v>
      </c>
      <c r="C26" s="156">
        <v>1.0839640269939801</v>
      </c>
      <c r="D26" s="156">
        <v>1.61780134262685</v>
      </c>
      <c r="E26" s="156">
        <v>0</v>
      </c>
      <c r="F26" s="156">
        <v>0.53346184713146405</v>
      </c>
      <c r="G26" s="156">
        <v>0</v>
      </c>
      <c r="H26" s="156">
        <v>0.46653815286855099</v>
      </c>
      <c r="L26" s="156">
        <f>0.0013836745361544*100</f>
        <v>0.13836745361544001</v>
      </c>
      <c r="M26" s="156">
        <f>0.0109855300224079*100</f>
        <v>1.0985530022407901</v>
      </c>
      <c r="N26" s="156">
        <v>0</v>
      </c>
      <c r="O26" s="156">
        <v>0.53346184713146405</v>
      </c>
      <c r="P26" s="156">
        <v>0</v>
      </c>
      <c r="Q26" s="156">
        <v>0.46653815286855099</v>
      </c>
    </row>
    <row r="27" spans="1:17">
      <c r="A27" s="156">
        <v>0.15039590094783101</v>
      </c>
      <c r="B27" s="156">
        <v>2.9550812235317698</v>
      </c>
      <c r="C27" s="156">
        <v>1.30636807400762</v>
      </c>
      <c r="D27" s="156">
        <v>1.9123987908386602</v>
      </c>
      <c r="E27" s="156">
        <v>0</v>
      </c>
      <c r="F27" s="156">
        <v>0.42676947769797002</v>
      </c>
      <c r="G27" s="156">
        <v>0</v>
      </c>
      <c r="H27" s="156">
        <v>0.57323052230204896</v>
      </c>
      <c r="L27" s="156">
        <f>0.0015109410569967*100</f>
        <v>0.15109410569966999</v>
      </c>
      <c r="M27" s="156">
        <f>0.013187484904079*100</f>
        <v>1.3187484904079001</v>
      </c>
      <c r="N27" s="156">
        <v>0</v>
      </c>
      <c r="O27" s="156">
        <v>0.42676947769797002</v>
      </c>
      <c r="P27" s="156">
        <v>0</v>
      </c>
      <c r="Q27" s="156">
        <v>0.57323052230204896</v>
      </c>
    </row>
    <row r="28" spans="1:17">
      <c r="A28" s="156">
        <v>0.163297104205952</v>
      </c>
      <c r="B28" s="156">
        <v>3.5105849394436701</v>
      </c>
      <c r="C28" s="156">
        <v>1.53914038699364</v>
      </c>
      <c r="D28" s="156">
        <v>2.3030007133580801</v>
      </c>
      <c r="E28" s="156">
        <v>0</v>
      </c>
      <c r="F28" s="156">
        <v>0.32007710826466201</v>
      </c>
      <c r="G28" s="156">
        <v>0</v>
      </c>
      <c r="H28" s="156">
        <v>0.67992289173536102</v>
      </c>
      <c r="L28" s="156">
        <f>0.00163820757783878*100</f>
        <v>0.163820757783878</v>
      </c>
      <c r="M28" s="156">
        <f>0.0154874102853348*100</f>
        <v>1.5487410285334799</v>
      </c>
      <c r="N28" s="156">
        <v>0</v>
      </c>
      <c r="O28" s="156">
        <v>0.32007710826466201</v>
      </c>
      <c r="P28" s="156">
        <v>0</v>
      </c>
      <c r="Q28" s="156">
        <v>0.67992289173536102</v>
      </c>
    </row>
    <row r="29" spans="1:17">
      <c r="A29" s="156">
        <v>0.176198307464069</v>
      </c>
      <c r="B29" s="156">
        <v>4.0877356653649795</v>
      </c>
      <c r="C29" s="156">
        <v>1.7782139269733801</v>
      </c>
      <c r="D29" s="156">
        <v>2.6882779518116999</v>
      </c>
      <c r="E29" s="156">
        <v>0</v>
      </c>
      <c r="F29" s="156">
        <v>0.21338473883126099</v>
      </c>
      <c r="G29" s="156">
        <v>0</v>
      </c>
      <c r="H29" s="156">
        <v>0.78661526116876601</v>
      </c>
      <c r="L29" s="156">
        <f>0.00176547409868097*100</f>
        <v>0.176547409868097</v>
      </c>
      <c r="M29" s="156">
        <f>0.0178474711829527*100</f>
        <v>1.7847471182952699</v>
      </c>
      <c r="N29" s="156">
        <v>0</v>
      </c>
      <c r="O29" s="156">
        <v>0.21338473883126099</v>
      </c>
      <c r="P29" s="156">
        <v>0</v>
      </c>
      <c r="Q29" s="156">
        <v>0.78661526116876601</v>
      </c>
    </row>
    <row r="30" spans="1:17">
      <c r="A30" s="156">
        <v>0.189099510722187</v>
      </c>
      <c r="B30" s="156">
        <v>4.6756271079366796</v>
      </c>
      <c r="C30" s="156">
        <v>2.02135411603411</v>
      </c>
      <c r="D30" s="156">
        <v>2.9622529566726197</v>
      </c>
      <c r="E30" s="156">
        <v>0</v>
      </c>
      <c r="F30" s="156">
        <v>0.106692369397767</v>
      </c>
      <c r="G30" s="156">
        <v>0</v>
      </c>
      <c r="H30" s="156">
        <v>0.89330763060226404</v>
      </c>
      <c r="L30" s="156">
        <f>0.00189274061952327*100</f>
        <v>0.18927406195232702</v>
      </c>
      <c r="M30" s="156">
        <f>0.0202466493261341*100</f>
        <v>2.0246649326134101</v>
      </c>
      <c r="N30" s="156">
        <v>0</v>
      </c>
      <c r="O30" s="156">
        <v>0.106692369397767</v>
      </c>
      <c r="P30" s="156">
        <v>0</v>
      </c>
      <c r="Q30" s="156">
        <v>0.89330763060226404</v>
      </c>
    </row>
    <row r="31" spans="1:17">
      <c r="A31" s="170">
        <v>0.202000713980304</v>
      </c>
      <c r="B31" s="170">
        <v>5.2675123521806606</v>
      </c>
      <c r="C31" s="170">
        <v>2.2672530094339298</v>
      </c>
      <c r="D31" s="170">
        <v>3.45127523673301</v>
      </c>
      <c r="E31" s="170">
        <v>0</v>
      </c>
      <c r="F31" s="170">
        <v>0</v>
      </c>
      <c r="G31" s="170">
        <v>0</v>
      </c>
      <c r="H31" s="170">
        <v>1</v>
      </c>
      <c r="L31" s="170">
        <f>0.00202000714032289*100</f>
        <v>0.202000714032289</v>
      </c>
      <c r="M31" s="170">
        <f>0.0226725301022306*100</f>
        <v>2.2672530102230599</v>
      </c>
      <c r="N31" s="170">
        <v>0</v>
      </c>
      <c r="O31" s="170">
        <v>0</v>
      </c>
      <c r="P31" s="170">
        <v>0</v>
      </c>
      <c r="Q31" s="170">
        <v>1</v>
      </c>
    </row>
    <row r="34" spans="1:8">
      <c r="A34" s="155" t="s">
        <v>441</v>
      </c>
      <c r="B34" s="156"/>
      <c r="C34" s="156"/>
      <c r="D34" s="170"/>
      <c r="E34" s="180" t="s">
        <v>431</v>
      </c>
      <c r="F34" s="180"/>
      <c r="G34" s="180"/>
      <c r="H34" s="180"/>
    </row>
    <row r="35" spans="1:8" ht="63">
      <c r="A35" s="172" t="s">
        <v>432</v>
      </c>
      <c r="B35" s="172" t="s">
        <v>434</v>
      </c>
      <c r="C35" s="172" t="s">
        <v>433</v>
      </c>
      <c r="D35" s="173" t="s">
        <v>439</v>
      </c>
      <c r="E35" s="157" t="s">
        <v>416</v>
      </c>
      <c r="F35" s="157" t="s">
        <v>417</v>
      </c>
      <c r="G35" s="157" t="s">
        <v>28</v>
      </c>
      <c r="H35" s="157" t="s">
        <v>35</v>
      </c>
    </row>
    <row r="36" spans="1:8">
      <c r="A36" s="165">
        <v>8.5889885887138501E-2</v>
      </c>
      <c r="B36" s="165">
        <v>1.27959026446575</v>
      </c>
      <c r="C36" s="165">
        <v>0.57970888436146506</v>
      </c>
      <c r="D36" s="165">
        <v>0.87066681269154411</v>
      </c>
      <c r="E36" s="165">
        <v>7.9577019439144206E-2</v>
      </c>
      <c r="F36" s="165">
        <v>0.92042298056085603</v>
      </c>
      <c r="G36" s="165">
        <v>0</v>
      </c>
      <c r="H36" s="165">
        <v>0</v>
      </c>
    </row>
    <row r="37" spans="1:8">
      <c r="A37" s="165">
        <v>9.4123367257730295E-2</v>
      </c>
      <c r="B37" s="165">
        <v>1.5056867554370599</v>
      </c>
      <c r="C37" s="165">
        <v>0.65796758248771403</v>
      </c>
      <c r="D37" s="165">
        <v>0.95522211304359206</v>
      </c>
      <c r="E37" s="165">
        <v>0.101560929864004</v>
      </c>
      <c r="F37" s="165">
        <v>0.807632133287573</v>
      </c>
      <c r="G37" s="165">
        <v>0</v>
      </c>
      <c r="H37" s="165">
        <v>9.0806936848422698E-2</v>
      </c>
    </row>
    <row r="38" spans="1:8">
      <c r="A38" s="165">
        <v>0.10235684862832199</v>
      </c>
      <c r="B38" s="165">
        <v>1.9405594226148799</v>
      </c>
      <c r="C38" s="165">
        <v>0.82024652612853799</v>
      </c>
      <c r="D38" s="165">
        <v>1.16058428350247</v>
      </c>
      <c r="E38" s="165">
        <v>5.62190331111702E-2</v>
      </c>
      <c r="F38" s="165">
        <v>0.716416808522778</v>
      </c>
      <c r="G38" s="165">
        <v>8.4202109436471093E-3</v>
      </c>
      <c r="H38" s="165">
        <v>0.218943947422405</v>
      </c>
    </row>
    <row r="39" spans="1:8">
      <c r="A39" s="165">
        <v>0.11059032999891399</v>
      </c>
      <c r="B39" s="165">
        <v>2.45958132794201</v>
      </c>
      <c r="C39" s="165">
        <v>1.0157787079082501</v>
      </c>
      <c r="D39" s="165">
        <v>1.37751833698213</v>
      </c>
      <c r="E39" s="165">
        <v>0</v>
      </c>
      <c r="F39" s="165">
        <v>0.62492350887319004</v>
      </c>
      <c r="G39" s="165">
        <v>4.07651483602419E-2</v>
      </c>
      <c r="H39" s="165">
        <v>0.33431134276656799</v>
      </c>
    </row>
    <row r="40" spans="1:8">
      <c r="A40" s="165">
        <v>0.118823811369506</v>
      </c>
      <c r="B40" s="165">
        <v>3.01273639799986</v>
      </c>
      <c r="C40" s="165">
        <v>1.23312511802749</v>
      </c>
      <c r="D40" s="165">
        <v>1.6482347573124798</v>
      </c>
      <c r="E40" s="165">
        <v>0</v>
      </c>
      <c r="F40" s="165">
        <v>0.51918032335600695</v>
      </c>
      <c r="G40" s="165">
        <v>4.3499003778086603E-2</v>
      </c>
      <c r="H40" s="165">
        <v>0.43732067286590598</v>
      </c>
    </row>
    <row r="41" spans="1:8">
      <c r="A41" s="165">
        <v>0.127057292740097</v>
      </c>
      <c r="B41" s="165">
        <v>3.5810902829658202</v>
      </c>
      <c r="C41" s="165">
        <v>1.4641237232572399</v>
      </c>
      <c r="D41" s="165">
        <v>2.0354374792990901</v>
      </c>
      <c r="E41" s="165">
        <v>0</v>
      </c>
      <c r="F41" s="165">
        <v>0.41343713783868002</v>
      </c>
      <c r="G41" s="165">
        <v>4.6232859195934999E-2</v>
      </c>
      <c r="H41" s="165">
        <v>0.54033000296538503</v>
      </c>
    </row>
    <row r="42" spans="1:8">
      <c r="A42" s="165">
        <v>0.13529077411068902</v>
      </c>
      <c r="B42" s="165">
        <v>4.1663434889903197</v>
      </c>
      <c r="C42" s="165">
        <v>1.70322885846933</v>
      </c>
      <c r="D42" s="165">
        <v>2.4507213897259699</v>
      </c>
      <c r="E42" s="165">
        <v>0</v>
      </c>
      <c r="F42" s="165">
        <v>0.30769395232149699</v>
      </c>
      <c r="G42" s="165">
        <v>4.8966714613779702E-2</v>
      </c>
      <c r="H42" s="165">
        <v>0.64333933306472302</v>
      </c>
    </row>
    <row r="43" spans="1:8">
      <c r="A43" s="165">
        <v>0.143524255481281</v>
      </c>
      <c r="B43" s="165">
        <v>4.7589266807425297</v>
      </c>
      <c r="C43" s="165">
        <v>1.9474568952006599</v>
      </c>
      <c r="D43" s="165">
        <v>2.8098429232723201</v>
      </c>
      <c r="E43" s="165">
        <v>0</v>
      </c>
      <c r="F43" s="165">
        <v>0.20195076680431401</v>
      </c>
      <c r="G43" s="165">
        <v>5.1700570031624399E-2</v>
      </c>
      <c r="H43" s="165">
        <v>0.74634866316406201</v>
      </c>
    </row>
    <row r="44" spans="1:8">
      <c r="A44" s="165">
        <v>0.15175773685187299</v>
      </c>
      <c r="B44" s="165">
        <v>5.3529227108879596</v>
      </c>
      <c r="C44" s="165">
        <v>2.1950985672698602</v>
      </c>
      <c r="D44" s="165">
        <v>3.2721016595239703</v>
      </c>
      <c r="E44" s="165">
        <v>0</v>
      </c>
      <c r="F44" s="165">
        <v>9.6207581286986699E-2</v>
      </c>
      <c r="G44" s="165">
        <v>5.4434425449472801E-2</v>
      </c>
      <c r="H44" s="165">
        <v>0.84935799326354</v>
      </c>
    </row>
    <row r="45" spans="1:8">
      <c r="A45" s="169">
        <v>0.15999121822246501</v>
      </c>
      <c r="B45" s="169">
        <v>5.9504931433283694</v>
      </c>
      <c r="C45" s="169">
        <v>2.44511668074838</v>
      </c>
      <c r="D45" s="169">
        <v>3.7356413225766203</v>
      </c>
      <c r="E45" s="169">
        <v>0</v>
      </c>
      <c r="F45" s="169">
        <v>0</v>
      </c>
      <c r="G45" s="169">
        <v>0</v>
      </c>
      <c r="H45" s="169">
        <v>1</v>
      </c>
    </row>
    <row r="48" spans="1:8">
      <c r="A48" s="174" t="s">
        <v>442</v>
      </c>
      <c r="B48" s="154"/>
      <c r="C48" s="154"/>
      <c r="D48" s="175"/>
      <c r="E48" s="180" t="s">
        <v>431</v>
      </c>
      <c r="F48" s="180"/>
      <c r="G48" s="180"/>
      <c r="H48" s="180"/>
    </row>
    <row r="49" spans="1:8" ht="63">
      <c r="A49" s="172" t="s">
        <v>432</v>
      </c>
      <c r="B49" s="172" t="s">
        <v>434</v>
      </c>
      <c r="C49" s="172" t="s">
        <v>433</v>
      </c>
      <c r="D49" s="173" t="s">
        <v>439</v>
      </c>
      <c r="E49" s="157" t="s">
        <v>416</v>
      </c>
      <c r="F49" s="157" t="s">
        <v>417</v>
      </c>
      <c r="G49" s="157" t="s">
        <v>28</v>
      </c>
      <c r="H49" s="157" t="s">
        <v>412</v>
      </c>
    </row>
    <row r="50" spans="1:8">
      <c r="A50" s="165">
        <v>8.5889885781525802E-2</v>
      </c>
      <c r="B50" s="165">
        <v>1.2795902643525199</v>
      </c>
      <c r="C50" s="165">
        <v>0.57970888474690196</v>
      </c>
      <c r="D50" s="165">
        <v>0.870666794849557</v>
      </c>
      <c r="E50" s="165">
        <v>7.9577019439144206E-2</v>
      </c>
      <c r="F50" s="165">
        <v>0.92042298056085603</v>
      </c>
      <c r="G50" s="165">
        <v>0</v>
      </c>
      <c r="H50" s="165">
        <v>0</v>
      </c>
    </row>
    <row r="51" spans="1:8">
      <c r="A51" s="165">
        <v>9.5247135859394594E-2</v>
      </c>
      <c r="B51" s="165">
        <v>1.5050905547306599</v>
      </c>
      <c r="C51" s="165">
        <v>0.66945354668937196</v>
      </c>
      <c r="D51" s="165">
        <v>1.07640701282506</v>
      </c>
      <c r="E51" s="165">
        <v>0.103701064209135</v>
      </c>
      <c r="F51" s="165">
        <v>0.80438861839867604</v>
      </c>
      <c r="G51" s="165">
        <v>0</v>
      </c>
      <c r="H51" s="165">
        <v>9.1910317392188995E-2</v>
      </c>
    </row>
    <row r="52" spans="1:8">
      <c r="A52" s="165">
        <v>0.10460438593726301</v>
      </c>
      <c r="B52" s="165">
        <v>1.98429254697682</v>
      </c>
      <c r="C52" s="165">
        <v>0.87178347502903308</v>
      </c>
      <c r="D52" s="165">
        <v>1.37275028110038</v>
      </c>
      <c r="E52" s="165">
        <v>8.7081560868790403E-2</v>
      </c>
      <c r="F52" s="165">
        <v>0.70536699121452195</v>
      </c>
      <c r="G52" s="165">
        <v>0</v>
      </c>
      <c r="H52" s="165">
        <v>0.207551447916688</v>
      </c>
    </row>
    <row r="53" spans="1:8">
      <c r="A53" s="165">
        <v>0.113961636015132</v>
      </c>
      <c r="B53" s="165">
        <v>2.62161574622067</v>
      </c>
      <c r="C53" s="165">
        <v>1.1081039079239601</v>
      </c>
      <c r="D53" s="165">
        <v>1.69817846654159</v>
      </c>
      <c r="E53" s="165">
        <v>7.0462057528485597E-2</v>
      </c>
      <c r="F53" s="165">
        <v>0.60634536403060502</v>
      </c>
      <c r="G53" s="165">
        <v>0</v>
      </c>
      <c r="H53" s="165">
        <v>0.32319257844090898</v>
      </c>
    </row>
    <row r="54" spans="1:8">
      <c r="A54" s="165">
        <v>0.12331888609300101</v>
      </c>
      <c r="B54" s="165">
        <v>3.3018290015545202</v>
      </c>
      <c r="C54" s="165">
        <v>1.3660258628927699</v>
      </c>
      <c r="D54" s="165">
        <v>2.0302042163059397</v>
      </c>
      <c r="E54" s="165">
        <v>5.3842554188141101E-2</v>
      </c>
      <c r="F54" s="165">
        <v>0.50732373684645105</v>
      </c>
      <c r="G54" s="165">
        <v>0</v>
      </c>
      <c r="H54" s="165">
        <v>0.43883370896540802</v>
      </c>
    </row>
    <row r="55" spans="1:8">
      <c r="A55" s="165">
        <v>0.13267613617086998</v>
      </c>
      <c r="B55" s="165">
        <v>4.0172119656717298</v>
      </c>
      <c r="C55" s="165">
        <v>1.6371885388765699</v>
      </c>
      <c r="D55" s="165">
        <v>2.4239764024146502</v>
      </c>
      <c r="E55" s="165">
        <v>3.7223050847816401E-2</v>
      </c>
      <c r="F55" s="165">
        <v>0.40830210966241598</v>
      </c>
      <c r="G55" s="165">
        <v>0</v>
      </c>
      <c r="H55" s="165">
        <v>0.55447483948976795</v>
      </c>
    </row>
    <row r="56" spans="1:8">
      <c r="A56" s="165">
        <v>0.14203338624873901</v>
      </c>
      <c r="B56" s="165">
        <v>4.74042327227348</v>
      </c>
      <c r="C56" s="165">
        <v>1.9159784007047</v>
      </c>
      <c r="D56" s="165">
        <v>2.9423012772075201</v>
      </c>
      <c r="E56" s="165">
        <v>1.78610583528926E-2</v>
      </c>
      <c r="F56" s="165">
        <v>0.309475999515617</v>
      </c>
      <c r="G56" s="165">
        <v>3.6076122166970302E-3</v>
      </c>
      <c r="H56" s="165">
        <v>0.669055329914793</v>
      </c>
    </row>
    <row r="57" spans="1:8">
      <c r="A57" s="165">
        <v>0.15139063632660799</v>
      </c>
      <c r="B57" s="165">
        <v>5.4750603753348397</v>
      </c>
      <c r="C57" s="165">
        <v>2.1994970830865901</v>
      </c>
      <c r="D57" s="165">
        <v>3.3870058160514604</v>
      </c>
      <c r="E57" s="165">
        <v>0</v>
      </c>
      <c r="F57" s="165">
        <v>0.20870673472562301</v>
      </c>
      <c r="G57" s="165">
        <v>1.2216311088417101E-2</v>
      </c>
      <c r="H57" s="165">
        <v>0.77907695418596001</v>
      </c>
    </row>
    <row r="58" spans="1:8">
      <c r="A58" s="165">
        <v>0.16074788640447701</v>
      </c>
      <c r="B58" s="165">
        <v>6.2124813913962402</v>
      </c>
      <c r="C58" s="165">
        <v>2.4861272838386896</v>
      </c>
      <c r="D58" s="165">
        <v>3.8122813925130297</v>
      </c>
      <c r="E58" s="165">
        <v>0</v>
      </c>
      <c r="F58" s="165">
        <v>0.103499903834485</v>
      </c>
      <c r="G58" s="165">
        <v>9.3504439970005498E-3</v>
      </c>
      <c r="H58" s="165">
        <v>0.88714965216851405</v>
      </c>
    </row>
    <row r="59" spans="1:8">
      <c r="A59" s="169">
        <v>0.17010513648234599</v>
      </c>
      <c r="B59" s="169">
        <v>6.9604522987623501</v>
      </c>
      <c r="C59" s="169">
        <v>2.77490496968261</v>
      </c>
      <c r="D59" s="169">
        <v>4.2252814951073798</v>
      </c>
      <c r="E59" s="169">
        <v>0</v>
      </c>
      <c r="F59" s="169">
        <v>0</v>
      </c>
      <c r="G59" s="169">
        <v>0</v>
      </c>
      <c r="H59" s="169">
        <v>1</v>
      </c>
    </row>
    <row r="70" spans="5:10">
      <c r="E70" s="154"/>
      <c r="F70" s="154"/>
      <c r="G70" s="154"/>
      <c r="H70" s="154"/>
      <c r="I70" s="154"/>
      <c r="J70" s="154"/>
    </row>
  </sheetData>
  <mergeCells count="3">
    <mergeCell ref="E20:H20"/>
    <mergeCell ref="E34:H34"/>
    <mergeCell ref="E48:H48"/>
  </mergeCells>
  <pageMargins left="0.78740157499999996" right="0.78740157499999996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6"/>
  <sheetViews>
    <sheetView tabSelected="1" workbookViewId="0">
      <selection activeCell="G26" sqref="G26"/>
    </sheetView>
  </sheetViews>
  <sheetFormatPr defaultColWidth="10.85546875" defaultRowHeight="15.75"/>
  <cols>
    <col min="1" max="4" width="10.85546875" style="139"/>
    <col min="5" max="5" width="3" style="139" customWidth="1"/>
    <col min="6" max="6" width="9.42578125" style="139" bestFit="1" customWidth="1"/>
    <col min="7" max="9" width="8.42578125" style="139" bestFit="1" customWidth="1"/>
    <col min="10" max="10" width="14.140625" style="139" bestFit="1" customWidth="1"/>
    <col min="11" max="11" width="10" style="139" bestFit="1" customWidth="1"/>
    <col min="12" max="14" width="8.42578125" style="139" bestFit="1" customWidth="1"/>
    <col min="15" max="15" width="10.28515625" style="139" bestFit="1" customWidth="1"/>
    <col min="16" max="23" width="10.85546875" style="139"/>
    <col min="24" max="24" width="14.28515625" style="139" customWidth="1"/>
    <col min="25" max="16384" width="10.85546875" style="139"/>
  </cols>
  <sheetData>
    <row r="2" spans="2:30">
      <c r="B2" s="176" t="s">
        <v>443</v>
      </c>
      <c r="C2" s="176"/>
      <c r="D2" s="176"/>
      <c r="E2" s="176"/>
      <c r="Q2" s="138" t="s">
        <v>444</v>
      </c>
      <c r="U2" s="138"/>
    </row>
    <row r="3" spans="2:30">
      <c r="B3" s="177"/>
      <c r="C3" s="177"/>
      <c r="D3" s="177"/>
      <c r="E3" s="177"/>
      <c r="F3" s="159" t="s">
        <v>431</v>
      </c>
      <c r="G3" s="158"/>
      <c r="H3" s="158"/>
      <c r="I3" s="158"/>
      <c r="J3" s="158"/>
      <c r="K3" s="158"/>
      <c r="L3" s="143"/>
      <c r="M3" s="143"/>
      <c r="N3" s="143"/>
      <c r="O3" s="143"/>
      <c r="P3" s="143"/>
      <c r="Q3" s="143"/>
      <c r="R3" s="143"/>
      <c r="S3" s="143"/>
      <c r="T3" s="158" t="s">
        <v>431</v>
      </c>
      <c r="U3" s="143"/>
      <c r="V3" s="158"/>
      <c r="W3" s="158"/>
      <c r="X3" s="158"/>
      <c r="Y3" s="158"/>
      <c r="Z3" s="143"/>
      <c r="AA3" s="143"/>
      <c r="AB3" s="143"/>
      <c r="AC3" s="143"/>
      <c r="AD3" s="143"/>
    </row>
    <row r="4" spans="2:30" ht="63.75" thickBot="1">
      <c r="B4" s="145" t="s">
        <v>432</v>
      </c>
      <c r="C4" s="145" t="s">
        <v>434</v>
      </c>
      <c r="D4" s="145" t="s">
        <v>433</v>
      </c>
      <c r="E4" s="147"/>
      <c r="F4" s="145" t="s">
        <v>19</v>
      </c>
      <c r="G4" s="145" t="s">
        <v>445</v>
      </c>
      <c r="H4" s="145" t="s">
        <v>21</v>
      </c>
      <c r="I4" s="145" t="s">
        <v>22</v>
      </c>
      <c r="J4" s="145" t="s">
        <v>23</v>
      </c>
      <c r="K4" s="145" t="s">
        <v>24</v>
      </c>
      <c r="L4" s="145" t="s">
        <v>18</v>
      </c>
      <c r="M4" s="145" t="s">
        <v>446</v>
      </c>
      <c r="N4" s="145" t="s">
        <v>27</v>
      </c>
      <c r="O4" s="145" t="s">
        <v>28</v>
      </c>
      <c r="P4" s="148"/>
      <c r="Q4" s="145" t="s">
        <v>432</v>
      </c>
      <c r="R4" s="145" t="s">
        <v>433</v>
      </c>
      <c r="S4" s="148"/>
      <c r="T4" s="145" t="s">
        <v>19</v>
      </c>
      <c r="U4" s="145" t="s">
        <v>445</v>
      </c>
      <c r="V4" s="145" t="s">
        <v>21</v>
      </c>
      <c r="W4" s="145" t="s">
        <v>22</v>
      </c>
      <c r="X4" s="145" t="s">
        <v>23</v>
      </c>
      <c r="Y4" s="145" t="s">
        <v>24</v>
      </c>
      <c r="Z4" s="145" t="s">
        <v>18</v>
      </c>
      <c r="AA4" s="145" t="s">
        <v>446</v>
      </c>
      <c r="AB4" s="145" t="s">
        <v>27</v>
      </c>
      <c r="AC4" s="145" t="s">
        <v>28</v>
      </c>
      <c r="AD4" s="148"/>
    </row>
    <row r="5" spans="2:30" ht="16.5" thickTop="1">
      <c r="B5" s="164">
        <v>9.8173070879370894E-4</v>
      </c>
      <c r="C5" s="164">
        <v>1.26170428598226E-2</v>
      </c>
      <c r="D5" s="164">
        <v>5.8796923839930602E-3</v>
      </c>
      <c r="E5" s="178"/>
      <c r="F5" s="166">
        <v>1.43263374006466E-38</v>
      </c>
      <c r="G5" s="166">
        <v>0</v>
      </c>
      <c r="H5" s="166">
        <v>0</v>
      </c>
      <c r="I5" s="166">
        <v>1.76324152623343E-38</v>
      </c>
      <c r="J5" s="166">
        <v>3.6032067036380698E-2</v>
      </c>
      <c r="K5" s="166">
        <v>2.66322938858175E-39</v>
      </c>
      <c r="L5" s="166">
        <v>3.2326094647612901E-38</v>
      </c>
      <c r="M5" s="166">
        <v>1.5011481353721099E-2</v>
      </c>
      <c r="N5" s="166">
        <v>0.94895645160989806</v>
      </c>
      <c r="O5" s="166">
        <v>2.64486228935015E-38</v>
      </c>
      <c r="Q5" s="164">
        <v>8.8789723933323098E-4</v>
      </c>
      <c r="R5" s="164">
        <v>5.7790211865157296E-3</v>
      </c>
      <c r="S5" s="178"/>
      <c r="T5" s="166">
        <v>0</v>
      </c>
      <c r="U5" s="166">
        <v>0</v>
      </c>
      <c r="V5" s="166">
        <v>0</v>
      </c>
      <c r="W5" s="166">
        <v>0</v>
      </c>
      <c r="X5" s="166">
        <v>5.67198727916568E-3</v>
      </c>
      <c r="Y5" s="166">
        <v>0</v>
      </c>
      <c r="Z5" s="166">
        <v>0</v>
      </c>
      <c r="AA5" s="166">
        <v>7.3870465008583505E-2</v>
      </c>
      <c r="AB5" s="166">
        <v>0.92045754771224797</v>
      </c>
      <c r="AC5" s="166">
        <v>0</v>
      </c>
    </row>
    <row r="6" spans="2:30">
      <c r="B6" s="164">
        <v>1.4176070209441899E-3</v>
      </c>
      <c r="C6" s="164">
        <v>1.4719885432139699E-2</v>
      </c>
      <c r="D6" s="164">
        <v>7.08949343202418E-3</v>
      </c>
      <c r="E6" s="178"/>
      <c r="F6" s="166">
        <v>0</v>
      </c>
      <c r="G6" s="166">
        <v>5.1081292428051504E-19</v>
      </c>
      <c r="H6" s="166">
        <v>0</v>
      </c>
      <c r="I6" s="166">
        <v>0</v>
      </c>
      <c r="J6" s="166">
        <v>0.14480504555892401</v>
      </c>
      <c r="K6" s="166">
        <v>0</v>
      </c>
      <c r="L6" s="166">
        <v>0</v>
      </c>
      <c r="M6" s="166">
        <v>1.2670748187614899E-19</v>
      </c>
      <c r="N6" s="166">
        <v>0.85519495444107596</v>
      </c>
      <c r="O6" s="166">
        <v>5.8601938536652899E-19</v>
      </c>
      <c r="Q6" s="164">
        <v>1.3342004483866199E-3</v>
      </c>
      <c r="R6" s="164">
        <v>6.7062775431079302E-3</v>
      </c>
      <c r="S6" s="178"/>
      <c r="T6" s="166">
        <v>0</v>
      </c>
      <c r="U6" s="166">
        <v>1.4341379886755701E-3</v>
      </c>
      <c r="V6" s="166">
        <v>0</v>
      </c>
      <c r="W6" s="166">
        <v>0</v>
      </c>
      <c r="X6" s="166">
        <v>0.123703831991353</v>
      </c>
      <c r="Y6" s="166">
        <v>0</v>
      </c>
      <c r="Z6" s="166">
        <v>0</v>
      </c>
      <c r="AA6" s="166">
        <v>0</v>
      </c>
      <c r="AB6" s="166">
        <v>0.87486203001997298</v>
      </c>
      <c r="AC6" s="166">
        <v>0</v>
      </c>
    </row>
    <row r="7" spans="2:30">
      <c r="B7" s="164">
        <v>1.8534833330946701E-3</v>
      </c>
      <c r="C7" s="164">
        <v>1.9582118196009999E-2</v>
      </c>
      <c r="D7" s="164">
        <v>9.8198629787898794E-3</v>
      </c>
      <c r="E7" s="178"/>
      <c r="F7" s="166">
        <v>0</v>
      </c>
      <c r="G7" s="166">
        <v>7.70371977754894E-34</v>
      </c>
      <c r="H7" s="166">
        <v>0</v>
      </c>
      <c r="I7" s="166">
        <v>2.0827752903304301E-17</v>
      </c>
      <c r="J7" s="166">
        <v>0.25170415113818401</v>
      </c>
      <c r="K7" s="166">
        <v>1.38777878078145E-17</v>
      </c>
      <c r="L7" s="166">
        <v>0</v>
      </c>
      <c r="M7" s="166">
        <v>0</v>
      </c>
      <c r="N7" s="166">
        <v>0.74829584886181599</v>
      </c>
      <c r="O7" s="166">
        <v>3.4694469519536099E-17</v>
      </c>
      <c r="Q7" s="164">
        <v>1.7805036574404501E-3</v>
      </c>
      <c r="R7" s="164">
        <v>9.2943612829208197E-3</v>
      </c>
      <c r="S7" s="178"/>
      <c r="T7" s="166">
        <v>0</v>
      </c>
      <c r="U7" s="166">
        <v>1.54599533760392E-2</v>
      </c>
      <c r="V7" s="166">
        <v>0</v>
      </c>
      <c r="W7" s="166">
        <v>0</v>
      </c>
      <c r="X7" s="166">
        <v>0.226845541301024</v>
      </c>
      <c r="Y7" s="166">
        <v>0</v>
      </c>
      <c r="Z7" s="166">
        <v>0</v>
      </c>
      <c r="AA7" s="166">
        <v>0</v>
      </c>
      <c r="AB7" s="166">
        <v>0.75769450532294402</v>
      </c>
      <c r="AC7" s="166">
        <v>0</v>
      </c>
    </row>
    <row r="8" spans="2:30">
      <c r="B8" s="164">
        <v>2.2893596452451602E-3</v>
      </c>
      <c r="C8" s="164">
        <v>2.63430271418468E-2</v>
      </c>
      <c r="D8" s="164">
        <v>1.3180844178808999E-2</v>
      </c>
      <c r="E8" s="178"/>
      <c r="F8" s="166">
        <v>1.23259516440783E-32</v>
      </c>
      <c r="G8" s="166">
        <v>1.84889274661175E-32</v>
      </c>
      <c r="H8" s="166">
        <v>0</v>
      </c>
      <c r="I8" s="166">
        <v>3.38963670212154E-32</v>
      </c>
      <c r="J8" s="166">
        <v>0.35860325671744397</v>
      </c>
      <c r="K8" s="166">
        <v>0</v>
      </c>
      <c r="L8" s="166">
        <v>0</v>
      </c>
      <c r="M8" s="166">
        <v>2.8694275904465699E-33</v>
      </c>
      <c r="N8" s="166">
        <v>0.64139674328255603</v>
      </c>
      <c r="O8" s="166">
        <v>2.7733391199176202E-32</v>
      </c>
      <c r="Q8" s="164">
        <v>2.2268068664940701E-3</v>
      </c>
      <c r="R8" s="164">
        <v>1.2657105170230699E-2</v>
      </c>
      <c r="S8" s="178"/>
      <c r="T8" s="166">
        <v>0</v>
      </c>
      <c r="U8" s="166">
        <v>2.9485768763395901E-2</v>
      </c>
      <c r="V8" s="166">
        <v>0</v>
      </c>
      <c r="W8" s="166">
        <v>0</v>
      </c>
      <c r="X8" s="166">
        <v>0.32998725061064299</v>
      </c>
      <c r="Y8" s="166">
        <v>0</v>
      </c>
      <c r="Z8" s="166">
        <v>0</v>
      </c>
      <c r="AA8" s="166">
        <v>0</v>
      </c>
      <c r="AB8" s="166">
        <v>0.64052698062597302</v>
      </c>
      <c r="AC8" s="166">
        <v>0</v>
      </c>
    </row>
    <row r="9" spans="2:30">
      <c r="B9" s="164">
        <v>2.7252359573956401E-3</v>
      </c>
      <c r="C9" s="164">
        <v>3.4129081810731397E-2</v>
      </c>
      <c r="D9" s="164">
        <v>1.67980876933722E-2</v>
      </c>
      <c r="E9" s="178"/>
      <c r="F9" s="166">
        <v>4.6655856894734796E-31</v>
      </c>
      <c r="G9" s="166">
        <v>1.80411241501589E-16</v>
      </c>
      <c r="H9" s="166">
        <v>3.0587553256630899E-33</v>
      </c>
      <c r="I9" s="166">
        <v>2.7755575615628901E-17</v>
      </c>
      <c r="J9" s="166">
        <v>0.465502362296704</v>
      </c>
      <c r="K9" s="166">
        <v>3.7179194195055798E-34</v>
      </c>
      <c r="L9" s="166">
        <v>2.7755575615635798E-17</v>
      </c>
      <c r="M9" s="166">
        <v>6.9388939039072296E-17</v>
      </c>
      <c r="N9" s="166">
        <v>0.53449763770329595</v>
      </c>
      <c r="O9" s="166">
        <v>4.1633363423445299E-17</v>
      </c>
      <c r="Q9" s="164">
        <v>2.6731100755478E-3</v>
      </c>
      <c r="R9" s="164">
        <v>1.6322549965728499E-2</v>
      </c>
      <c r="S9" s="178"/>
      <c r="T9" s="166">
        <v>0</v>
      </c>
      <c r="U9" s="166">
        <v>4.3511584150756101E-2</v>
      </c>
      <c r="V9" s="166">
        <v>0</v>
      </c>
      <c r="W9" s="166">
        <v>0</v>
      </c>
      <c r="X9" s="166">
        <v>0.43312895992028699</v>
      </c>
      <c r="Y9" s="166">
        <v>0</v>
      </c>
      <c r="Z9" s="166">
        <v>0</v>
      </c>
      <c r="AA9" s="166">
        <v>0</v>
      </c>
      <c r="AB9" s="166">
        <v>0.52335945592897204</v>
      </c>
      <c r="AC9" s="166">
        <v>0</v>
      </c>
    </row>
    <row r="10" spans="2:30">
      <c r="B10" s="164">
        <v>3.16111226954612E-3</v>
      </c>
      <c r="C10" s="164">
        <v>4.2154048795736199E-2</v>
      </c>
      <c r="D10" s="164">
        <v>2.0536625808217499E-2</v>
      </c>
      <c r="E10" s="178"/>
      <c r="F10" s="166">
        <v>2.26857193094337E-30</v>
      </c>
      <c r="G10" s="166">
        <v>0</v>
      </c>
      <c r="H10" s="166">
        <v>-2.1895288505075301E-47</v>
      </c>
      <c r="I10" s="166">
        <v>7.74272111563554E-31</v>
      </c>
      <c r="J10" s="166">
        <v>0.57240146787596402</v>
      </c>
      <c r="K10" s="166">
        <v>0</v>
      </c>
      <c r="L10" s="166">
        <v>0</v>
      </c>
      <c r="M10" s="166">
        <v>1.56313301678457E-30</v>
      </c>
      <c r="N10" s="166">
        <v>0.42759853212403598</v>
      </c>
      <c r="O10" s="166">
        <v>8.5439079725006301E-31</v>
      </c>
      <c r="Q10" s="164">
        <v>3.1194132846014098E-3</v>
      </c>
      <c r="R10" s="164">
        <v>2.01259814652026E-2</v>
      </c>
      <c r="S10" s="178"/>
      <c r="T10" s="166">
        <v>0</v>
      </c>
      <c r="U10" s="166">
        <v>5.75373995381128E-2</v>
      </c>
      <c r="V10" s="166">
        <v>0</v>
      </c>
      <c r="W10" s="166">
        <v>0</v>
      </c>
      <c r="X10" s="166">
        <v>0.53627066922990596</v>
      </c>
      <c r="Y10" s="166">
        <v>0</v>
      </c>
      <c r="Z10" s="166">
        <v>0</v>
      </c>
      <c r="AA10" s="166">
        <v>0</v>
      </c>
      <c r="AB10" s="166">
        <v>0.40619193123200098</v>
      </c>
      <c r="AC10" s="166">
        <v>0</v>
      </c>
    </row>
    <row r="11" spans="2:30">
      <c r="B11" s="164">
        <v>3.5969885816966099E-3</v>
      </c>
      <c r="C11" s="164">
        <v>5.0507261710547903E-2</v>
      </c>
      <c r="D11" s="164">
        <v>2.4340632727264999E-2</v>
      </c>
      <c r="E11" s="178"/>
      <c r="F11" s="166">
        <v>0</v>
      </c>
      <c r="G11" s="166">
        <v>0</v>
      </c>
      <c r="H11" s="166">
        <v>0</v>
      </c>
      <c r="I11" s="166">
        <v>-1.75162308040602E-46</v>
      </c>
      <c r="J11" s="166">
        <v>0.67930057345522399</v>
      </c>
      <c r="K11" s="166">
        <v>0</v>
      </c>
      <c r="L11" s="166">
        <v>0</v>
      </c>
      <c r="M11" s="166">
        <v>1.90343179477726E-30</v>
      </c>
      <c r="N11" s="166">
        <v>0.32069942654477601</v>
      </c>
      <c r="O11" s="166">
        <v>3.2770435299687298E-31</v>
      </c>
      <c r="Q11" s="164">
        <v>3.5657164936550301E-3</v>
      </c>
      <c r="R11" s="164">
        <v>2.4001891361978601E-2</v>
      </c>
      <c r="S11" s="178"/>
      <c r="T11" s="166">
        <v>0</v>
      </c>
      <c r="U11" s="166">
        <v>7.1563214925469507E-2</v>
      </c>
      <c r="V11" s="166">
        <v>0</v>
      </c>
      <c r="W11" s="166">
        <v>0</v>
      </c>
      <c r="X11" s="166">
        <v>0.63941237853952504</v>
      </c>
      <c r="Y11" s="166">
        <v>0</v>
      </c>
      <c r="Z11" s="166">
        <v>0</v>
      </c>
      <c r="AA11" s="166">
        <v>0</v>
      </c>
      <c r="AB11" s="166">
        <v>0.28902440653502898</v>
      </c>
      <c r="AC11" s="166">
        <v>0</v>
      </c>
    </row>
    <row r="12" spans="2:30">
      <c r="B12" s="164">
        <v>4.0328648938470898E-3</v>
      </c>
      <c r="C12" s="164">
        <v>5.8932196781805703E-2</v>
      </c>
      <c r="D12" s="164">
        <v>2.81836114805184E-2</v>
      </c>
      <c r="E12" s="178"/>
      <c r="F12" s="166">
        <v>2.3501297432815499E-19</v>
      </c>
      <c r="G12" s="166">
        <v>7.9963886792746896E-19</v>
      </c>
      <c r="H12" s="166">
        <v>1.4922646790149899E-18</v>
      </c>
      <c r="I12" s="166">
        <v>4.8653502886227797E-18</v>
      </c>
      <c r="J12" s="166">
        <v>0.78619967903448396</v>
      </c>
      <c r="K12" s="166">
        <v>0</v>
      </c>
      <c r="L12" s="166">
        <v>4.58920742862572E-18</v>
      </c>
      <c r="M12" s="166">
        <v>-1.5736225508074499E-34</v>
      </c>
      <c r="N12" s="166">
        <v>0.21380032096551599</v>
      </c>
      <c r="O12" s="166">
        <v>1.74728246088349E-18</v>
      </c>
      <c r="Q12" s="164">
        <v>4.01201970270875E-3</v>
      </c>
      <c r="R12" s="164">
        <v>2.7920111289667E-2</v>
      </c>
      <c r="S12" s="178"/>
      <c r="T12" s="166">
        <v>0</v>
      </c>
      <c r="U12" s="166">
        <v>8.5589030312829703E-2</v>
      </c>
      <c r="V12" s="166">
        <v>0</v>
      </c>
      <c r="W12" s="166">
        <v>0</v>
      </c>
      <c r="X12" s="166">
        <v>0.74255408784916999</v>
      </c>
      <c r="Y12" s="166">
        <v>0</v>
      </c>
      <c r="Z12" s="166">
        <v>0</v>
      </c>
      <c r="AA12" s="166">
        <v>0</v>
      </c>
      <c r="AB12" s="166">
        <v>0.171856881838028</v>
      </c>
      <c r="AC12" s="166">
        <v>0</v>
      </c>
    </row>
    <row r="13" spans="2:30">
      <c r="B13" s="164">
        <v>4.4687412059975801E-3</v>
      </c>
      <c r="C13" s="164">
        <v>6.7378483441116299E-2</v>
      </c>
      <c r="D13" s="164">
        <v>3.2051546969691799E-2</v>
      </c>
      <c r="E13" s="178"/>
      <c r="F13" s="166">
        <v>7.70371977754894E-34</v>
      </c>
      <c r="G13" s="166">
        <v>1.03222399892559E-17</v>
      </c>
      <c r="H13" s="166">
        <v>-7.70371977754894E-34</v>
      </c>
      <c r="I13" s="166">
        <v>3.0814879110195801E-33</v>
      </c>
      <c r="J13" s="166">
        <v>0.89309878461374403</v>
      </c>
      <c r="K13" s="166">
        <v>0</v>
      </c>
      <c r="L13" s="166">
        <v>0</v>
      </c>
      <c r="M13" s="166">
        <v>2.7755575615628901E-17</v>
      </c>
      <c r="N13" s="166">
        <v>0.10690121538625599</v>
      </c>
      <c r="O13" s="166">
        <v>1.38777878078145E-17</v>
      </c>
      <c r="Q13" s="164">
        <v>4.4583229117623703E-3</v>
      </c>
      <c r="R13" s="164">
        <v>3.1865037366416001E-2</v>
      </c>
      <c r="S13" s="178"/>
      <c r="T13" s="166">
        <v>0</v>
      </c>
      <c r="U13" s="166">
        <v>9.9614845700186402E-2</v>
      </c>
      <c r="V13" s="166">
        <v>0</v>
      </c>
      <c r="W13" s="166">
        <v>0</v>
      </c>
      <c r="X13" s="166">
        <v>0.84569579715878895</v>
      </c>
      <c r="Y13" s="166">
        <v>0</v>
      </c>
      <c r="Z13" s="166">
        <v>0</v>
      </c>
      <c r="AA13" s="166">
        <v>0</v>
      </c>
      <c r="AB13" s="166">
        <v>5.4689357141057202E-2</v>
      </c>
      <c r="AC13" s="166">
        <v>0</v>
      </c>
    </row>
    <row r="14" spans="2:30">
      <c r="B14" s="168">
        <v>4.9046175181480601E-3</v>
      </c>
      <c r="C14" s="168">
        <v>7.5838646946389004E-2</v>
      </c>
      <c r="D14" s="168">
        <v>3.59363998255375E-2</v>
      </c>
      <c r="E14" s="144"/>
      <c r="F14" s="170">
        <v>3.2277572333330702E-7</v>
      </c>
      <c r="G14" s="170">
        <v>1.4297193532103E-8</v>
      </c>
      <c r="H14" s="170">
        <v>2.5726866609374802E-7</v>
      </c>
      <c r="I14" s="170">
        <v>3.2107545577374902E-7</v>
      </c>
      <c r="J14" s="170">
        <v>0.99999750329724402</v>
      </c>
      <c r="K14" s="170">
        <v>3.0397019697668602E-7</v>
      </c>
      <c r="L14" s="170">
        <v>2.7550588296322602E-7</v>
      </c>
      <c r="M14" s="170">
        <v>3.2969880382066602E-7</v>
      </c>
      <c r="N14" s="170">
        <v>3.5389860191491202E-7</v>
      </c>
      <c r="O14" s="170">
        <v>3.18295283667329E-7</v>
      </c>
      <c r="P14" s="141"/>
      <c r="Q14" s="168">
        <v>4.90462612079153E-3</v>
      </c>
      <c r="R14" s="168">
        <v>3.5936458407137002E-2</v>
      </c>
      <c r="S14" s="144"/>
      <c r="T14" s="170">
        <v>0</v>
      </c>
      <c r="U14" s="170">
        <v>0</v>
      </c>
      <c r="V14" s="170">
        <v>0</v>
      </c>
      <c r="W14" s="170">
        <v>0</v>
      </c>
      <c r="X14" s="170">
        <v>1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41"/>
    </row>
    <row r="16" spans="2:30">
      <c r="B16" s="138"/>
    </row>
  </sheetData>
  <pageMargins left="0.78740157499999996" right="0.78740157499999996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2"/>
  <sheetViews>
    <sheetView topLeftCell="B1" workbookViewId="0">
      <selection activeCell="F21" sqref="F21"/>
    </sheetView>
  </sheetViews>
  <sheetFormatPr defaultColWidth="8.85546875" defaultRowHeight="15"/>
  <cols>
    <col min="1" max="1" width="8.85546875" style="14"/>
    <col min="2" max="2" width="49" style="14" bestFit="1" customWidth="1"/>
    <col min="3" max="5" width="8.85546875" style="14"/>
    <col min="6" max="6" width="21.140625" style="14" bestFit="1" customWidth="1"/>
    <col min="7" max="9" width="8.85546875" style="14"/>
    <col min="10" max="10" width="11.7109375" style="14" customWidth="1"/>
    <col min="11" max="11" width="8.140625" style="14" customWidth="1"/>
    <col min="12" max="12" width="12.28515625" style="14" bestFit="1" customWidth="1"/>
    <col min="13" max="13" width="7.28515625" style="14" bestFit="1" customWidth="1"/>
    <col min="14" max="14" width="13.140625" style="14" bestFit="1" customWidth="1"/>
    <col min="15" max="15" width="11.42578125" style="14" customWidth="1"/>
    <col min="16" max="16" width="7.140625" style="14" customWidth="1"/>
    <col min="17" max="18" width="8.85546875" style="14"/>
    <col min="19" max="19" width="14.42578125" style="14" bestFit="1" customWidth="1"/>
    <col min="20" max="20" width="13.140625" style="14" customWidth="1"/>
    <col min="21" max="21" width="14.28515625" style="14" customWidth="1"/>
    <col min="22" max="22" width="8.85546875" style="14"/>
    <col min="23" max="23" width="14.7109375" style="14" customWidth="1"/>
    <col min="24" max="24" width="10.42578125" style="14" customWidth="1"/>
    <col min="25" max="16384" width="8.85546875" style="14"/>
  </cols>
  <sheetData>
    <row r="2" spans="1:16">
      <c r="A2" s="26" t="s">
        <v>67</v>
      </c>
      <c r="B2" s="26" t="s">
        <v>43</v>
      </c>
      <c r="C2" s="26" t="s">
        <v>44</v>
      </c>
      <c r="D2" s="26" t="s">
        <v>45</v>
      </c>
      <c r="E2" s="26" t="s">
        <v>46</v>
      </c>
      <c r="F2" s="26" t="s">
        <v>47</v>
      </c>
    </row>
    <row r="3" spans="1:16" ht="45.75" thickBot="1">
      <c r="B3" s="27" t="s">
        <v>68</v>
      </c>
      <c r="C3" s="14" t="s">
        <v>49</v>
      </c>
      <c r="D3" s="14" t="s">
        <v>49</v>
      </c>
      <c r="E3" s="14" t="s">
        <v>49</v>
      </c>
      <c r="F3" s="14" t="s">
        <v>69</v>
      </c>
      <c r="G3" s="14">
        <v>26.58</v>
      </c>
      <c r="J3" s="55"/>
      <c r="K3" s="56" t="s">
        <v>18</v>
      </c>
      <c r="L3" s="55" t="s">
        <v>63</v>
      </c>
      <c r="M3" s="55" t="s">
        <v>64</v>
      </c>
      <c r="N3" s="55" t="s">
        <v>23</v>
      </c>
      <c r="O3" s="56" t="s">
        <v>65</v>
      </c>
      <c r="P3" s="55"/>
    </row>
    <row r="4" spans="1:16">
      <c r="B4" s="30" t="s">
        <v>59</v>
      </c>
      <c r="C4" s="14" t="s">
        <v>49</v>
      </c>
      <c r="D4" s="14" t="s">
        <v>49</v>
      </c>
      <c r="E4" s="14" t="s">
        <v>49</v>
      </c>
      <c r="F4" s="14" t="s">
        <v>60</v>
      </c>
      <c r="G4" s="14">
        <v>14.67</v>
      </c>
      <c r="J4" s="48" t="s">
        <v>366</v>
      </c>
      <c r="K4" s="48">
        <v>247.92000000000002</v>
      </c>
      <c r="L4" s="48">
        <v>12.08</v>
      </c>
      <c r="M4" s="48">
        <v>218.17000000000002</v>
      </c>
      <c r="N4" s="48">
        <v>0</v>
      </c>
      <c r="O4" s="48">
        <v>89.68</v>
      </c>
      <c r="P4" s="48"/>
    </row>
    <row r="5" spans="1:16">
      <c r="B5" s="30" t="s">
        <v>61</v>
      </c>
      <c r="C5" s="14" t="s">
        <v>49</v>
      </c>
      <c r="D5" s="14" t="s">
        <v>49</v>
      </c>
      <c r="E5" s="14" t="s">
        <v>49</v>
      </c>
      <c r="F5" s="14" t="s">
        <v>62</v>
      </c>
      <c r="G5" s="14">
        <v>7.65</v>
      </c>
      <c r="J5" s="48" t="s">
        <v>367</v>
      </c>
      <c r="K5" s="48">
        <v>26.58</v>
      </c>
      <c r="L5" s="48">
        <v>77.069999999999993</v>
      </c>
      <c r="M5" s="48">
        <v>90.820000000000007</v>
      </c>
      <c r="N5" s="48">
        <v>22.32</v>
      </c>
      <c r="O5" s="48">
        <v>13.13</v>
      </c>
      <c r="P5" s="48"/>
    </row>
    <row r="6" spans="1:16">
      <c r="B6" s="31" t="s">
        <v>70</v>
      </c>
      <c r="C6" s="14" t="s">
        <v>49</v>
      </c>
      <c r="D6" s="14" t="s">
        <v>49</v>
      </c>
      <c r="E6" s="14" t="s">
        <v>49</v>
      </c>
      <c r="F6" s="14" t="s">
        <v>71</v>
      </c>
      <c r="G6" s="14">
        <v>22.64</v>
      </c>
      <c r="J6" s="45" t="s">
        <v>348</v>
      </c>
      <c r="K6" s="45">
        <v>0</v>
      </c>
      <c r="L6" s="45">
        <v>69.88</v>
      </c>
      <c r="M6" s="45">
        <v>80.7</v>
      </c>
      <c r="N6" s="45">
        <v>0</v>
      </c>
      <c r="O6" s="45">
        <v>5.97</v>
      </c>
      <c r="P6" s="45"/>
    </row>
    <row r="7" spans="1:16">
      <c r="B7" s="31" t="s">
        <v>72</v>
      </c>
      <c r="C7" s="14" t="s">
        <v>49</v>
      </c>
      <c r="D7" s="14" t="s">
        <v>49</v>
      </c>
      <c r="E7" s="14" t="s">
        <v>49</v>
      </c>
      <c r="F7" s="14" t="s">
        <v>73</v>
      </c>
      <c r="G7" s="14">
        <v>3.19</v>
      </c>
      <c r="J7" s="57" t="s">
        <v>368</v>
      </c>
      <c r="K7" s="18"/>
      <c r="L7" s="18"/>
      <c r="M7" s="18"/>
      <c r="N7" s="18"/>
      <c r="O7" s="18"/>
      <c r="P7" s="18"/>
    </row>
    <row r="8" spans="1:16">
      <c r="B8" s="31" t="s">
        <v>74</v>
      </c>
      <c r="C8" s="14" t="s">
        <v>49</v>
      </c>
      <c r="D8" s="14" t="s">
        <v>49</v>
      </c>
      <c r="E8" s="14" t="s">
        <v>49</v>
      </c>
      <c r="F8" s="14" t="s">
        <v>75</v>
      </c>
      <c r="G8" s="14">
        <v>46.71</v>
      </c>
    </row>
    <row r="9" spans="1:16">
      <c r="B9" s="31" t="s">
        <v>76</v>
      </c>
      <c r="C9" s="14" t="s">
        <v>49</v>
      </c>
      <c r="D9" s="14" t="s">
        <v>49</v>
      </c>
      <c r="E9" s="14" t="s">
        <v>49</v>
      </c>
      <c r="F9" s="14" t="s">
        <v>77</v>
      </c>
      <c r="G9" s="14">
        <v>18.28</v>
      </c>
    </row>
    <row r="10" spans="1:16">
      <c r="B10" s="29" t="s">
        <v>78</v>
      </c>
      <c r="C10" s="14" t="s">
        <v>49</v>
      </c>
      <c r="D10" s="14" t="s">
        <v>49</v>
      </c>
      <c r="E10" s="14" t="s">
        <v>49</v>
      </c>
      <c r="F10" s="14" t="s">
        <v>79</v>
      </c>
      <c r="G10" s="14">
        <v>36.61</v>
      </c>
    </row>
    <row r="11" spans="1:16">
      <c r="B11" s="29" t="s">
        <v>80</v>
      </c>
      <c r="C11" s="14" t="s">
        <v>49</v>
      </c>
      <c r="D11" s="14" t="s">
        <v>49</v>
      </c>
      <c r="E11" s="14" t="s">
        <v>49</v>
      </c>
      <c r="F11" s="14" t="s">
        <v>81</v>
      </c>
      <c r="G11" s="14">
        <v>40.46</v>
      </c>
    </row>
    <row r="12" spans="1:16">
      <c r="B12" s="14" t="s">
        <v>51</v>
      </c>
      <c r="C12" s="14" t="s">
        <v>49</v>
      </c>
      <c r="D12" s="14" t="s">
        <v>49</v>
      </c>
      <c r="E12" s="14" t="s">
        <v>49</v>
      </c>
      <c r="F12" s="14" t="s">
        <v>52</v>
      </c>
      <c r="G12" s="14">
        <v>13.13</v>
      </c>
    </row>
    <row r="13" spans="1:16">
      <c r="B13" s="14" t="s">
        <v>57</v>
      </c>
      <c r="C13" s="14" t="s">
        <v>49</v>
      </c>
      <c r="D13" s="14" t="s">
        <v>49</v>
      </c>
      <c r="E13" s="14" t="s">
        <v>49</v>
      </c>
      <c r="F13" s="14" t="s">
        <v>58</v>
      </c>
      <c r="G13" s="14">
        <v>0</v>
      </c>
    </row>
    <row r="15" spans="1:16">
      <c r="G15" s="14">
        <f>+SUM(G3:G13)</f>
        <v>229.92</v>
      </c>
    </row>
    <row r="17" spans="1:7">
      <c r="B17" s="27" t="s">
        <v>82</v>
      </c>
      <c r="C17" s="28">
        <v>0.11560542797494781</v>
      </c>
      <c r="D17" s="14">
        <v>26.58</v>
      </c>
    </row>
    <row r="18" spans="1:7">
      <c r="B18" s="29" t="s">
        <v>63</v>
      </c>
      <c r="C18" s="28">
        <v>0.33520354906054278</v>
      </c>
      <c r="D18" s="14">
        <v>77.069999999999993</v>
      </c>
    </row>
    <row r="19" spans="1:7">
      <c r="B19" s="31" t="s">
        <v>83</v>
      </c>
      <c r="C19" s="28">
        <v>0.39500695894224086</v>
      </c>
      <c r="D19" s="14">
        <v>90.820000000000007</v>
      </c>
    </row>
    <row r="20" spans="1:7">
      <c r="B20" s="30" t="s">
        <v>23</v>
      </c>
      <c r="C20" s="28">
        <v>9.7077244258872653E-2</v>
      </c>
      <c r="D20" s="14">
        <v>22.32</v>
      </c>
    </row>
    <row r="21" spans="1:7">
      <c r="B21" s="14" t="s">
        <v>84</v>
      </c>
      <c r="C21" s="28">
        <v>5.7106819763395968E-2</v>
      </c>
      <c r="D21" s="14">
        <v>13.13</v>
      </c>
    </row>
    <row r="23" spans="1:7">
      <c r="B23" s="14" t="s">
        <v>66</v>
      </c>
      <c r="D23" s="14">
        <v>229.92</v>
      </c>
    </row>
    <row r="25" spans="1:7">
      <c r="A25" s="26" t="s">
        <v>67</v>
      </c>
      <c r="B25" s="26" t="s">
        <v>43</v>
      </c>
      <c r="C25" s="26" t="s">
        <v>44</v>
      </c>
      <c r="D25" s="26" t="s">
        <v>45</v>
      </c>
      <c r="E25" s="26" t="s">
        <v>46</v>
      </c>
      <c r="F25" s="26" t="s">
        <v>85</v>
      </c>
    </row>
    <row r="26" spans="1:7">
      <c r="B26" s="27" t="s">
        <v>48</v>
      </c>
      <c r="C26" s="14" t="s">
        <v>49</v>
      </c>
      <c r="D26" s="14" t="s">
        <v>49</v>
      </c>
      <c r="E26" s="14" t="s">
        <v>49</v>
      </c>
      <c r="F26" s="14" t="s">
        <v>50</v>
      </c>
      <c r="G26" s="14">
        <v>4.49</v>
      </c>
    </row>
    <row r="27" spans="1:7">
      <c r="B27" s="27" t="s">
        <v>86</v>
      </c>
      <c r="C27" s="14" t="s">
        <v>49</v>
      </c>
      <c r="D27" s="14" t="s">
        <v>49</v>
      </c>
      <c r="E27" s="14" t="s">
        <v>49</v>
      </c>
      <c r="F27" s="14" t="s">
        <v>87</v>
      </c>
      <c r="G27" s="14">
        <v>243.43</v>
      </c>
    </row>
    <row r="28" spans="1:7">
      <c r="B28" s="29" t="s">
        <v>78</v>
      </c>
      <c r="C28" s="14" t="s">
        <v>49</v>
      </c>
      <c r="D28" s="14" t="s">
        <v>49</v>
      </c>
      <c r="E28" s="14" t="s">
        <v>49</v>
      </c>
      <c r="F28" s="14" t="s">
        <v>88</v>
      </c>
      <c r="G28" s="14">
        <v>10.65</v>
      </c>
    </row>
    <row r="29" spans="1:7">
      <c r="B29" s="29" t="s">
        <v>89</v>
      </c>
      <c r="C29" s="14" t="s">
        <v>49</v>
      </c>
      <c r="D29" s="14" t="s">
        <v>49</v>
      </c>
      <c r="E29" s="14" t="s">
        <v>49</v>
      </c>
      <c r="F29" s="14" t="s">
        <v>90</v>
      </c>
      <c r="G29" s="14">
        <v>1.43</v>
      </c>
    </row>
    <row r="30" spans="1:7">
      <c r="B30" s="31" t="s">
        <v>91</v>
      </c>
      <c r="C30" s="14" t="s">
        <v>49</v>
      </c>
      <c r="D30" s="14" t="s">
        <v>49</v>
      </c>
      <c r="E30" s="14" t="s">
        <v>49</v>
      </c>
      <c r="F30" s="14" t="s">
        <v>92</v>
      </c>
      <c r="G30" s="14">
        <v>94.44</v>
      </c>
    </row>
    <row r="31" spans="1:7">
      <c r="B31" s="31" t="s">
        <v>93</v>
      </c>
      <c r="C31" s="14" t="s">
        <v>49</v>
      </c>
      <c r="D31" s="14" t="s">
        <v>49</v>
      </c>
      <c r="E31" s="14" t="s">
        <v>49</v>
      </c>
      <c r="F31" s="14" t="s">
        <v>94</v>
      </c>
      <c r="G31" s="14">
        <v>26.39</v>
      </c>
    </row>
    <row r="32" spans="1:7">
      <c r="B32" s="31" t="s">
        <v>95</v>
      </c>
      <c r="C32" s="14" t="s">
        <v>49</v>
      </c>
      <c r="D32" s="14" t="s">
        <v>49</v>
      </c>
      <c r="E32" s="14" t="s">
        <v>49</v>
      </c>
      <c r="F32" s="14" t="s">
        <v>96</v>
      </c>
      <c r="G32" s="14">
        <v>68.760000000000005</v>
      </c>
    </row>
    <row r="33" spans="1:7">
      <c r="B33" s="31" t="s">
        <v>97</v>
      </c>
      <c r="C33" s="14" t="s">
        <v>49</v>
      </c>
      <c r="D33" s="14" t="s">
        <v>49</v>
      </c>
      <c r="E33" s="14" t="s">
        <v>49</v>
      </c>
      <c r="F33" s="14" t="s">
        <v>98</v>
      </c>
      <c r="G33" s="14">
        <v>28.58</v>
      </c>
    </row>
    <row r="34" spans="1:7">
      <c r="B34" s="14" t="s">
        <v>55</v>
      </c>
      <c r="C34" s="14" t="s">
        <v>49</v>
      </c>
      <c r="D34" s="14" t="s">
        <v>49</v>
      </c>
      <c r="E34" s="14" t="s">
        <v>49</v>
      </c>
      <c r="F34" s="14" t="s">
        <v>56</v>
      </c>
      <c r="G34" s="14">
        <v>89.68</v>
      </c>
    </row>
    <row r="36" spans="1:7">
      <c r="G36" s="14">
        <f>+SUM(G26:G34)</f>
        <v>567.84999999999991</v>
      </c>
    </row>
    <row r="37" spans="1:7">
      <c r="B37" s="27" t="s">
        <v>99</v>
      </c>
      <c r="C37" s="28">
        <v>0.43659417099586162</v>
      </c>
      <c r="D37" s="14">
        <v>247.92000000000002</v>
      </c>
    </row>
    <row r="38" spans="1:7">
      <c r="B38" s="29" t="s">
        <v>63</v>
      </c>
      <c r="C38" s="28">
        <v>2.1273223562560534E-2</v>
      </c>
      <c r="D38" s="14">
        <v>12.08</v>
      </c>
    </row>
    <row r="39" spans="1:7">
      <c r="B39" s="31" t="s">
        <v>64</v>
      </c>
      <c r="C39" s="28">
        <v>0.38420357488773443</v>
      </c>
      <c r="D39" s="14">
        <v>218.17000000000002</v>
      </c>
    </row>
    <row r="40" spans="1:7">
      <c r="B40" s="30" t="s">
        <v>23</v>
      </c>
      <c r="C40" s="28">
        <v>0</v>
      </c>
      <c r="D40" s="14" t="s">
        <v>100</v>
      </c>
    </row>
    <row r="41" spans="1:7">
      <c r="B41" s="14" t="s">
        <v>84</v>
      </c>
      <c r="C41" s="28">
        <v>0.15792903055384344</v>
      </c>
      <c r="D41" s="14">
        <v>89.68</v>
      </c>
    </row>
    <row r="43" spans="1:7">
      <c r="B43" s="14" t="s">
        <v>66</v>
      </c>
      <c r="D43" s="14">
        <v>567.85</v>
      </c>
    </row>
    <row r="46" spans="1:7">
      <c r="A46" s="26" t="s">
        <v>67</v>
      </c>
      <c r="B46" s="26" t="s">
        <v>43</v>
      </c>
      <c r="C46" s="26" t="s">
        <v>44</v>
      </c>
      <c r="D46" s="26" t="s">
        <v>45</v>
      </c>
      <c r="E46" s="26" t="s">
        <v>46</v>
      </c>
      <c r="F46" s="26" t="s">
        <v>47</v>
      </c>
    </row>
    <row r="47" spans="1:7">
      <c r="B47" s="29" t="s">
        <v>101</v>
      </c>
      <c r="C47" s="14" t="s">
        <v>49</v>
      </c>
      <c r="D47" s="14" t="s">
        <v>49</v>
      </c>
      <c r="E47" s="14" t="s">
        <v>49</v>
      </c>
      <c r="F47" s="14" t="s">
        <v>102</v>
      </c>
      <c r="G47" s="14">
        <v>28.03</v>
      </c>
    </row>
    <row r="48" spans="1:7">
      <c r="B48" s="29" t="s">
        <v>103</v>
      </c>
      <c r="C48" s="14" t="s">
        <v>49</v>
      </c>
      <c r="D48" s="14" t="s">
        <v>49</v>
      </c>
      <c r="E48" s="14" t="s">
        <v>49</v>
      </c>
      <c r="F48" s="14" t="s">
        <v>104</v>
      </c>
      <c r="G48" s="14">
        <v>31.55</v>
      </c>
    </row>
    <row r="49" spans="2:7">
      <c r="B49" s="29" t="s">
        <v>105</v>
      </c>
      <c r="C49" s="14" t="s">
        <v>49</v>
      </c>
      <c r="D49" s="14" t="s">
        <v>49</v>
      </c>
      <c r="E49" s="14" t="s">
        <v>49</v>
      </c>
      <c r="F49" s="14" t="s">
        <v>106</v>
      </c>
      <c r="G49" s="14">
        <v>10.3</v>
      </c>
    </row>
    <row r="50" spans="2:7">
      <c r="B50" s="31" t="s">
        <v>107</v>
      </c>
      <c r="C50" s="14" t="s">
        <v>49</v>
      </c>
      <c r="D50" s="14" t="s">
        <v>49</v>
      </c>
      <c r="E50" s="14" t="s">
        <v>49</v>
      </c>
      <c r="F50" s="14" t="s">
        <v>108</v>
      </c>
      <c r="G50" s="14">
        <v>7</v>
      </c>
    </row>
    <row r="51" spans="2:7">
      <c r="B51" s="31" t="s">
        <v>109</v>
      </c>
      <c r="C51" s="14" t="s">
        <v>49</v>
      </c>
      <c r="D51" s="14" t="s">
        <v>49</v>
      </c>
      <c r="E51" s="14" t="s">
        <v>49</v>
      </c>
      <c r="F51" s="14" t="s">
        <v>110</v>
      </c>
      <c r="G51" s="14">
        <v>63.08</v>
      </c>
    </row>
    <row r="52" spans="2:7">
      <c r="B52" s="31" t="s">
        <v>111</v>
      </c>
      <c r="C52" s="14" t="s">
        <v>49</v>
      </c>
      <c r="D52" s="14" t="s">
        <v>49</v>
      </c>
      <c r="E52" s="14" t="s">
        <v>49</v>
      </c>
      <c r="F52" s="14" t="s">
        <v>112</v>
      </c>
      <c r="G52" s="14">
        <v>4.8099999999999996</v>
      </c>
    </row>
    <row r="53" spans="2:7">
      <c r="B53" s="31" t="s">
        <v>113</v>
      </c>
      <c r="C53" s="14" t="s">
        <v>49</v>
      </c>
      <c r="D53" s="14" t="s">
        <v>49</v>
      </c>
      <c r="E53" s="14" t="s">
        <v>49</v>
      </c>
      <c r="F53" s="14" t="s">
        <v>114</v>
      </c>
      <c r="G53" s="14">
        <v>5.81</v>
      </c>
    </row>
    <row r="54" spans="2:7">
      <c r="B54" s="14" t="s">
        <v>53</v>
      </c>
      <c r="C54" s="14" t="s">
        <v>49</v>
      </c>
      <c r="D54" s="14" t="s">
        <v>49</v>
      </c>
      <c r="E54" s="14" t="s">
        <v>49</v>
      </c>
      <c r="F54" s="14" t="s">
        <v>54</v>
      </c>
      <c r="G54" s="14">
        <v>5.97</v>
      </c>
    </row>
    <row r="56" spans="2:7">
      <c r="B56" s="27" t="s">
        <v>99</v>
      </c>
      <c r="C56" s="32">
        <v>0</v>
      </c>
      <c r="D56" s="14" t="s">
        <v>100</v>
      </c>
      <c r="G56" s="14">
        <f>+SUM(G47:G54)</f>
        <v>156.54999999999998</v>
      </c>
    </row>
    <row r="57" spans="2:7">
      <c r="B57" s="29" t="s">
        <v>63</v>
      </c>
      <c r="C57" s="28">
        <f>+D57/$D$62</f>
        <v>0.44637496007665284</v>
      </c>
      <c r="D57" s="14">
        <f>+SUM(G47:G49)</f>
        <v>69.88</v>
      </c>
    </row>
    <row r="58" spans="2:7">
      <c r="B58" s="31" t="s">
        <v>64</v>
      </c>
      <c r="C58" s="28">
        <f>+D58/$D$62</f>
        <v>0.51549025870328979</v>
      </c>
      <c r="D58" s="14">
        <f>+SUM(G50:G53)</f>
        <v>80.7</v>
      </c>
    </row>
    <row r="59" spans="2:7">
      <c r="B59" s="30" t="s">
        <v>23</v>
      </c>
      <c r="C59" s="28">
        <f>+D59/$D$62</f>
        <v>0</v>
      </c>
      <c r="D59" s="14">
        <v>0</v>
      </c>
    </row>
    <row r="60" spans="2:7">
      <c r="B60" s="14" t="s">
        <v>84</v>
      </c>
      <c r="C60" s="33">
        <f>+D60/D62</f>
        <v>3.8134781220057493E-2</v>
      </c>
      <c r="D60" s="14">
        <v>5.97</v>
      </c>
    </row>
    <row r="62" spans="2:7">
      <c r="B62" s="14" t="s">
        <v>66</v>
      </c>
      <c r="C62" s="33">
        <v>1</v>
      </c>
      <c r="D62" s="14">
        <f>+SUM(D56:D60)</f>
        <v>156.54999999999998</v>
      </c>
    </row>
  </sheetData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8"/>
  <sheetViews>
    <sheetView workbookViewId="0">
      <selection activeCell="J4" sqref="J4"/>
    </sheetView>
  </sheetViews>
  <sheetFormatPr defaultColWidth="8.85546875" defaultRowHeight="15"/>
  <cols>
    <col min="1" max="4" width="8.85546875" style="14"/>
    <col min="5" max="5" width="10.42578125" style="14" customWidth="1"/>
    <col min="6" max="6" width="20.140625" style="14" bestFit="1" customWidth="1"/>
    <col min="7" max="9" width="8.85546875" style="14"/>
    <col min="10" max="10" width="14" style="14" bestFit="1" customWidth="1"/>
    <col min="11" max="11" width="10.85546875" style="14" bestFit="1" customWidth="1"/>
    <col min="12" max="12" width="20.140625" style="14" bestFit="1" customWidth="1"/>
    <col min="13" max="13" width="8.42578125" style="14" bestFit="1" customWidth="1"/>
    <col min="14" max="16384" width="8.85546875" style="14"/>
  </cols>
  <sheetData>
    <row r="1" spans="1:13">
      <c r="A1" s="26" t="s">
        <v>67</v>
      </c>
      <c r="B1" s="26" t="s">
        <v>43</v>
      </c>
      <c r="C1" s="26" t="s">
        <v>44</v>
      </c>
      <c r="D1" s="26" t="s">
        <v>45</v>
      </c>
      <c r="E1" s="26" t="s">
        <v>46</v>
      </c>
      <c r="F1" s="26" t="s">
        <v>47</v>
      </c>
      <c r="G1" s="26" t="s">
        <v>115</v>
      </c>
    </row>
    <row r="2" spans="1:13" ht="15.75" thickBot="1">
      <c r="A2" s="14" t="s">
        <v>352</v>
      </c>
      <c r="J2" s="52"/>
      <c r="K2" s="52" t="s">
        <v>312</v>
      </c>
      <c r="L2" s="52" t="s">
        <v>351</v>
      </c>
      <c r="M2" s="52" t="s">
        <v>44</v>
      </c>
    </row>
    <row r="3" spans="1:13" ht="15.75" thickTop="1">
      <c r="A3" s="14" t="s">
        <v>167</v>
      </c>
      <c r="B3" s="14" t="s">
        <v>168</v>
      </c>
      <c r="C3" s="14" t="s">
        <v>49</v>
      </c>
      <c r="D3" s="14" t="s">
        <v>49</v>
      </c>
      <c r="E3" s="14">
        <v>2.032</v>
      </c>
      <c r="F3" s="14" t="s">
        <v>49</v>
      </c>
      <c r="G3" s="14" t="s">
        <v>350</v>
      </c>
      <c r="J3" s="51" t="s">
        <v>34</v>
      </c>
      <c r="K3" s="51">
        <v>48</v>
      </c>
      <c r="L3" s="50">
        <v>568845903944.07117</v>
      </c>
      <c r="M3" s="49">
        <f>+L3/$L$7</f>
        <v>0.59545344859010085</v>
      </c>
    </row>
    <row r="4" spans="1:13">
      <c r="A4" s="14" t="s">
        <v>185</v>
      </c>
      <c r="B4" s="14" t="s">
        <v>186</v>
      </c>
      <c r="C4" s="14" t="s">
        <v>49</v>
      </c>
      <c r="D4" s="14" t="s">
        <v>49</v>
      </c>
      <c r="E4" s="14">
        <v>3.9424999999999999</v>
      </c>
      <c r="F4" s="14">
        <v>3189991198.19733</v>
      </c>
      <c r="G4" s="14" t="s">
        <v>334</v>
      </c>
      <c r="J4" s="48" t="s">
        <v>35</v>
      </c>
      <c r="K4" s="48">
        <v>27</v>
      </c>
      <c r="L4" s="47">
        <v>229916126216.5264</v>
      </c>
      <c r="M4" s="46">
        <f>+L4/$L$7</f>
        <v>0.24067036308583134</v>
      </c>
    </row>
    <row r="5" spans="1:13">
      <c r="A5" s="14" t="s">
        <v>349</v>
      </c>
      <c r="B5" s="14" t="s">
        <v>227</v>
      </c>
      <c r="C5" s="14" t="s">
        <v>49</v>
      </c>
      <c r="D5" s="14" t="s">
        <v>49</v>
      </c>
      <c r="E5" s="14">
        <v>17.924600000000002</v>
      </c>
      <c r="F5" s="14">
        <v>13130658672.1124</v>
      </c>
      <c r="G5" s="14" t="s">
        <v>335</v>
      </c>
      <c r="J5" s="45" t="s">
        <v>348</v>
      </c>
      <c r="K5" s="45">
        <v>26</v>
      </c>
      <c r="L5" s="44">
        <v>156553461404.64517</v>
      </c>
      <c r="M5" s="43">
        <f>+L5/$L$7</f>
        <v>0.16387618832406786</v>
      </c>
    </row>
    <row r="6" spans="1:13">
      <c r="A6" s="14" t="s">
        <v>347</v>
      </c>
      <c r="B6" s="14" t="s">
        <v>228</v>
      </c>
      <c r="C6" s="14" t="s">
        <v>49</v>
      </c>
      <c r="D6" s="14" t="s">
        <v>49</v>
      </c>
      <c r="E6" s="14">
        <v>14.4125</v>
      </c>
      <c r="F6" s="14">
        <v>3339129088.1368999</v>
      </c>
      <c r="G6" s="14" t="s">
        <v>335</v>
      </c>
      <c r="J6" s="18"/>
      <c r="K6" s="18"/>
      <c r="L6" s="42"/>
      <c r="M6" s="18"/>
    </row>
    <row r="7" spans="1:13" ht="15.75" thickBot="1">
      <c r="A7" s="14" t="s">
        <v>230</v>
      </c>
      <c r="B7" s="14" t="s">
        <v>231</v>
      </c>
      <c r="C7" s="14" t="s">
        <v>49</v>
      </c>
      <c r="D7" s="14" t="s">
        <v>49</v>
      </c>
      <c r="E7" s="14">
        <v>11.7475</v>
      </c>
      <c r="F7" s="14">
        <v>44117042534.369598</v>
      </c>
      <c r="G7" s="14" t="s">
        <v>337</v>
      </c>
      <c r="J7" s="41" t="s">
        <v>123</v>
      </c>
      <c r="K7" s="41">
        <f>+SUM(K3:K5)</f>
        <v>101</v>
      </c>
      <c r="L7" s="40">
        <f>+SUM(L3:L5)</f>
        <v>955315491565.24268</v>
      </c>
      <c r="M7" s="39">
        <f>+SUM(M3:M5)</f>
        <v>1</v>
      </c>
    </row>
    <row r="8" spans="1:13" ht="15.75" thickTop="1">
      <c r="A8" s="14" t="s">
        <v>187</v>
      </c>
      <c r="B8" s="14" t="s">
        <v>188</v>
      </c>
      <c r="C8" s="14" t="s">
        <v>49</v>
      </c>
      <c r="D8" s="14" t="s">
        <v>49</v>
      </c>
      <c r="E8" s="14">
        <v>8.5431000000000008</v>
      </c>
      <c r="F8" s="14">
        <v>1943856209.30878</v>
      </c>
      <c r="G8" s="14" t="s">
        <v>334</v>
      </c>
    </row>
    <row r="9" spans="1:13">
      <c r="A9" s="14" t="s">
        <v>159</v>
      </c>
      <c r="B9" s="14" t="s">
        <v>160</v>
      </c>
      <c r="C9" s="14" t="s">
        <v>49</v>
      </c>
      <c r="D9" s="14" t="s">
        <v>49</v>
      </c>
      <c r="E9" s="14">
        <v>19.401199999999999</v>
      </c>
      <c r="F9" s="14">
        <v>4516108696.3028002</v>
      </c>
      <c r="G9" s="14" t="s">
        <v>338</v>
      </c>
    </row>
    <row r="10" spans="1:13">
      <c r="A10" s="14" t="s">
        <v>209</v>
      </c>
      <c r="B10" s="14" t="s">
        <v>210</v>
      </c>
      <c r="C10" s="14" t="s">
        <v>49</v>
      </c>
      <c r="D10" s="14" t="s">
        <v>49</v>
      </c>
      <c r="E10" s="14">
        <v>22.069600000000001</v>
      </c>
      <c r="F10" s="14">
        <v>10155305441.196899</v>
      </c>
      <c r="G10" s="14" t="s">
        <v>346</v>
      </c>
    </row>
    <row r="11" spans="1:13">
      <c r="A11" s="14" t="s">
        <v>189</v>
      </c>
      <c r="B11" s="14" t="s">
        <v>190</v>
      </c>
      <c r="C11" s="14" t="s">
        <v>49</v>
      </c>
      <c r="D11" s="14" t="s">
        <v>49</v>
      </c>
      <c r="E11" s="14">
        <v>4.6428000000000003</v>
      </c>
      <c r="F11" s="14">
        <v>2785673549.8338299</v>
      </c>
      <c r="G11" s="14" t="s">
        <v>334</v>
      </c>
    </row>
    <row r="12" spans="1:13">
      <c r="A12" s="14" t="s">
        <v>161</v>
      </c>
      <c r="B12" s="14" t="s">
        <v>162</v>
      </c>
      <c r="C12" s="14" t="s">
        <v>49</v>
      </c>
      <c r="D12" s="14" t="s">
        <v>49</v>
      </c>
      <c r="E12" s="14">
        <v>107.3685</v>
      </c>
      <c r="F12" s="14">
        <v>10625248178.3862</v>
      </c>
      <c r="G12" s="14" t="s">
        <v>338</v>
      </c>
    </row>
    <row r="13" spans="1:13">
      <c r="A13" s="14" t="s">
        <v>345</v>
      </c>
      <c r="B13" s="14" t="s">
        <v>225</v>
      </c>
      <c r="C13" s="14" t="s">
        <v>49</v>
      </c>
      <c r="D13" s="14" t="s">
        <v>49</v>
      </c>
      <c r="E13" s="14">
        <v>18.9055</v>
      </c>
      <c r="F13" s="14">
        <v>10229386760.379601</v>
      </c>
      <c r="G13" s="14" t="s">
        <v>335</v>
      </c>
    </row>
    <row r="14" spans="1:13">
      <c r="A14" s="14" t="s">
        <v>344</v>
      </c>
      <c r="B14" s="14" t="s">
        <v>226</v>
      </c>
      <c r="C14" s="14" t="s">
        <v>49</v>
      </c>
      <c r="D14" s="14" t="s">
        <v>49</v>
      </c>
      <c r="E14" s="14">
        <v>25.444600000000001</v>
      </c>
      <c r="F14" s="14">
        <v>6074506711.0684204</v>
      </c>
      <c r="G14" s="14" t="s">
        <v>335</v>
      </c>
    </row>
    <row r="15" spans="1:13">
      <c r="A15" s="14" t="s">
        <v>232</v>
      </c>
      <c r="B15" s="14" t="s">
        <v>233</v>
      </c>
      <c r="C15" s="14" t="s">
        <v>49</v>
      </c>
      <c r="D15" s="14" t="s">
        <v>49</v>
      </c>
      <c r="E15" s="14">
        <v>11.1228</v>
      </c>
      <c r="F15" s="14">
        <v>7584539503.3695097</v>
      </c>
      <c r="G15" s="14" t="s">
        <v>337</v>
      </c>
    </row>
    <row r="16" spans="1:13">
      <c r="A16" s="14" t="s">
        <v>343</v>
      </c>
      <c r="B16" s="14" t="s">
        <v>224</v>
      </c>
      <c r="C16" s="14" t="s">
        <v>49</v>
      </c>
      <c r="D16" s="14" t="s">
        <v>49</v>
      </c>
      <c r="E16" s="14">
        <v>136.74180000000001</v>
      </c>
      <c r="F16" s="14">
        <v>20511277263.863499</v>
      </c>
      <c r="G16" s="14" t="s">
        <v>335</v>
      </c>
    </row>
    <row r="17" spans="1:7">
      <c r="A17" s="14" t="s">
        <v>125</v>
      </c>
      <c r="B17" s="14" t="s">
        <v>126</v>
      </c>
      <c r="C17" s="14" t="s">
        <v>49</v>
      </c>
      <c r="D17" s="14" t="s">
        <v>49</v>
      </c>
      <c r="E17" s="14">
        <v>52.402799999999999</v>
      </c>
      <c r="F17" s="14">
        <v>3183480880.9341402</v>
      </c>
      <c r="G17" s="14" t="s">
        <v>342</v>
      </c>
    </row>
    <row r="18" spans="1:7">
      <c r="A18" s="14" t="s">
        <v>191</v>
      </c>
      <c r="B18" s="14" t="s">
        <v>192</v>
      </c>
      <c r="C18" s="14" t="s">
        <v>49</v>
      </c>
      <c r="D18" s="14" t="s">
        <v>49</v>
      </c>
      <c r="E18" s="14">
        <v>12.181800000000001</v>
      </c>
      <c r="F18" s="14">
        <v>2594292848.5647602</v>
      </c>
      <c r="G18" s="14" t="s">
        <v>334</v>
      </c>
    </row>
    <row r="19" spans="1:7">
      <c r="A19" s="14" t="s">
        <v>217</v>
      </c>
      <c r="B19" s="14" t="s">
        <v>218</v>
      </c>
      <c r="C19" s="14" t="s">
        <v>49</v>
      </c>
      <c r="D19" s="14" t="s">
        <v>49</v>
      </c>
      <c r="E19" s="14">
        <v>47.329700000000003</v>
      </c>
      <c r="F19" s="14">
        <v>6050407845.06775</v>
      </c>
      <c r="G19" s="14" t="s">
        <v>341</v>
      </c>
    </row>
    <row r="20" spans="1:7">
      <c r="A20" s="14" t="s">
        <v>207</v>
      </c>
      <c r="B20" s="14" t="s">
        <v>208</v>
      </c>
      <c r="C20" s="14" t="s">
        <v>49</v>
      </c>
      <c r="D20" s="14" t="s">
        <v>49</v>
      </c>
      <c r="E20" s="14">
        <v>2.306</v>
      </c>
      <c r="F20" s="14" t="s">
        <v>49</v>
      </c>
      <c r="G20" s="14" t="s">
        <v>340</v>
      </c>
    </row>
    <row r="21" spans="1:7">
      <c r="A21" s="14" t="s">
        <v>234</v>
      </c>
      <c r="B21" s="14" t="s">
        <v>235</v>
      </c>
      <c r="C21" s="14" t="s">
        <v>49</v>
      </c>
      <c r="D21" s="14" t="s">
        <v>49</v>
      </c>
      <c r="E21" s="14">
        <v>10.209300000000001</v>
      </c>
      <c r="F21" s="14">
        <v>4225201374.1464801</v>
      </c>
      <c r="G21" s="14" t="s">
        <v>337</v>
      </c>
    </row>
    <row r="22" spans="1:7">
      <c r="A22" s="14" t="s">
        <v>193</v>
      </c>
      <c r="B22" s="14" t="s">
        <v>194</v>
      </c>
      <c r="C22" s="14" t="s">
        <v>49</v>
      </c>
      <c r="D22" s="14" t="s">
        <v>49</v>
      </c>
      <c r="E22" s="14">
        <v>4.5900999999999996</v>
      </c>
      <c r="F22" s="14">
        <v>9225972772.056881</v>
      </c>
      <c r="G22" s="14" t="s">
        <v>334</v>
      </c>
    </row>
    <row r="23" spans="1:7">
      <c r="A23" s="14" t="s">
        <v>195</v>
      </c>
      <c r="B23" s="14" t="s">
        <v>196</v>
      </c>
      <c r="C23" s="14" t="s">
        <v>49</v>
      </c>
      <c r="D23" s="14" t="s">
        <v>49</v>
      </c>
      <c r="E23" s="14">
        <v>4.1280999999999999</v>
      </c>
      <c r="F23" s="14">
        <v>14450970021.3116</v>
      </c>
      <c r="G23" s="14" t="s">
        <v>334</v>
      </c>
    </row>
    <row r="24" spans="1:7">
      <c r="A24" s="14" t="s">
        <v>197</v>
      </c>
      <c r="B24" s="14" t="s">
        <v>198</v>
      </c>
      <c r="C24" s="14" t="s">
        <v>49</v>
      </c>
      <c r="D24" s="14" t="s">
        <v>49</v>
      </c>
      <c r="E24" s="14">
        <v>23.477599999999999</v>
      </c>
      <c r="F24" s="14">
        <v>19387444006.4282</v>
      </c>
      <c r="G24" s="14" t="s">
        <v>334</v>
      </c>
    </row>
    <row r="25" spans="1:7">
      <c r="A25" s="14" t="s">
        <v>165</v>
      </c>
      <c r="B25" s="14" t="s">
        <v>166</v>
      </c>
      <c r="C25" s="14" t="s">
        <v>49</v>
      </c>
      <c r="D25" s="14" t="s">
        <v>49</v>
      </c>
      <c r="E25" s="14">
        <v>59.2425</v>
      </c>
      <c r="F25" s="14">
        <v>5476045688.6489897</v>
      </c>
      <c r="G25" s="14" t="s">
        <v>339</v>
      </c>
    </row>
    <row r="26" spans="1:7">
      <c r="A26" s="14" t="s">
        <v>163</v>
      </c>
      <c r="B26" s="14" t="s">
        <v>164</v>
      </c>
      <c r="C26" s="14" t="s">
        <v>49</v>
      </c>
      <c r="D26" s="14" t="s">
        <v>49</v>
      </c>
      <c r="E26" s="14">
        <v>9.5282</v>
      </c>
      <c r="F26" s="14">
        <v>5240488413.1008902</v>
      </c>
      <c r="G26" s="14" t="s">
        <v>338</v>
      </c>
    </row>
    <row r="27" spans="1:7">
      <c r="A27" s="14" t="s">
        <v>236</v>
      </c>
      <c r="B27" s="14" t="s">
        <v>237</v>
      </c>
      <c r="C27" s="14" t="s">
        <v>49</v>
      </c>
      <c r="D27" s="14" t="s">
        <v>49</v>
      </c>
      <c r="E27" s="14">
        <v>27.430599999999998</v>
      </c>
      <c r="F27" s="14">
        <v>6465551049.7462196</v>
      </c>
      <c r="G27" s="14" t="s">
        <v>337</v>
      </c>
    </row>
    <row r="28" spans="1:7">
      <c r="A28" s="14" t="s">
        <v>336</v>
      </c>
      <c r="B28" s="14" t="s">
        <v>223</v>
      </c>
      <c r="C28" s="14" t="s">
        <v>49</v>
      </c>
      <c r="D28" s="14" t="s">
        <v>49</v>
      </c>
      <c r="E28" s="14">
        <v>14.0222</v>
      </c>
      <c r="F28" s="14">
        <v>13887361012.509199</v>
      </c>
      <c r="G28" s="14" t="s">
        <v>335</v>
      </c>
    </row>
    <row r="29" spans="1:7" ht="15.75" customHeight="1">
      <c r="A29" s="14" t="s">
        <v>199</v>
      </c>
      <c r="B29" s="14" t="s">
        <v>200</v>
      </c>
      <c r="C29" s="14" t="s">
        <v>49</v>
      </c>
      <c r="D29" s="14" t="s">
        <v>49</v>
      </c>
      <c r="E29" s="14">
        <v>54.000599999999999</v>
      </c>
      <c r="F29" s="14">
        <v>1526186497.48558</v>
      </c>
      <c r="G29" s="14" t="s">
        <v>334</v>
      </c>
    </row>
    <row r="30" spans="1:7" ht="15.75" customHeight="1"/>
    <row r="31" spans="1:7" ht="15.75" customHeight="1">
      <c r="E31" s="14" t="s">
        <v>116</v>
      </c>
      <c r="F31" s="38">
        <f>+SUM(F3:F29)</f>
        <v>229916126216.5264</v>
      </c>
    </row>
    <row r="32" spans="1:7" ht="15.75" customHeight="1">
      <c r="E32" s="14" t="s">
        <v>312</v>
      </c>
      <c r="F32" s="14">
        <v>27</v>
      </c>
    </row>
    <row r="34" spans="1:15">
      <c r="A34" s="26" t="s">
        <v>67</v>
      </c>
      <c r="B34" s="26" t="s">
        <v>43</v>
      </c>
      <c r="C34" s="26" t="s">
        <v>44</v>
      </c>
      <c r="D34" s="26" t="s">
        <v>45</v>
      </c>
      <c r="E34" s="26" t="s">
        <v>46</v>
      </c>
      <c r="F34" s="26" t="s">
        <v>47</v>
      </c>
      <c r="G34" s="26" t="s">
        <v>115</v>
      </c>
    </row>
    <row r="35" spans="1:15">
      <c r="A35" s="14" t="s">
        <v>333</v>
      </c>
    </row>
    <row r="36" spans="1:15">
      <c r="A36" s="14" t="s">
        <v>238</v>
      </c>
      <c r="B36" s="14" t="s">
        <v>239</v>
      </c>
      <c r="C36" s="14" t="s">
        <v>49</v>
      </c>
      <c r="D36" s="14" t="s">
        <v>49</v>
      </c>
      <c r="E36" s="14">
        <v>57.41</v>
      </c>
      <c r="F36" s="14">
        <v>12086066176</v>
      </c>
      <c r="G36" s="14" t="s">
        <v>330</v>
      </c>
    </row>
    <row r="37" spans="1:15">
      <c r="A37" s="14" t="s">
        <v>240</v>
      </c>
      <c r="B37" s="14" t="s">
        <v>241</v>
      </c>
      <c r="C37" s="14" t="s">
        <v>49</v>
      </c>
      <c r="D37" s="14" t="s">
        <v>49</v>
      </c>
      <c r="E37" s="14">
        <v>60.77</v>
      </c>
      <c r="F37" s="14">
        <v>30729365504</v>
      </c>
      <c r="G37" s="14" t="s">
        <v>330</v>
      </c>
    </row>
    <row r="38" spans="1:15">
      <c r="A38" s="14" t="s">
        <v>242</v>
      </c>
      <c r="B38" s="14" t="s">
        <v>243</v>
      </c>
      <c r="C38" s="14" t="s">
        <v>49</v>
      </c>
      <c r="D38" s="14" t="s">
        <v>49</v>
      </c>
      <c r="E38" s="14">
        <v>105.68</v>
      </c>
      <c r="F38" s="14">
        <v>44992475136</v>
      </c>
      <c r="G38" s="14" t="s">
        <v>330</v>
      </c>
    </row>
    <row r="39" spans="1:15">
      <c r="A39" s="14" t="s">
        <v>211</v>
      </c>
      <c r="B39" s="14" t="s">
        <v>212</v>
      </c>
      <c r="C39" s="14" t="s">
        <v>49</v>
      </c>
      <c r="D39" s="14" t="s">
        <v>49</v>
      </c>
      <c r="E39" s="14">
        <v>143.88999999999999</v>
      </c>
      <c r="F39" s="14">
        <v>4316700160</v>
      </c>
      <c r="G39" s="14" t="s">
        <v>331</v>
      </c>
    </row>
    <row r="40" spans="1:15">
      <c r="A40" s="14" t="s">
        <v>244</v>
      </c>
      <c r="B40" s="14" t="s">
        <v>245</v>
      </c>
      <c r="C40" s="14" t="s">
        <v>49</v>
      </c>
      <c r="D40" s="14" t="s">
        <v>49</v>
      </c>
      <c r="E40" s="14">
        <v>74.150000000000006</v>
      </c>
      <c r="F40" s="14">
        <v>7792774656</v>
      </c>
      <c r="G40" s="14" t="s">
        <v>330</v>
      </c>
    </row>
    <row r="41" spans="1:15">
      <c r="A41" s="14" t="s">
        <v>246</v>
      </c>
      <c r="B41" s="14" t="s">
        <v>247</v>
      </c>
      <c r="C41" s="14" t="s">
        <v>49</v>
      </c>
      <c r="D41" s="14" t="s">
        <v>49</v>
      </c>
      <c r="E41" s="14">
        <v>56.07</v>
      </c>
      <c r="F41" s="14">
        <v>10138995712</v>
      </c>
      <c r="G41" s="14" t="s">
        <v>330</v>
      </c>
    </row>
    <row r="42" spans="1:15">
      <c r="A42" s="14" t="s">
        <v>250</v>
      </c>
      <c r="B42" s="14" t="s">
        <v>251</v>
      </c>
      <c r="C42" s="14" t="s">
        <v>49</v>
      </c>
      <c r="D42" s="14" t="s">
        <v>49</v>
      </c>
      <c r="E42" s="14">
        <v>41.75</v>
      </c>
      <c r="F42" s="14">
        <v>2759647488</v>
      </c>
      <c r="G42" s="14" t="s">
        <v>330</v>
      </c>
      <c r="O42" s="14" t="s">
        <v>365</v>
      </c>
    </row>
    <row r="43" spans="1:15">
      <c r="A43" s="14" t="s">
        <v>248</v>
      </c>
      <c r="B43" s="14" t="s">
        <v>249</v>
      </c>
      <c r="C43" s="14" t="s">
        <v>49</v>
      </c>
      <c r="D43" s="14" t="s">
        <v>49</v>
      </c>
      <c r="E43" s="14">
        <v>71.989999999999995</v>
      </c>
      <c r="F43" s="14">
        <v>23455148032</v>
      </c>
      <c r="G43" s="14" t="s">
        <v>330</v>
      </c>
    </row>
    <row r="44" spans="1:15">
      <c r="A44" s="14" t="s">
        <v>127</v>
      </c>
      <c r="B44" s="14" t="s">
        <v>128</v>
      </c>
      <c r="C44" s="14" t="s">
        <v>49</v>
      </c>
      <c r="D44" s="14" t="s">
        <v>49</v>
      </c>
      <c r="E44" s="14">
        <v>8.68</v>
      </c>
      <c r="F44" s="14">
        <v>5932866048</v>
      </c>
      <c r="G44" s="14" t="s">
        <v>332</v>
      </c>
    </row>
    <row r="45" spans="1:15">
      <c r="A45" s="14" t="s">
        <v>129</v>
      </c>
      <c r="B45" s="14" t="s">
        <v>130</v>
      </c>
      <c r="C45" s="14" t="s">
        <v>49</v>
      </c>
      <c r="D45" s="14" t="s">
        <v>49</v>
      </c>
      <c r="E45" s="14">
        <v>31.196999999999999</v>
      </c>
      <c r="F45" s="14">
        <v>12079626513.803801</v>
      </c>
      <c r="G45" s="14" t="s">
        <v>329</v>
      </c>
    </row>
    <row r="46" spans="1:15">
      <c r="A46" s="14" t="s">
        <v>252</v>
      </c>
      <c r="B46" s="14" t="s">
        <v>253</v>
      </c>
      <c r="C46" s="14" t="s">
        <v>49</v>
      </c>
      <c r="D46" s="14" t="s">
        <v>49</v>
      </c>
      <c r="E46" s="14">
        <v>86.77</v>
      </c>
      <c r="F46" s="14">
        <v>31289681920</v>
      </c>
      <c r="G46" s="14" t="s">
        <v>330</v>
      </c>
    </row>
    <row r="47" spans="1:15">
      <c r="A47" s="14" t="s">
        <v>256</v>
      </c>
      <c r="B47" s="14" t="s">
        <v>257</v>
      </c>
      <c r="C47" s="14" t="s">
        <v>49</v>
      </c>
      <c r="D47" s="14" t="s">
        <v>49</v>
      </c>
      <c r="E47" s="14">
        <v>100.64</v>
      </c>
      <c r="F47" s="14">
        <v>25166135296</v>
      </c>
      <c r="G47" s="14" t="s">
        <v>330</v>
      </c>
    </row>
    <row r="48" spans="1:15">
      <c r="A48" s="14" t="s">
        <v>254</v>
      </c>
      <c r="B48" s="14" t="s">
        <v>255</v>
      </c>
      <c r="C48" s="14" t="s">
        <v>49</v>
      </c>
      <c r="D48" s="14" t="s">
        <v>49</v>
      </c>
      <c r="E48" s="14">
        <v>41.43</v>
      </c>
      <c r="F48" s="14">
        <v>9734469632</v>
      </c>
      <c r="G48" s="14" t="s">
        <v>330</v>
      </c>
    </row>
    <row r="49" spans="1:7">
      <c r="A49" s="14" t="s">
        <v>258</v>
      </c>
      <c r="B49" s="14" t="s">
        <v>259</v>
      </c>
      <c r="C49" s="14" t="s">
        <v>49</v>
      </c>
      <c r="D49" s="14" t="s">
        <v>49</v>
      </c>
      <c r="E49" s="14">
        <v>19.05</v>
      </c>
      <c r="F49" s="14">
        <v>3429927680</v>
      </c>
      <c r="G49" s="14" t="s">
        <v>330</v>
      </c>
    </row>
    <row r="50" spans="1:7">
      <c r="A50" s="14" t="s">
        <v>213</v>
      </c>
      <c r="B50" s="14" t="s">
        <v>214</v>
      </c>
      <c r="C50" s="14" t="s">
        <v>49</v>
      </c>
      <c r="D50" s="14" t="s">
        <v>49</v>
      </c>
      <c r="E50" s="14">
        <v>34.54</v>
      </c>
      <c r="F50" s="14">
        <v>1704129664</v>
      </c>
      <c r="G50" s="14" t="s">
        <v>331</v>
      </c>
    </row>
    <row r="51" spans="1:7">
      <c r="A51" s="14" t="s">
        <v>131</v>
      </c>
      <c r="B51" s="14" t="s">
        <v>132</v>
      </c>
      <c r="C51" s="14" t="s">
        <v>49</v>
      </c>
      <c r="D51" s="14" t="s">
        <v>49</v>
      </c>
      <c r="E51" s="14">
        <v>17.531600000000001</v>
      </c>
      <c r="F51" s="14">
        <v>10431300256.900299</v>
      </c>
      <c r="G51" s="14" t="s">
        <v>329</v>
      </c>
    </row>
    <row r="52" spans="1:7">
      <c r="A52" s="14" t="s">
        <v>260</v>
      </c>
      <c r="B52" s="14" t="s">
        <v>261</v>
      </c>
      <c r="C52" s="14" t="s">
        <v>49</v>
      </c>
      <c r="D52" s="14" t="s">
        <v>49</v>
      </c>
      <c r="E52" s="14">
        <v>64.55</v>
      </c>
      <c r="F52" s="14">
        <v>2947109120</v>
      </c>
      <c r="G52" s="14" t="s">
        <v>330</v>
      </c>
    </row>
    <row r="53" spans="1:7">
      <c r="A53" s="14" t="s">
        <v>264</v>
      </c>
      <c r="B53" s="14" t="s">
        <v>265</v>
      </c>
      <c r="C53" s="14" t="s">
        <v>49</v>
      </c>
      <c r="D53" s="14" t="s">
        <v>49</v>
      </c>
      <c r="E53" s="14">
        <v>35.5</v>
      </c>
      <c r="F53" s="14">
        <v>3059200256</v>
      </c>
      <c r="G53" s="14" t="s">
        <v>330</v>
      </c>
    </row>
    <row r="54" spans="1:7">
      <c r="A54" s="14" t="s">
        <v>262</v>
      </c>
      <c r="B54" s="14" t="s">
        <v>263</v>
      </c>
      <c r="C54" s="14" t="s">
        <v>49</v>
      </c>
      <c r="D54" s="14" t="s">
        <v>49</v>
      </c>
      <c r="E54" s="14">
        <v>17.91</v>
      </c>
      <c r="F54" s="14">
        <v>783907840</v>
      </c>
      <c r="G54" s="14" t="s">
        <v>330</v>
      </c>
    </row>
    <row r="55" spans="1:7">
      <c r="A55" s="14" t="s">
        <v>266</v>
      </c>
      <c r="B55" s="14" t="s">
        <v>267</v>
      </c>
      <c r="C55" s="14" t="s">
        <v>49</v>
      </c>
      <c r="D55" s="14" t="s">
        <v>49</v>
      </c>
      <c r="E55" s="14">
        <v>31.14</v>
      </c>
      <c r="F55" s="14">
        <v>23381075968</v>
      </c>
      <c r="G55" s="14" t="s">
        <v>330</v>
      </c>
    </row>
    <row r="56" spans="1:7">
      <c r="A56" s="14" t="s">
        <v>268</v>
      </c>
      <c r="B56" s="14" t="s">
        <v>269</v>
      </c>
      <c r="C56" s="14" t="s">
        <v>49</v>
      </c>
      <c r="D56" s="14" t="s">
        <v>49</v>
      </c>
      <c r="E56" s="14">
        <v>59.8</v>
      </c>
      <c r="F56" s="14">
        <v>1700577792</v>
      </c>
      <c r="G56" s="14" t="s">
        <v>330</v>
      </c>
    </row>
    <row r="57" spans="1:7">
      <c r="A57" s="14" t="s">
        <v>215</v>
      </c>
      <c r="B57" s="14" t="s">
        <v>216</v>
      </c>
      <c r="C57" s="14" t="s">
        <v>49</v>
      </c>
      <c r="D57" s="14" t="s">
        <v>49</v>
      </c>
      <c r="E57" s="14">
        <v>82.52</v>
      </c>
      <c r="F57" s="14">
        <v>4629371904</v>
      </c>
      <c r="G57" s="14" t="s">
        <v>331</v>
      </c>
    </row>
    <row r="58" spans="1:7">
      <c r="A58" s="14" t="s">
        <v>270</v>
      </c>
      <c r="B58" s="14" t="s">
        <v>271</v>
      </c>
      <c r="C58" s="14" t="s">
        <v>49</v>
      </c>
      <c r="D58" s="14" t="s">
        <v>49</v>
      </c>
      <c r="E58" s="14">
        <v>76.62</v>
      </c>
      <c r="F58" s="14">
        <v>3638076160</v>
      </c>
      <c r="G58" s="14" t="s">
        <v>330</v>
      </c>
    </row>
    <row r="59" spans="1:7">
      <c r="A59" s="14" t="s">
        <v>272</v>
      </c>
      <c r="B59" s="14" t="s">
        <v>273</v>
      </c>
      <c r="C59" s="14" t="s">
        <v>49</v>
      </c>
      <c r="D59" s="14" t="s">
        <v>49</v>
      </c>
      <c r="E59" s="14">
        <v>73.680000000000007</v>
      </c>
      <c r="F59" s="14">
        <v>22452324352</v>
      </c>
      <c r="G59" s="14" t="s">
        <v>330</v>
      </c>
    </row>
    <row r="60" spans="1:7">
      <c r="A60" s="14" t="s">
        <v>274</v>
      </c>
      <c r="B60" s="14" t="s">
        <v>275</v>
      </c>
      <c r="C60" s="14" t="s">
        <v>49</v>
      </c>
      <c r="D60" s="14" t="s">
        <v>49</v>
      </c>
      <c r="E60" s="14">
        <v>56.87</v>
      </c>
      <c r="F60" s="14">
        <v>2748392960</v>
      </c>
      <c r="G60" s="14" t="s">
        <v>330</v>
      </c>
    </row>
    <row r="61" spans="1:7">
      <c r="A61" s="14" t="s">
        <v>276</v>
      </c>
      <c r="B61" s="14" t="s">
        <v>277</v>
      </c>
      <c r="C61" s="14" t="s">
        <v>49</v>
      </c>
      <c r="D61" s="14" t="s">
        <v>49</v>
      </c>
      <c r="E61" s="14">
        <v>72.36</v>
      </c>
      <c r="F61" s="14">
        <v>12880323584</v>
      </c>
      <c r="G61" s="14" t="s">
        <v>330</v>
      </c>
    </row>
    <row r="62" spans="1:7">
      <c r="A62" s="14" t="s">
        <v>133</v>
      </c>
      <c r="B62" s="14" t="s">
        <v>134</v>
      </c>
      <c r="C62" s="14" t="s">
        <v>49</v>
      </c>
      <c r="D62" s="14" t="s">
        <v>49</v>
      </c>
      <c r="E62" s="14">
        <v>25.851299999999998</v>
      </c>
      <c r="F62" s="14">
        <v>3173834187.5526099</v>
      </c>
      <c r="G62" s="14" t="s">
        <v>329</v>
      </c>
    </row>
    <row r="63" spans="1:7">
      <c r="A63" s="14" t="s">
        <v>278</v>
      </c>
      <c r="B63" s="14" t="s">
        <v>279</v>
      </c>
      <c r="C63" s="14" t="s">
        <v>49</v>
      </c>
      <c r="D63" s="14" t="s">
        <v>49</v>
      </c>
      <c r="E63" s="14">
        <v>76.28</v>
      </c>
      <c r="F63" s="14">
        <v>3906325760</v>
      </c>
      <c r="G63" s="14" t="s">
        <v>330</v>
      </c>
    </row>
    <row r="64" spans="1:7">
      <c r="A64" s="14" t="s">
        <v>280</v>
      </c>
      <c r="B64" s="14" t="s">
        <v>281</v>
      </c>
      <c r="C64" s="14" t="s">
        <v>49</v>
      </c>
      <c r="D64" s="14" t="s">
        <v>49</v>
      </c>
      <c r="E64" s="14">
        <v>41.09</v>
      </c>
      <c r="F64" s="14">
        <v>28825458688</v>
      </c>
      <c r="G64" s="14" t="s">
        <v>330</v>
      </c>
    </row>
    <row r="65" spans="1:7">
      <c r="A65" s="14" t="s">
        <v>135</v>
      </c>
      <c r="B65" s="14" t="s">
        <v>136</v>
      </c>
      <c r="C65" s="14" t="s">
        <v>49</v>
      </c>
      <c r="D65" s="14" t="s">
        <v>49</v>
      </c>
      <c r="E65" s="14">
        <v>45.011200000000002</v>
      </c>
      <c r="F65" s="14">
        <v>38876054005.102997</v>
      </c>
      <c r="G65" s="14" t="s">
        <v>329</v>
      </c>
    </row>
    <row r="66" spans="1:7">
      <c r="A66" s="14" t="s">
        <v>282</v>
      </c>
      <c r="B66" s="14" t="s">
        <v>283</v>
      </c>
      <c r="C66" s="14" t="s">
        <v>49</v>
      </c>
      <c r="D66" s="14" t="s">
        <v>49</v>
      </c>
      <c r="E66" s="14">
        <v>20.71</v>
      </c>
      <c r="F66" s="14">
        <v>46232260608</v>
      </c>
      <c r="G66" s="14" t="s">
        <v>330</v>
      </c>
    </row>
    <row r="67" spans="1:7">
      <c r="A67" s="14" t="s">
        <v>284</v>
      </c>
      <c r="B67" s="14" t="s">
        <v>285</v>
      </c>
      <c r="C67" s="14" t="s">
        <v>49</v>
      </c>
      <c r="D67" s="14" t="s">
        <v>49</v>
      </c>
      <c r="E67" s="14">
        <v>33.9</v>
      </c>
      <c r="F67" s="14">
        <v>1626122496</v>
      </c>
      <c r="G67" s="14" t="s">
        <v>330</v>
      </c>
    </row>
    <row r="68" spans="1:7">
      <c r="A68" s="14" t="s">
        <v>286</v>
      </c>
      <c r="B68" s="14" t="s">
        <v>287</v>
      </c>
      <c r="C68" s="14" t="s">
        <v>49</v>
      </c>
      <c r="D68" s="14" t="s">
        <v>49</v>
      </c>
      <c r="E68" s="14">
        <v>103.26</v>
      </c>
      <c r="F68" s="14">
        <v>12612440064</v>
      </c>
      <c r="G68" s="14" t="s">
        <v>330</v>
      </c>
    </row>
    <row r="69" spans="1:7">
      <c r="A69" s="14" t="s">
        <v>288</v>
      </c>
      <c r="B69" s="14" t="s">
        <v>289</v>
      </c>
      <c r="C69" s="14" t="s">
        <v>49</v>
      </c>
      <c r="D69" s="14" t="s">
        <v>49</v>
      </c>
      <c r="E69" s="14">
        <v>45.56</v>
      </c>
      <c r="F69" s="14">
        <v>1666117632</v>
      </c>
      <c r="G69" s="14" t="s">
        <v>330</v>
      </c>
    </row>
    <row r="70" spans="1:7">
      <c r="A70" s="14" t="s">
        <v>290</v>
      </c>
      <c r="B70" s="14" t="s">
        <v>291</v>
      </c>
      <c r="C70" s="14" t="s">
        <v>49</v>
      </c>
      <c r="D70" s="14" t="s">
        <v>49</v>
      </c>
      <c r="E70" s="14">
        <v>55.98</v>
      </c>
      <c r="F70" s="14">
        <v>1145139456</v>
      </c>
      <c r="G70" s="14" t="s">
        <v>330</v>
      </c>
    </row>
    <row r="71" spans="1:7">
      <c r="A71" s="14" t="s">
        <v>137</v>
      </c>
      <c r="B71" s="14" t="s">
        <v>138</v>
      </c>
      <c r="C71" s="14" t="s">
        <v>49</v>
      </c>
      <c r="D71" s="14" t="s">
        <v>49</v>
      </c>
      <c r="E71" s="14">
        <v>30.825299999999999</v>
      </c>
      <c r="F71" s="14">
        <v>12324992129.8934</v>
      </c>
      <c r="G71" s="14" t="s">
        <v>329</v>
      </c>
    </row>
    <row r="72" spans="1:7">
      <c r="A72" s="14" t="s">
        <v>292</v>
      </c>
      <c r="B72" s="14" t="s">
        <v>293</v>
      </c>
      <c r="C72" s="14" t="s">
        <v>49</v>
      </c>
      <c r="D72" s="14" t="s">
        <v>49</v>
      </c>
      <c r="E72" s="14">
        <v>24.64</v>
      </c>
      <c r="F72" s="14">
        <v>10612014080</v>
      </c>
      <c r="G72" s="14" t="s">
        <v>330</v>
      </c>
    </row>
    <row r="73" spans="1:7">
      <c r="A73" s="14" t="s">
        <v>139</v>
      </c>
      <c r="B73" s="14" t="s">
        <v>140</v>
      </c>
      <c r="C73" s="14" t="s">
        <v>49</v>
      </c>
      <c r="D73" s="14" t="s">
        <v>49</v>
      </c>
      <c r="E73" s="14">
        <v>42.007399999999997</v>
      </c>
      <c r="F73" s="14">
        <v>39445714697.044899</v>
      </c>
      <c r="G73" s="14" t="s">
        <v>329</v>
      </c>
    </row>
    <row r="74" spans="1:7">
      <c r="A74" s="14" t="s">
        <v>141</v>
      </c>
      <c r="B74" s="14" t="s">
        <v>142</v>
      </c>
      <c r="C74" s="14" t="s">
        <v>49</v>
      </c>
      <c r="D74" s="14" t="s">
        <v>49</v>
      </c>
      <c r="E74" s="14">
        <v>19.249099999999999</v>
      </c>
      <c r="F74" s="14">
        <v>1429243750.45102</v>
      </c>
      <c r="G74" s="14" t="s">
        <v>329</v>
      </c>
    </row>
    <row r="75" spans="1:7">
      <c r="A75" s="14" t="s">
        <v>294</v>
      </c>
      <c r="B75" s="14" t="s">
        <v>295</v>
      </c>
      <c r="C75" s="14" t="s">
        <v>49</v>
      </c>
      <c r="D75" s="14" t="s">
        <v>49</v>
      </c>
      <c r="E75" s="14">
        <v>30.04</v>
      </c>
      <c r="F75" s="14">
        <v>5327842304</v>
      </c>
      <c r="G75" s="14" t="s">
        <v>330</v>
      </c>
    </row>
    <row r="76" spans="1:7">
      <c r="A76" s="14" t="s">
        <v>143</v>
      </c>
      <c r="B76" s="14" t="s">
        <v>144</v>
      </c>
      <c r="C76" s="14" t="s">
        <v>49</v>
      </c>
      <c r="D76" s="14" t="s">
        <v>49</v>
      </c>
      <c r="E76" s="14">
        <v>22.037199999999999</v>
      </c>
      <c r="F76" s="14">
        <v>8085489944.0998497</v>
      </c>
      <c r="G76" s="14" t="s">
        <v>329</v>
      </c>
    </row>
    <row r="77" spans="1:7">
      <c r="A77" s="14" t="s">
        <v>145</v>
      </c>
      <c r="B77" s="14" t="s">
        <v>146</v>
      </c>
      <c r="C77" s="14" t="s">
        <v>49</v>
      </c>
      <c r="D77" s="14" t="s">
        <v>49</v>
      </c>
      <c r="E77" s="14">
        <v>9.7471999999999994</v>
      </c>
      <c r="F77" s="14">
        <v>3057006641.7065701</v>
      </c>
      <c r="G77" s="14" t="s">
        <v>329</v>
      </c>
    </row>
    <row r="78" spans="1:7">
      <c r="A78" s="14" t="s">
        <v>296</v>
      </c>
      <c r="B78" s="14" t="s">
        <v>297</v>
      </c>
      <c r="C78" s="14" t="s">
        <v>49</v>
      </c>
      <c r="D78" s="14" t="s">
        <v>49</v>
      </c>
      <c r="E78" s="14">
        <v>25.9</v>
      </c>
      <c r="F78" s="14">
        <v>2120100480</v>
      </c>
      <c r="G78" s="14" t="s">
        <v>330</v>
      </c>
    </row>
    <row r="79" spans="1:7">
      <c r="A79" s="14" t="s">
        <v>298</v>
      </c>
      <c r="B79" s="14" t="s">
        <v>299</v>
      </c>
      <c r="C79" s="14" t="s">
        <v>49</v>
      </c>
      <c r="D79" s="14" t="s">
        <v>49</v>
      </c>
      <c r="E79" s="14">
        <v>63.96</v>
      </c>
      <c r="F79" s="14">
        <v>3341607680</v>
      </c>
      <c r="G79" s="14" t="s">
        <v>330</v>
      </c>
    </row>
    <row r="80" spans="1:7">
      <c r="A80" s="14" t="s">
        <v>302</v>
      </c>
      <c r="B80" s="14" t="s">
        <v>303</v>
      </c>
      <c r="C80" s="14" t="s">
        <v>49</v>
      </c>
      <c r="D80" s="14" t="s">
        <v>49</v>
      </c>
      <c r="E80" s="14">
        <v>22.14</v>
      </c>
      <c r="F80" s="14">
        <v>7145414144</v>
      </c>
      <c r="G80" s="14" t="s">
        <v>330</v>
      </c>
    </row>
    <row r="81" spans="1:7">
      <c r="A81" s="14" t="s">
        <v>300</v>
      </c>
      <c r="B81" s="14" t="s">
        <v>301</v>
      </c>
      <c r="C81" s="14" t="s">
        <v>49</v>
      </c>
      <c r="D81" s="14" t="s">
        <v>49</v>
      </c>
      <c r="E81" s="14">
        <v>45.34</v>
      </c>
      <c r="F81" s="14">
        <v>637502592</v>
      </c>
      <c r="G81" s="14" t="s">
        <v>330</v>
      </c>
    </row>
    <row r="82" spans="1:7">
      <c r="A82" s="14" t="s">
        <v>304</v>
      </c>
      <c r="B82" s="14" t="s">
        <v>305</v>
      </c>
      <c r="C82" s="14" t="s">
        <v>49</v>
      </c>
      <c r="D82" s="14" t="s">
        <v>49</v>
      </c>
      <c r="E82" s="14">
        <v>55.23</v>
      </c>
      <c r="F82" s="14">
        <v>17501603840</v>
      </c>
      <c r="G82" s="14" t="s">
        <v>330</v>
      </c>
    </row>
    <row r="83" spans="1:7">
      <c r="A83" s="14" t="s">
        <v>147</v>
      </c>
      <c r="B83" s="14" t="s">
        <v>148</v>
      </c>
      <c r="C83" s="14" t="s">
        <v>49</v>
      </c>
      <c r="D83" s="14" t="s">
        <v>49</v>
      </c>
      <c r="E83" s="14">
        <v>30.081800000000001</v>
      </c>
      <c r="F83" s="14">
        <v>5493948953.5156898</v>
      </c>
      <c r="G83" s="14" t="s">
        <v>329</v>
      </c>
    </row>
    <row r="85" spans="1:7">
      <c r="E85" s="14" t="s">
        <v>116</v>
      </c>
      <c r="F85" s="38">
        <f>+SUM(F36:F83)</f>
        <v>568845903944.07117</v>
      </c>
    </row>
    <row r="86" spans="1:7">
      <c r="E86" s="14" t="s">
        <v>312</v>
      </c>
      <c r="F86" s="14">
        <f>+COUNT(F36:F83)</f>
        <v>48</v>
      </c>
    </row>
    <row r="88" spans="1:7">
      <c r="A88" s="26" t="s">
        <v>67</v>
      </c>
      <c r="B88" s="26" t="s">
        <v>43</v>
      </c>
      <c r="C88" s="26" t="s">
        <v>44</v>
      </c>
      <c r="D88" s="26" t="s">
        <v>45</v>
      </c>
      <c r="E88" s="26" t="s">
        <v>46</v>
      </c>
      <c r="F88" s="26" t="s">
        <v>47</v>
      </c>
      <c r="G88" s="26" t="s">
        <v>115</v>
      </c>
    </row>
    <row r="89" spans="1:7">
      <c r="A89" s="14" t="s">
        <v>328</v>
      </c>
    </row>
    <row r="90" spans="1:7">
      <c r="A90" s="14" t="s">
        <v>219</v>
      </c>
      <c r="B90" s="14" t="s">
        <v>220</v>
      </c>
      <c r="C90" s="14" t="s">
        <v>49</v>
      </c>
      <c r="D90" s="14" t="s">
        <v>49</v>
      </c>
      <c r="E90" s="14">
        <v>4.3388</v>
      </c>
      <c r="F90" s="14">
        <v>5166983982.6715097</v>
      </c>
      <c r="G90" s="14" t="s">
        <v>327</v>
      </c>
    </row>
    <row r="91" spans="1:7">
      <c r="A91" s="14" t="s">
        <v>149</v>
      </c>
      <c r="B91" s="14" t="s">
        <v>150</v>
      </c>
      <c r="C91" s="14" t="s">
        <v>49</v>
      </c>
      <c r="D91" s="14" t="s">
        <v>49</v>
      </c>
      <c r="E91" s="14">
        <v>1.0111000000000001</v>
      </c>
      <c r="F91" s="14">
        <v>4378980560.28333</v>
      </c>
      <c r="G91" s="14" t="s">
        <v>313</v>
      </c>
    </row>
    <row r="92" spans="1:7">
      <c r="A92" s="14" t="s">
        <v>326</v>
      </c>
      <c r="B92" s="14" t="s">
        <v>119</v>
      </c>
      <c r="C92" s="14" t="s">
        <v>49</v>
      </c>
      <c r="D92" s="14" t="s">
        <v>49</v>
      </c>
      <c r="E92" s="14">
        <v>4.3230000000000004</v>
      </c>
      <c r="F92" s="14">
        <v>9725956572.3927593</v>
      </c>
      <c r="G92" s="14" t="s">
        <v>316</v>
      </c>
    </row>
    <row r="93" spans="1:7">
      <c r="A93" s="14" t="s">
        <v>325</v>
      </c>
      <c r="B93" s="14" t="s">
        <v>117</v>
      </c>
      <c r="C93" s="14" t="s">
        <v>49</v>
      </c>
      <c r="D93" s="14" t="s">
        <v>49</v>
      </c>
      <c r="E93" s="14">
        <v>6.1849999999999996</v>
      </c>
      <c r="F93" s="14">
        <v>6891956602.6620502</v>
      </c>
      <c r="G93" s="14" t="s">
        <v>316</v>
      </c>
    </row>
    <row r="94" spans="1:7">
      <c r="A94" s="14" t="s">
        <v>169</v>
      </c>
      <c r="B94" s="14" t="s">
        <v>170</v>
      </c>
      <c r="C94" s="14" t="s">
        <v>49</v>
      </c>
      <c r="D94" s="14" t="s">
        <v>49</v>
      </c>
      <c r="E94" s="14">
        <v>1.772</v>
      </c>
      <c r="F94" s="14">
        <v>22534745983.560799</v>
      </c>
      <c r="G94" s="14" t="s">
        <v>314</v>
      </c>
    </row>
    <row r="95" spans="1:7">
      <c r="A95" s="14" t="s">
        <v>171</v>
      </c>
      <c r="B95" s="14" t="s">
        <v>172</v>
      </c>
      <c r="C95" s="14" t="s">
        <v>49</v>
      </c>
      <c r="D95" s="14" t="s">
        <v>49</v>
      </c>
      <c r="E95" s="14">
        <v>4.7267000000000001</v>
      </c>
      <c r="F95" s="14">
        <v>5965761541.7334604</v>
      </c>
      <c r="G95" s="14" t="s">
        <v>314</v>
      </c>
    </row>
    <row r="96" spans="1:7">
      <c r="A96" s="14" t="s">
        <v>324</v>
      </c>
      <c r="B96" s="14" t="s">
        <v>120</v>
      </c>
      <c r="C96" s="14" t="s">
        <v>49</v>
      </c>
      <c r="D96" s="14" t="s">
        <v>49</v>
      </c>
      <c r="E96" s="14">
        <v>1.9775</v>
      </c>
      <c r="F96" s="14">
        <v>4811245351.2455702</v>
      </c>
      <c r="G96" s="14" t="s">
        <v>316</v>
      </c>
    </row>
    <row r="97" spans="1:7">
      <c r="A97" s="14" t="s">
        <v>151</v>
      </c>
      <c r="B97" s="14" t="s">
        <v>152</v>
      </c>
      <c r="C97" s="14" t="s">
        <v>49</v>
      </c>
      <c r="D97" s="14" t="s">
        <v>49</v>
      </c>
      <c r="E97" s="14">
        <v>0.95440000000000003</v>
      </c>
      <c r="F97" s="14">
        <v>4144888022.2955899</v>
      </c>
      <c r="G97" s="14" t="s">
        <v>313</v>
      </c>
    </row>
    <row r="98" spans="1:7">
      <c r="A98" s="14" t="s">
        <v>173</v>
      </c>
      <c r="B98" s="14" t="s">
        <v>174</v>
      </c>
      <c r="C98" s="14" t="s">
        <v>49</v>
      </c>
      <c r="D98" s="14" t="s">
        <v>49</v>
      </c>
      <c r="E98" s="14">
        <v>0.66549999999999998</v>
      </c>
      <c r="F98" s="14">
        <v>5814463258.8268404</v>
      </c>
      <c r="G98" s="14" t="s">
        <v>314</v>
      </c>
    </row>
    <row r="99" spans="1:7">
      <c r="A99" s="14" t="s">
        <v>201</v>
      </c>
      <c r="B99" s="14" t="s">
        <v>202</v>
      </c>
      <c r="C99" s="14" t="s">
        <v>49</v>
      </c>
      <c r="D99" s="14" t="s">
        <v>49</v>
      </c>
      <c r="E99" s="14">
        <v>8.1532999999999998</v>
      </c>
      <c r="F99" s="14">
        <v>4413185158.9798603</v>
      </c>
      <c r="G99" s="14" t="s">
        <v>315</v>
      </c>
    </row>
    <row r="100" spans="1:7">
      <c r="A100" s="14" t="s">
        <v>175</v>
      </c>
      <c r="B100" s="14" t="s">
        <v>176</v>
      </c>
      <c r="C100" s="14" t="s">
        <v>49</v>
      </c>
      <c r="D100" s="14" t="s">
        <v>49</v>
      </c>
      <c r="E100" s="14">
        <v>2.4813000000000001</v>
      </c>
      <c r="F100" s="14">
        <v>6515037793.8061504</v>
      </c>
      <c r="G100" s="14" t="s">
        <v>314</v>
      </c>
    </row>
    <row r="101" spans="1:7">
      <c r="A101" s="14" t="s">
        <v>153</v>
      </c>
      <c r="B101" s="14" t="s">
        <v>154</v>
      </c>
      <c r="C101" s="14" t="s">
        <v>49</v>
      </c>
      <c r="D101" s="14" t="s">
        <v>49</v>
      </c>
      <c r="E101" s="14">
        <v>1.2639</v>
      </c>
      <c r="F101" s="14">
        <v>6245621686.1616201</v>
      </c>
      <c r="G101" s="14" t="s">
        <v>313</v>
      </c>
    </row>
    <row r="102" spans="1:7">
      <c r="A102" s="14" t="s">
        <v>323</v>
      </c>
      <c r="B102" s="14" t="s">
        <v>124</v>
      </c>
      <c r="C102" s="14" t="s">
        <v>49</v>
      </c>
      <c r="D102" s="14" t="s">
        <v>49</v>
      </c>
      <c r="E102" s="14">
        <v>3.6446000000000001</v>
      </c>
      <c r="F102" s="14">
        <v>1932104327.46071</v>
      </c>
      <c r="G102" s="14" t="s">
        <v>316</v>
      </c>
    </row>
    <row r="103" spans="1:7">
      <c r="A103" s="14" t="s">
        <v>322</v>
      </c>
      <c r="B103" s="14" t="s">
        <v>229</v>
      </c>
      <c r="C103" s="14" t="s">
        <v>49</v>
      </c>
      <c r="D103" s="14" t="s">
        <v>49</v>
      </c>
      <c r="E103" s="14">
        <v>185.70590000000001</v>
      </c>
      <c r="F103" s="14">
        <v>5701518029.8752098</v>
      </c>
      <c r="G103" s="14" t="s">
        <v>321</v>
      </c>
    </row>
    <row r="104" spans="1:7">
      <c r="A104" s="14" t="s">
        <v>320</v>
      </c>
      <c r="B104" s="14" t="s">
        <v>121</v>
      </c>
      <c r="C104" s="14" t="s">
        <v>49</v>
      </c>
      <c r="D104" s="14" t="s">
        <v>49</v>
      </c>
      <c r="E104" s="14">
        <v>1.1403000000000001</v>
      </c>
      <c r="F104" s="14">
        <v>4108627225.46347</v>
      </c>
      <c r="G104" s="14" t="s">
        <v>316</v>
      </c>
    </row>
    <row r="105" spans="1:7">
      <c r="A105" s="14" t="s">
        <v>221</v>
      </c>
      <c r="B105" s="14" t="s">
        <v>222</v>
      </c>
      <c r="C105" s="14" t="s">
        <v>49</v>
      </c>
      <c r="D105" s="14" t="s">
        <v>49</v>
      </c>
      <c r="E105" s="14">
        <v>0.435</v>
      </c>
      <c r="F105" s="14">
        <v>3789328640</v>
      </c>
      <c r="G105" s="14" t="s">
        <v>319</v>
      </c>
    </row>
    <row r="106" spans="1:7">
      <c r="A106" s="14" t="s">
        <v>155</v>
      </c>
      <c r="B106" s="14" t="s">
        <v>156</v>
      </c>
      <c r="C106" s="14" t="s">
        <v>49</v>
      </c>
      <c r="D106" s="14" t="s">
        <v>49</v>
      </c>
      <c r="E106" s="14">
        <v>0.85509999999999997</v>
      </c>
      <c r="F106" s="14">
        <v>2394674848.4289598</v>
      </c>
      <c r="G106" s="14" t="s">
        <v>313</v>
      </c>
    </row>
    <row r="107" spans="1:7">
      <c r="A107" s="14" t="s">
        <v>177</v>
      </c>
      <c r="B107" s="14" t="s">
        <v>178</v>
      </c>
      <c r="C107" s="14" t="s">
        <v>49</v>
      </c>
      <c r="D107" s="14" t="s">
        <v>49</v>
      </c>
      <c r="E107" s="14">
        <v>1.3567</v>
      </c>
      <c r="F107" s="14">
        <v>6662098981.0149498</v>
      </c>
      <c r="G107" s="14" t="s">
        <v>314</v>
      </c>
    </row>
    <row r="108" spans="1:7">
      <c r="A108" s="14" t="s">
        <v>203</v>
      </c>
      <c r="B108" s="14" t="s">
        <v>204</v>
      </c>
      <c r="C108" s="14" t="s">
        <v>49</v>
      </c>
      <c r="D108" s="14" t="s">
        <v>49</v>
      </c>
      <c r="E108" s="14">
        <v>36.2226</v>
      </c>
      <c r="F108" s="14">
        <v>3059955739.25665</v>
      </c>
      <c r="G108" s="14" t="s">
        <v>315</v>
      </c>
    </row>
    <row r="109" spans="1:7">
      <c r="A109" s="14" t="s">
        <v>318</v>
      </c>
      <c r="B109" s="14" t="s">
        <v>118</v>
      </c>
      <c r="C109" s="14" t="s">
        <v>49</v>
      </c>
      <c r="D109" s="14" t="s">
        <v>49</v>
      </c>
      <c r="E109" s="14">
        <v>7.4478999999999997</v>
      </c>
      <c r="F109" s="14">
        <v>15214258428.030399</v>
      </c>
      <c r="G109" s="14" t="s">
        <v>316</v>
      </c>
    </row>
    <row r="110" spans="1:7">
      <c r="A110" s="14" t="s">
        <v>179</v>
      </c>
      <c r="B110" s="14" t="s">
        <v>180</v>
      </c>
      <c r="C110" s="14" t="s">
        <v>49</v>
      </c>
      <c r="D110" s="14" t="s">
        <v>49</v>
      </c>
      <c r="E110" s="14">
        <v>0.5262</v>
      </c>
      <c r="F110" s="14">
        <v>1426809092.65768</v>
      </c>
      <c r="G110" s="14" t="s">
        <v>314</v>
      </c>
    </row>
    <row r="111" spans="1:7">
      <c r="A111" s="14" t="s">
        <v>317</v>
      </c>
      <c r="B111" s="14" t="s">
        <v>122</v>
      </c>
      <c r="C111" s="14" t="s">
        <v>49</v>
      </c>
      <c r="D111" s="14" t="s">
        <v>49</v>
      </c>
      <c r="E111" s="14">
        <v>1.7176</v>
      </c>
      <c r="F111" s="14">
        <v>2889099513.99509</v>
      </c>
      <c r="G111" s="14" t="s">
        <v>316</v>
      </c>
    </row>
    <row r="112" spans="1:7">
      <c r="A112" s="14" t="s">
        <v>181</v>
      </c>
      <c r="B112" s="14" t="s">
        <v>182</v>
      </c>
      <c r="C112" s="14" t="s">
        <v>49</v>
      </c>
      <c r="D112" s="14" t="s">
        <v>49</v>
      </c>
      <c r="E112" s="14">
        <v>2.8115000000000001</v>
      </c>
      <c r="F112" s="14">
        <v>6252786873.3010302</v>
      </c>
      <c r="G112" s="14" t="s">
        <v>314</v>
      </c>
    </row>
    <row r="113" spans="1:7">
      <c r="A113" s="14" t="s">
        <v>205</v>
      </c>
      <c r="B113" s="14" t="s">
        <v>206</v>
      </c>
      <c r="C113" s="14" t="s">
        <v>49</v>
      </c>
      <c r="D113" s="14" t="s">
        <v>49</v>
      </c>
      <c r="E113" s="14">
        <v>4.5345000000000004</v>
      </c>
      <c r="F113" s="14">
        <v>10442221618.9856</v>
      </c>
      <c r="G113" s="14" t="s">
        <v>315</v>
      </c>
    </row>
    <row r="114" spans="1:7">
      <c r="A114" s="14" t="s">
        <v>183</v>
      </c>
      <c r="B114" s="14" t="s">
        <v>184</v>
      </c>
      <c r="C114" s="14" t="s">
        <v>49</v>
      </c>
      <c r="D114" s="14" t="s">
        <v>49</v>
      </c>
      <c r="E114" s="14">
        <v>0.52490000000000003</v>
      </c>
      <c r="F114" s="14">
        <v>1617570446.67503</v>
      </c>
      <c r="G114" s="14" t="s">
        <v>314</v>
      </c>
    </row>
    <row r="115" spans="1:7">
      <c r="A115" s="14" t="s">
        <v>157</v>
      </c>
      <c r="B115" s="14" t="s">
        <v>158</v>
      </c>
      <c r="C115" s="14" t="s">
        <v>49</v>
      </c>
      <c r="D115" s="14" t="s">
        <v>49</v>
      </c>
      <c r="E115" s="14">
        <v>4.1140999999999996</v>
      </c>
      <c r="F115" s="14">
        <v>4453581124.8808603</v>
      </c>
      <c r="G115" s="14" t="s">
        <v>313</v>
      </c>
    </row>
    <row r="117" spans="1:7">
      <c r="E117" s="14" t="s">
        <v>116</v>
      </c>
      <c r="F117" s="38">
        <f>+SUM(F90:F115)</f>
        <v>156553461404.64517</v>
      </c>
    </row>
    <row r="118" spans="1:7">
      <c r="E118" s="14" t="s">
        <v>312</v>
      </c>
      <c r="F118" s="14">
        <f>+COUNT(F90:F115)</f>
        <v>26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Index</vt:lpstr>
      <vt:lpstr>SImple Return</vt:lpstr>
      <vt:lpstr>LN Return</vt:lpstr>
      <vt:lpstr>Graphs</vt:lpstr>
      <vt:lpstr>Weights Base</vt:lpstr>
      <vt:lpstr>Weights Markets</vt:lpstr>
      <vt:lpstr>Wights Sector</vt:lpstr>
      <vt:lpstr>Continents Sector</vt:lpstr>
      <vt:lpstr>Continents Market Cap</vt:lpstr>
      <vt:lpstr>Sector Market Cap</vt:lpstr>
      <vt:lpstr>Benchmark portfolio</vt:lpstr>
      <vt:lpstr>Subsector spanning</vt:lpstr>
      <vt:lpstr>Markets spanning</vt:lpstr>
    </vt:vector>
  </TitlesOfParts>
  <Company>BI Norwegian School of Management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Lien, Andreas</dc:creator>
  <cp:lastModifiedBy>Kunev, Solveig Steen</cp:lastModifiedBy>
  <dcterms:created xsi:type="dcterms:W3CDTF">2017-06-21T07:46:13Z</dcterms:created>
  <dcterms:modified xsi:type="dcterms:W3CDTF">2018-03-06T10:29:01Z</dcterms:modified>
</cp:coreProperties>
</file>